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en_skoroszyt" defaultThemeVersion="166925"/>
  <mc:AlternateContent xmlns:mc="http://schemas.openxmlformats.org/markup-compatibility/2006">
    <mc:Choice Requires="x15">
      <x15ac:absPath xmlns:x15ac="http://schemas.microsoft.com/office/spreadsheetml/2010/11/ac" url="\\mars\Zasoby\BOK\CENNIK KOBI\"/>
    </mc:Choice>
  </mc:AlternateContent>
  <xr:revisionPtr revIDLastSave="0" documentId="8_{719955B0-22A5-4F47-BAB4-A17E533836EC}" xr6:coauthVersionLast="47" xr6:coauthVersionMax="47" xr10:uidLastSave="{00000000-0000-0000-0000-000000000000}"/>
  <bookViews>
    <workbookView xWindow="-108" yWindow="-108" windowWidth="23256" windowHeight="12456" xr2:uid="{C39E6345-525F-4B24-ABC5-912BEA5A5659}"/>
  </bookViews>
  <sheets>
    <sheet name="enter the discount" sheetId="1" r:id="rId1"/>
    <sheet name="Price list" sheetId="2" r:id="rId2"/>
  </sheets>
  <definedNames>
    <definedName name="_xlnm._FilterDatabase" localSheetId="1" hidden="1">'Price list'!$A$2:$Q$897</definedName>
    <definedName name="_xlnm.Print_Titles" localSheetId="1">'Price list'!$1:$2</definedName>
    <definedName name="_xlnm.Extract" localSheetId="1">'Price list'!$I$2:$Q$2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889" i="2" l="1"/>
  <c r="P888" i="2"/>
  <c r="P887" i="2"/>
  <c r="O887" i="2"/>
  <c r="O885" i="2"/>
  <c r="O884" i="2"/>
  <c r="O883" i="2"/>
  <c r="O882" i="2"/>
  <c r="O881" i="2"/>
  <c r="O880" i="2"/>
  <c r="O879" i="2"/>
  <c r="O878" i="2"/>
  <c r="O877" i="2"/>
  <c r="O876" i="2"/>
  <c r="O875" i="2"/>
  <c r="O874" i="2"/>
  <c r="O873" i="2"/>
  <c r="O872" i="2"/>
  <c r="O871" i="2"/>
  <c r="O870" i="2"/>
  <c r="O869" i="2"/>
  <c r="O868" i="2"/>
  <c r="O867" i="2"/>
  <c r="O866" i="2"/>
  <c r="O865" i="2"/>
  <c r="O864" i="2"/>
  <c r="O863" i="2"/>
  <c r="O862" i="2"/>
  <c r="O861" i="2"/>
  <c r="O860" i="2"/>
  <c r="O859" i="2"/>
  <c r="O858" i="2"/>
  <c r="O857" i="2"/>
  <c r="O856" i="2"/>
  <c r="O855" i="2"/>
  <c r="O854" i="2"/>
  <c r="O853" i="2"/>
  <c r="O852" i="2"/>
  <c r="P851" i="2"/>
  <c r="O851" i="2"/>
  <c r="O850" i="2"/>
  <c r="O849" i="2"/>
  <c r="O848" i="2"/>
  <c r="O847" i="2"/>
  <c r="O846" i="2"/>
  <c r="O845" i="2"/>
  <c r="O844" i="2"/>
  <c r="O843" i="2"/>
  <c r="O842" i="2"/>
  <c r="O841" i="2"/>
  <c r="O840" i="2"/>
  <c r="O839" i="2"/>
  <c r="O838" i="2"/>
  <c r="O837" i="2"/>
  <c r="O836" i="2"/>
  <c r="O835" i="2"/>
  <c r="O834" i="2"/>
  <c r="O833" i="2"/>
  <c r="O832" i="2"/>
  <c r="O831" i="2"/>
  <c r="O830" i="2"/>
  <c r="O829" i="2"/>
  <c r="O828" i="2"/>
  <c r="O827" i="2"/>
  <c r="P826" i="2"/>
  <c r="O826" i="2"/>
  <c r="P825" i="2"/>
  <c r="O825" i="2"/>
  <c r="P824" i="2"/>
  <c r="O824" i="2"/>
  <c r="P823" i="2"/>
  <c r="O823" i="2"/>
  <c r="P822" i="2"/>
  <c r="O822" i="2"/>
  <c r="P821" i="2"/>
  <c r="O821" i="2"/>
  <c r="P820" i="2"/>
  <c r="O820" i="2"/>
  <c r="O819" i="2"/>
  <c r="O818" i="2"/>
  <c r="O817" i="2"/>
  <c r="O816" i="2"/>
  <c r="O815" i="2"/>
  <c r="O814" i="2"/>
  <c r="O813" i="2"/>
  <c r="O812" i="2"/>
  <c r="P811" i="2"/>
  <c r="O811" i="2"/>
  <c r="P810" i="2"/>
  <c r="O810" i="2"/>
  <c r="P809" i="2"/>
  <c r="O809" i="2"/>
  <c r="P808" i="2"/>
  <c r="O808" i="2"/>
  <c r="P807" i="2"/>
  <c r="O807" i="2"/>
  <c r="P806" i="2"/>
  <c r="O806" i="2"/>
  <c r="P805" i="2"/>
  <c r="O805" i="2"/>
  <c r="P804" i="2"/>
  <c r="O804" i="2"/>
  <c r="P803" i="2"/>
  <c r="O803" i="2"/>
  <c r="P802" i="2"/>
  <c r="O802" i="2"/>
  <c r="P801" i="2"/>
  <c r="O801" i="2"/>
  <c r="P800" i="2"/>
  <c r="O800" i="2"/>
  <c r="O798" i="2"/>
  <c r="O797" i="2"/>
  <c r="O788" i="2"/>
  <c r="O784" i="2"/>
  <c r="O776" i="2"/>
  <c r="O771" i="2"/>
  <c r="O770" i="2"/>
  <c r="O769" i="2"/>
  <c r="O768" i="2"/>
  <c r="O767" i="2"/>
  <c r="O766" i="2"/>
  <c r="O765" i="2"/>
  <c r="O761" i="2"/>
  <c r="O760" i="2"/>
  <c r="O759" i="2"/>
  <c r="O758" i="2"/>
  <c r="O757" i="2"/>
  <c r="O756" i="2"/>
  <c r="O755" i="2"/>
  <c r="O754" i="2"/>
  <c r="O753" i="2"/>
  <c r="O752" i="2"/>
  <c r="O751" i="2"/>
  <c r="O750" i="2"/>
  <c r="O749" i="2"/>
  <c r="O748" i="2"/>
  <c r="O747" i="2"/>
  <c r="O746" i="2"/>
  <c r="O745" i="2"/>
  <c r="O744" i="2"/>
  <c r="O743" i="2"/>
  <c r="O742" i="2"/>
  <c r="O741" i="2"/>
  <c r="O740" i="2"/>
  <c r="O739" i="2"/>
  <c r="O738" i="2"/>
  <c r="O737" i="2"/>
  <c r="O736" i="2"/>
  <c r="O734" i="2"/>
  <c r="O733" i="2"/>
  <c r="O732" i="2"/>
  <c r="O731" i="2"/>
  <c r="O730" i="2"/>
  <c r="O729" i="2"/>
  <c r="O728" i="2"/>
  <c r="O727" i="2"/>
  <c r="O726" i="2"/>
  <c r="O725" i="2"/>
  <c r="O724" i="2"/>
  <c r="O723" i="2"/>
  <c r="O722" i="2"/>
  <c r="O721" i="2"/>
  <c r="O720" i="2"/>
  <c r="O719" i="2"/>
  <c r="O718" i="2"/>
  <c r="O717" i="2"/>
  <c r="O716" i="2"/>
  <c r="O715" i="2"/>
  <c r="O714" i="2"/>
  <c r="O713" i="2"/>
  <c r="O712" i="2"/>
  <c r="O711" i="2"/>
  <c r="O710" i="2"/>
  <c r="O709" i="2"/>
  <c r="O708" i="2"/>
  <c r="O707" i="2"/>
  <c r="O706" i="2"/>
  <c r="O705" i="2"/>
  <c r="O704" i="2"/>
  <c r="O703" i="2"/>
  <c r="O702" i="2"/>
  <c r="O701" i="2"/>
  <c r="O700" i="2"/>
  <c r="O699" i="2"/>
  <c r="O698" i="2"/>
  <c r="O697" i="2"/>
  <c r="O696" i="2"/>
  <c r="O695" i="2"/>
  <c r="O694" i="2"/>
  <c r="O693" i="2"/>
  <c r="O692" i="2"/>
  <c r="O691" i="2"/>
  <c r="O690" i="2"/>
  <c r="O689" i="2"/>
  <c r="O688" i="2"/>
  <c r="O687" i="2"/>
  <c r="O686" i="2"/>
  <c r="O685" i="2"/>
  <c r="O684" i="2"/>
  <c r="O683" i="2"/>
  <c r="O682" i="2"/>
  <c r="O681" i="2"/>
  <c r="O680" i="2"/>
  <c r="O679" i="2"/>
  <c r="O678" i="2"/>
  <c r="O677" i="2"/>
  <c r="O676" i="2"/>
  <c r="O675" i="2"/>
  <c r="O674" i="2"/>
  <c r="O673" i="2"/>
  <c r="O672" i="2"/>
  <c r="O671" i="2"/>
  <c r="O670" i="2"/>
  <c r="O669" i="2"/>
  <c r="O668" i="2"/>
  <c r="O667" i="2"/>
  <c r="O666" i="2"/>
  <c r="O665" i="2"/>
  <c r="O664" i="2"/>
  <c r="O663" i="2"/>
  <c r="P662" i="2"/>
  <c r="O662" i="2"/>
  <c r="O660" i="2"/>
  <c r="O659" i="2"/>
  <c r="O658" i="2"/>
  <c r="O657" i="2"/>
  <c r="O656" i="2"/>
  <c r="O655" i="2"/>
  <c r="O654" i="2"/>
  <c r="O653" i="2"/>
  <c r="O652" i="2"/>
  <c r="O651" i="2"/>
  <c r="O650" i="2"/>
  <c r="O649" i="2"/>
  <c r="O648" i="2"/>
  <c r="O647" i="2"/>
  <c r="O646" i="2"/>
  <c r="O645" i="2"/>
  <c r="O644" i="2"/>
  <c r="P643" i="2"/>
  <c r="O643" i="2"/>
  <c r="P642" i="2"/>
  <c r="O642" i="2"/>
  <c r="P641" i="2"/>
  <c r="O641" i="2"/>
  <c r="P640" i="2"/>
  <c r="O640" i="2"/>
  <c r="O639" i="2"/>
  <c r="O638" i="2"/>
  <c r="O637" i="2"/>
  <c r="O636" i="2"/>
  <c r="O635" i="2"/>
  <c r="O634" i="2"/>
  <c r="O633" i="2"/>
  <c r="O632" i="2"/>
  <c r="O631" i="2"/>
  <c r="O630" i="2"/>
  <c r="O629" i="2"/>
  <c r="O628" i="2"/>
  <c r="O627" i="2"/>
  <c r="O626" i="2"/>
  <c r="O625" i="2"/>
  <c r="O624" i="2"/>
  <c r="O623" i="2"/>
  <c r="O622" i="2"/>
  <c r="O621" i="2"/>
  <c r="O620" i="2"/>
  <c r="O619" i="2"/>
  <c r="O618" i="2"/>
  <c r="O617" i="2"/>
  <c r="O616" i="2"/>
  <c r="O615" i="2"/>
  <c r="O614" i="2"/>
  <c r="O613" i="2"/>
  <c r="O612" i="2"/>
  <c r="O611" i="2"/>
  <c r="O610" i="2"/>
  <c r="O609" i="2"/>
  <c r="O608" i="2"/>
  <c r="O607" i="2"/>
  <c r="O606" i="2"/>
  <c r="O605" i="2"/>
  <c r="O604" i="2"/>
  <c r="O603" i="2"/>
  <c r="O602" i="2"/>
  <c r="O601" i="2"/>
  <c r="O600" i="2"/>
  <c r="P599" i="2"/>
  <c r="P598" i="2"/>
  <c r="P597" i="2"/>
  <c r="O597" i="2"/>
  <c r="O595" i="2"/>
  <c r="O594" i="2"/>
  <c r="O593" i="2"/>
  <c r="O592" i="2"/>
  <c r="P591" i="2"/>
  <c r="O591" i="2"/>
  <c r="P590" i="2"/>
  <c r="O590" i="2"/>
  <c r="P589" i="2"/>
  <c r="O589" i="2"/>
  <c r="P588" i="2"/>
  <c r="O588" i="2"/>
  <c r="P587" i="2"/>
  <c r="O587" i="2"/>
  <c r="P586" i="2"/>
  <c r="O586" i="2"/>
  <c r="O585" i="2"/>
  <c r="O584" i="2"/>
  <c r="O583" i="2"/>
  <c r="O582" i="2"/>
  <c r="O581" i="2"/>
  <c r="O580" i="2"/>
  <c r="P579" i="2"/>
  <c r="O579" i="2"/>
  <c r="P578" i="2"/>
  <c r="O578" i="2"/>
  <c r="P577" i="2"/>
  <c r="O577" i="2"/>
  <c r="P576" i="2"/>
  <c r="O576" i="2"/>
  <c r="O575" i="2"/>
  <c r="O574" i="2"/>
  <c r="O573" i="2"/>
  <c r="O572" i="2"/>
  <c r="O571" i="2"/>
  <c r="O570" i="2"/>
  <c r="O569" i="2"/>
  <c r="O568" i="2"/>
  <c r="O567" i="2"/>
  <c r="O566" i="2"/>
  <c r="O565" i="2"/>
  <c r="O564" i="2"/>
  <c r="O563" i="2"/>
  <c r="O562" i="2"/>
  <c r="O561" i="2"/>
  <c r="O560" i="2"/>
  <c r="O559" i="2"/>
  <c r="O558" i="2"/>
  <c r="O557" i="2"/>
  <c r="O556" i="2"/>
  <c r="O555" i="2"/>
  <c r="P554" i="2"/>
  <c r="O554" i="2"/>
  <c r="P553" i="2"/>
  <c r="O553" i="2"/>
  <c r="P552" i="2"/>
  <c r="O552" i="2"/>
  <c r="P551" i="2"/>
  <c r="O551" i="2"/>
  <c r="P550" i="2"/>
  <c r="O550" i="2"/>
  <c r="P549" i="2"/>
  <c r="O549" i="2"/>
  <c r="O548" i="2"/>
  <c r="O547" i="2"/>
  <c r="P546" i="2"/>
  <c r="O546" i="2"/>
  <c r="P545" i="2"/>
  <c r="O545" i="2"/>
  <c r="P544" i="2"/>
  <c r="O544" i="2"/>
  <c r="P543" i="2"/>
  <c r="O543" i="2"/>
  <c r="P542" i="2"/>
  <c r="O542" i="2"/>
  <c r="P541" i="2"/>
  <c r="O541" i="2"/>
  <c r="P540" i="2"/>
  <c r="O540" i="2"/>
  <c r="P539" i="2"/>
  <c r="O539" i="2"/>
  <c r="P538" i="2"/>
  <c r="O538" i="2"/>
  <c r="P537" i="2"/>
  <c r="O537" i="2"/>
  <c r="P536" i="2"/>
  <c r="O536" i="2"/>
  <c r="O535" i="2"/>
  <c r="O534" i="2"/>
  <c r="O533" i="2"/>
  <c r="O532" i="2"/>
  <c r="O531" i="2"/>
  <c r="O530" i="2"/>
  <c r="O529" i="2"/>
  <c r="O528" i="2"/>
  <c r="O527" i="2"/>
  <c r="O526" i="2"/>
  <c r="P525" i="2"/>
  <c r="O525" i="2"/>
  <c r="O524" i="2"/>
  <c r="O523" i="2"/>
  <c r="O522" i="2"/>
  <c r="O521" i="2"/>
  <c r="O520" i="2"/>
  <c r="O519" i="2"/>
  <c r="O518" i="2"/>
  <c r="O517" i="2"/>
  <c r="O516" i="2"/>
  <c r="O515" i="2"/>
  <c r="O514" i="2"/>
  <c r="O513" i="2"/>
  <c r="O512" i="2"/>
  <c r="O511" i="2"/>
  <c r="O510" i="2"/>
  <c r="O509" i="2"/>
  <c r="O508" i="2"/>
  <c r="O507" i="2"/>
  <c r="O506" i="2"/>
  <c r="O505" i="2"/>
  <c r="O504" i="2"/>
  <c r="O503" i="2"/>
  <c r="O502" i="2"/>
  <c r="O501" i="2"/>
  <c r="O500" i="2"/>
  <c r="P499" i="2"/>
  <c r="O499" i="2"/>
  <c r="P498" i="2"/>
  <c r="O498" i="2"/>
  <c r="P497" i="2"/>
  <c r="O497" i="2"/>
  <c r="P496" i="2"/>
  <c r="O496" i="2"/>
  <c r="P495" i="2"/>
  <c r="O495" i="2"/>
  <c r="P494" i="2"/>
  <c r="O494" i="2"/>
  <c r="P493" i="2"/>
  <c r="O493" i="2"/>
  <c r="P492" i="2"/>
  <c r="O492" i="2"/>
  <c r="P491" i="2"/>
  <c r="O491" i="2"/>
  <c r="P490" i="2"/>
  <c r="O490" i="2"/>
  <c r="P489" i="2"/>
  <c r="O489" i="2"/>
  <c r="P488" i="2"/>
  <c r="O488" i="2"/>
  <c r="P487" i="2"/>
  <c r="O487" i="2"/>
  <c r="P486" i="2"/>
  <c r="O486" i="2"/>
  <c r="P485" i="2"/>
  <c r="O485" i="2"/>
  <c r="P484" i="2"/>
  <c r="P483" i="2"/>
  <c r="O483" i="2"/>
  <c r="P482" i="2"/>
  <c r="O482" i="2"/>
  <c r="P481" i="2"/>
  <c r="O481" i="2"/>
  <c r="P480" i="2"/>
  <c r="O480" i="2"/>
  <c r="P479" i="2"/>
  <c r="O479" i="2"/>
  <c r="P478" i="2"/>
  <c r="O478" i="2"/>
  <c r="P477" i="2"/>
  <c r="O477" i="2"/>
  <c r="P476" i="2"/>
  <c r="O476" i="2"/>
  <c r="P475" i="2"/>
  <c r="O475" i="2"/>
  <c r="P474" i="2"/>
  <c r="O474" i="2"/>
  <c r="O473" i="2"/>
  <c r="O472" i="2"/>
  <c r="O471" i="2"/>
  <c r="P470" i="2"/>
  <c r="O470" i="2"/>
  <c r="O465" i="2"/>
  <c r="O464" i="2"/>
  <c r="O463" i="2"/>
  <c r="O462" i="2"/>
  <c r="O461" i="2"/>
  <c r="O460" i="2"/>
  <c r="P459" i="2"/>
  <c r="O459" i="2"/>
  <c r="P458" i="2"/>
  <c r="O458" i="2"/>
  <c r="O457" i="2"/>
  <c r="O456" i="2"/>
  <c r="O455" i="2"/>
  <c r="O454" i="2"/>
  <c r="O453" i="2"/>
  <c r="O452" i="2"/>
  <c r="O451" i="2"/>
  <c r="O450" i="2"/>
  <c r="O449" i="2"/>
  <c r="O448" i="2"/>
  <c r="O447" i="2"/>
  <c r="O446" i="2"/>
  <c r="O445" i="2"/>
  <c r="O444" i="2"/>
  <c r="O443" i="2"/>
  <c r="O442" i="2"/>
  <c r="O441" i="2"/>
  <c r="O440" i="2"/>
  <c r="O439" i="2"/>
  <c r="O438" i="2"/>
  <c r="O437" i="2"/>
  <c r="O436" i="2"/>
  <c r="O435" i="2"/>
  <c r="O434" i="2"/>
  <c r="O433" i="2"/>
  <c r="O432" i="2"/>
  <c r="O431" i="2"/>
  <c r="O430" i="2"/>
  <c r="O429" i="2"/>
  <c r="O428" i="2"/>
  <c r="O427" i="2"/>
  <c r="O426" i="2"/>
  <c r="O425" i="2"/>
  <c r="O424" i="2"/>
  <c r="P422" i="2"/>
  <c r="P421" i="2"/>
  <c r="O421" i="2"/>
  <c r="O420" i="2"/>
  <c r="O419" i="2"/>
  <c r="O418" i="2"/>
  <c r="O417" i="2"/>
  <c r="O416" i="2"/>
  <c r="O415" i="2"/>
  <c r="O414" i="2"/>
  <c r="O413" i="2"/>
  <c r="O412" i="2"/>
  <c r="O411" i="2"/>
  <c r="O410" i="2"/>
  <c r="O409" i="2"/>
  <c r="O408" i="2"/>
  <c r="O407" i="2"/>
  <c r="O406" i="2"/>
  <c r="O405" i="2"/>
  <c r="O404" i="2"/>
  <c r="O403" i="2"/>
  <c r="O402" i="2"/>
  <c r="O401" i="2"/>
  <c r="O398" i="2"/>
  <c r="O397" i="2"/>
  <c r="O396" i="2"/>
  <c r="O395" i="2"/>
  <c r="O394" i="2"/>
  <c r="O393" i="2"/>
  <c r="O390" i="2"/>
  <c r="O389" i="2"/>
  <c r="O388" i="2"/>
  <c r="O387" i="2"/>
  <c r="O386" i="2"/>
  <c r="O384" i="2"/>
  <c r="O383" i="2"/>
  <c r="O382" i="2"/>
  <c r="O381" i="2"/>
  <c r="O380" i="2"/>
  <c r="O379" i="2"/>
  <c r="O378" i="2"/>
  <c r="O377" i="2"/>
  <c r="O376" i="2"/>
  <c r="O375" i="2"/>
  <c r="O374" i="2"/>
  <c r="O373" i="2"/>
  <c r="O372" i="2"/>
  <c r="O371" i="2"/>
  <c r="O370" i="2"/>
  <c r="O369" i="2"/>
  <c r="O368" i="2"/>
  <c r="O367" i="2"/>
  <c r="O366" i="2"/>
  <c r="O365" i="2"/>
  <c r="O364" i="2"/>
  <c r="O363" i="2"/>
  <c r="O362" i="2"/>
  <c r="O361" i="2"/>
  <c r="O360" i="2"/>
  <c r="O359" i="2"/>
  <c r="O358" i="2"/>
  <c r="O357" i="2"/>
  <c r="O356" i="2"/>
  <c r="O355" i="2"/>
  <c r="O354" i="2"/>
  <c r="O353" i="2"/>
  <c r="O352" i="2"/>
  <c r="O351" i="2"/>
  <c r="O350" i="2"/>
  <c r="O349" i="2"/>
  <c r="P348" i="2"/>
  <c r="O348" i="2"/>
  <c r="P347" i="2"/>
  <c r="O347" i="2"/>
  <c r="P346" i="2"/>
  <c r="O346" i="2"/>
  <c r="P345" i="2"/>
  <c r="O345" i="2"/>
  <c r="P344" i="2"/>
  <c r="O344" i="2"/>
  <c r="P343" i="2"/>
  <c r="O343" i="2"/>
  <c r="O342" i="2"/>
  <c r="P341" i="2"/>
  <c r="O341" i="2"/>
  <c r="P340" i="2"/>
  <c r="O340" i="2"/>
  <c r="P339" i="2"/>
  <c r="O339" i="2"/>
  <c r="P338" i="2"/>
  <c r="O338" i="2"/>
  <c r="P337" i="2"/>
  <c r="O337" i="2"/>
  <c r="P336" i="2"/>
  <c r="O336" i="2"/>
  <c r="P335" i="2"/>
  <c r="O335" i="2"/>
  <c r="P334" i="2"/>
  <c r="O334" i="2"/>
  <c r="P333" i="2"/>
  <c r="O333" i="2"/>
  <c r="P332" i="2"/>
  <c r="O332" i="2"/>
  <c r="P331" i="2"/>
  <c r="O331" i="2"/>
  <c r="P330" i="2"/>
  <c r="O330" i="2"/>
  <c r="P329" i="2"/>
  <c r="O329" i="2"/>
  <c r="P328" i="2"/>
  <c r="O328" i="2"/>
  <c r="P327" i="2"/>
  <c r="O327" i="2"/>
  <c r="P326" i="2"/>
  <c r="O326" i="2"/>
  <c r="P325" i="2"/>
  <c r="O325" i="2"/>
  <c r="P324" i="2"/>
  <c r="O324" i="2"/>
  <c r="P323" i="2"/>
  <c r="O323" i="2"/>
  <c r="P322" i="2"/>
  <c r="O322" i="2"/>
  <c r="P321" i="2"/>
  <c r="O321" i="2"/>
  <c r="P320" i="2"/>
  <c r="O320" i="2"/>
  <c r="P319" i="2"/>
  <c r="O319" i="2"/>
  <c r="P318" i="2"/>
  <c r="O318" i="2"/>
  <c r="P317" i="2"/>
  <c r="O317" i="2"/>
  <c r="P316" i="2"/>
  <c r="O316" i="2"/>
  <c r="P315" i="2"/>
  <c r="O315" i="2"/>
  <c r="P314" i="2"/>
  <c r="O314" i="2"/>
  <c r="P313" i="2"/>
  <c r="O313" i="2"/>
  <c r="P312" i="2"/>
  <c r="O312" i="2"/>
  <c r="P311" i="2"/>
  <c r="O311" i="2"/>
  <c r="P310" i="2"/>
  <c r="O310" i="2"/>
  <c r="P309" i="2"/>
  <c r="O309" i="2"/>
  <c r="P308" i="2"/>
  <c r="P307" i="2"/>
  <c r="O307" i="2"/>
  <c r="P306" i="2"/>
  <c r="O306" i="2"/>
  <c r="P305" i="2"/>
  <c r="O305" i="2"/>
  <c r="P304" i="2"/>
  <c r="O304" i="2"/>
  <c r="P303" i="2"/>
  <c r="O303" i="2"/>
  <c r="P302" i="2"/>
  <c r="O302" i="2"/>
  <c r="P301" i="2"/>
  <c r="O301" i="2"/>
  <c r="P300" i="2"/>
  <c r="O300" i="2"/>
  <c r="P299" i="2"/>
  <c r="O299" i="2"/>
  <c r="P298" i="2"/>
  <c r="O298" i="2"/>
  <c r="P297" i="2"/>
  <c r="O297" i="2"/>
  <c r="P296" i="2"/>
  <c r="O296" i="2"/>
  <c r="P295" i="2"/>
  <c r="O295" i="2"/>
  <c r="P294" i="2"/>
  <c r="O294" i="2"/>
  <c r="P293" i="2"/>
  <c r="O293" i="2"/>
  <c r="P292" i="2"/>
  <c r="O292" i="2"/>
  <c r="P291" i="2"/>
  <c r="O291" i="2"/>
  <c r="P290" i="2"/>
  <c r="O290" i="2"/>
  <c r="P289" i="2"/>
  <c r="O289" i="2"/>
  <c r="P288" i="2"/>
  <c r="O288" i="2"/>
  <c r="P287" i="2"/>
  <c r="O287" i="2"/>
  <c r="P286" i="2"/>
  <c r="O286" i="2"/>
  <c r="P285" i="2"/>
  <c r="O285" i="2"/>
  <c r="P284" i="2"/>
  <c r="O284" i="2"/>
  <c r="P283" i="2"/>
  <c r="O283" i="2"/>
  <c r="P282" i="2"/>
  <c r="O282" i="2"/>
  <c r="P281" i="2"/>
  <c r="O281" i="2"/>
  <c r="P280" i="2"/>
  <c r="O280" i="2"/>
  <c r="P279" i="2"/>
  <c r="P278" i="2"/>
  <c r="P277" i="2"/>
  <c r="O276" i="2"/>
  <c r="O275" i="2"/>
  <c r="O274" i="2"/>
  <c r="P273" i="2"/>
  <c r="O273" i="2"/>
  <c r="P272" i="2"/>
  <c r="O272" i="2"/>
  <c r="P271" i="2"/>
  <c r="O271" i="2"/>
  <c r="P270" i="2"/>
  <c r="O270" i="2"/>
  <c r="P269" i="2"/>
  <c r="O269" i="2"/>
  <c r="P268" i="2"/>
  <c r="O268" i="2"/>
  <c r="P267" i="2"/>
  <c r="O267" i="2"/>
  <c r="P266" i="2"/>
  <c r="O266" i="2"/>
  <c r="P265" i="2"/>
  <c r="O265" i="2"/>
  <c r="P264" i="2"/>
  <c r="O264" i="2"/>
  <c r="P263" i="2"/>
  <c r="P262" i="2"/>
  <c r="O262" i="2"/>
  <c r="P261" i="2"/>
  <c r="P260" i="2"/>
  <c r="P259" i="2"/>
  <c r="O259" i="2"/>
  <c r="P258" i="2"/>
  <c r="P257" i="2"/>
  <c r="O257" i="2"/>
  <c r="P256" i="2"/>
  <c r="P255" i="2"/>
  <c r="P254" i="2"/>
  <c r="O254" i="2"/>
  <c r="P253" i="2"/>
  <c r="O253" i="2"/>
  <c r="P252" i="2"/>
  <c r="O252" i="2"/>
  <c r="P251" i="2"/>
  <c r="O251" i="2"/>
  <c r="O250" i="2"/>
  <c r="P249" i="2"/>
  <c r="O249" i="2"/>
  <c r="P248" i="2"/>
  <c r="O248" i="2"/>
  <c r="P247" i="2"/>
  <c r="O247" i="2"/>
  <c r="P246" i="2"/>
  <c r="O246" i="2"/>
  <c r="P245" i="2"/>
  <c r="O245" i="2"/>
  <c r="P244" i="2"/>
  <c r="O244" i="2"/>
  <c r="P243" i="2"/>
  <c r="P242" i="2"/>
  <c r="O242" i="2"/>
  <c r="P241" i="2"/>
  <c r="O241" i="2"/>
  <c r="P240" i="2"/>
  <c r="O240" i="2"/>
  <c r="P239" i="2"/>
  <c r="O239" i="2"/>
  <c r="P238" i="2"/>
  <c r="O238" i="2"/>
  <c r="P237" i="2"/>
  <c r="O237" i="2"/>
  <c r="P236" i="2"/>
  <c r="O236" i="2"/>
  <c r="P235" i="2"/>
  <c r="O235" i="2"/>
  <c r="P234" i="2"/>
  <c r="O234" i="2"/>
  <c r="P233" i="2"/>
  <c r="O233" i="2"/>
  <c r="P232" i="2"/>
  <c r="O232" i="2"/>
  <c r="P231" i="2"/>
  <c r="O231" i="2"/>
  <c r="P230" i="2"/>
  <c r="O230" i="2"/>
  <c r="P229" i="2"/>
  <c r="O229" i="2"/>
  <c r="O228" i="2"/>
  <c r="O227" i="2"/>
  <c r="O226" i="2"/>
  <c r="O225" i="2"/>
  <c r="O224" i="2"/>
  <c r="O223" i="2"/>
  <c r="O222" i="2"/>
  <c r="O221" i="2"/>
  <c r="O220" i="2"/>
  <c r="O219" i="2"/>
  <c r="O218" i="2"/>
  <c r="O217" i="2"/>
  <c r="O216" i="2"/>
  <c r="O215" i="2"/>
  <c r="O214" i="2"/>
  <c r="O213" i="2"/>
  <c r="P212" i="2"/>
  <c r="O212" i="2"/>
  <c r="P211" i="2"/>
  <c r="O211" i="2"/>
  <c r="P210" i="2"/>
  <c r="O210" i="2"/>
  <c r="P209" i="2"/>
  <c r="O209" i="2"/>
  <c r="P208" i="2"/>
  <c r="O208" i="2"/>
  <c r="P207" i="2"/>
  <c r="O207" i="2"/>
  <c r="P206" i="2"/>
  <c r="O206" i="2"/>
  <c r="P205" i="2"/>
  <c r="O205" i="2"/>
  <c r="P204" i="2"/>
  <c r="O204" i="2"/>
  <c r="P203" i="2"/>
  <c r="O203" i="2"/>
  <c r="P202" i="2"/>
  <c r="O202" i="2"/>
  <c r="P201" i="2"/>
  <c r="O201" i="2"/>
  <c r="P200" i="2"/>
  <c r="O200" i="2"/>
  <c r="P199" i="2"/>
  <c r="O199" i="2"/>
  <c r="P198" i="2"/>
  <c r="O198" i="2"/>
  <c r="O197" i="2"/>
  <c r="O196" i="2"/>
  <c r="O195" i="2"/>
  <c r="O194" i="2"/>
  <c r="O193" i="2"/>
  <c r="P192" i="2"/>
  <c r="O192" i="2"/>
  <c r="P191" i="2"/>
  <c r="O191" i="2"/>
  <c r="P190" i="2"/>
  <c r="O190" i="2"/>
  <c r="P189" i="2"/>
  <c r="O189" i="2"/>
  <c r="O188" i="2"/>
  <c r="O187" i="2"/>
  <c r="O186" i="2"/>
  <c r="O185" i="2"/>
  <c r="O184" i="2"/>
  <c r="O183" i="2"/>
  <c r="P182" i="2"/>
  <c r="O182" i="2"/>
  <c r="P181" i="2"/>
  <c r="O181" i="2"/>
  <c r="P180" i="2"/>
  <c r="O180" i="2"/>
  <c r="P179" i="2"/>
  <c r="O179" i="2"/>
  <c r="P178" i="2"/>
  <c r="O178" i="2"/>
  <c r="P177" i="2"/>
  <c r="O177" i="2"/>
  <c r="P176" i="2"/>
  <c r="O176" i="2"/>
  <c r="P175" i="2"/>
  <c r="O175" i="2"/>
  <c r="P174" i="2"/>
  <c r="O174" i="2"/>
  <c r="P173" i="2"/>
  <c r="O172" i="2"/>
  <c r="O171" i="2"/>
  <c r="P170" i="2"/>
  <c r="O170" i="2"/>
  <c r="P169" i="2"/>
  <c r="O169" i="2"/>
  <c r="P168" i="2"/>
  <c r="O168" i="2"/>
  <c r="P167" i="2"/>
  <c r="O167" i="2"/>
  <c r="P166" i="2"/>
  <c r="O166" i="2"/>
  <c r="P165" i="2"/>
  <c r="O165" i="2"/>
  <c r="P164" i="2"/>
  <c r="O164" i="2"/>
  <c r="P163" i="2"/>
  <c r="O163" i="2"/>
  <c r="P162" i="2"/>
  <c r="O162" i="2"/>
  <c r="P161" i="2"/>
  <c r="O161" i="2"/>
  <c r="P160" i="2"/>
  <c r="O160" i="2"/>
  <c r="P159" i="2"/>
  <c r="O159" i="2"/>
  <c r="P158" i="2"/>
  <c r="O158" i="2"/>
  <c r="P157" i="2"/>
  <c r="O157" i="2"/>
  <c r="P156" i="2"/>
  <c r="O156" i="2"/>
  <c r="P155" i="2"/>
  <c r="O155" i="2"/>
  <c r="P154" i="2"/>
  <c r="O154" i="2"/>
  <c r="P153" i="2"/>
  <c r="O153" i="2"/>
  <c r="P152" i="2"/>
  <c r="O152" i="2"/>
  <c r="P151" i="2"/>
  <c r="O151" i="2"/>
  <c r="P150" i="2"/>
  <c r="O150" i="2"/>
  <c r="P149" i="2"/>
  <c r="O149" i="2"/>
  <c r="P148" i="2"/>
  <c r="O148" i="2"/>
  <c r="P147" i="2"/>
  <c r="O147" i="2"/>
  <c r="P146" i="2"/>
  <c r="O146" i="2"/>
  <c r="P145" i="2"/>
  <c r="O145" i="2"/>
  <c r="P144" i="2"/>
  <c r="O144" i="2"/>
  <c r="P143" i="2"/>
  <c r="O143" i="2"/>
  <c r="P142" i="2"/>
  <c r="O142" i="2"/>
  <c r="P141" i="2"/>
  <c r="O141" i="2"/>
  <c r="P140" i="2"/>
  <c r="O140" i="2"/>
  <c r="P139" i="2"/>
  <c r="O139" i="2"/>
  <c r="P138" i="2"/>
  <c r="O138" i="2"/>
  <c r="P137" i="2"/>
  <c r="O137" i="2"/>
  <c r="P136" i="2"/>
  <c r="O136" i="2"/>
  <c r="P135" i="2"/>
  <c r="O135" i="2"/>
  <c r="P134" i="2"/>
  <c r="O134" i="2"/>
  <c r="P133" i="2"/>
  <c r="O133" i="2"/>
  <c r="P132" i="2"/>
  <c r="O132" i="2"/>
  <c r="P131" i="2"/>
  <c r="O131" i="2"/>
  <c r="P130" i="2"/>
  <c r="O130" i="2"/>
  <c r="P129" i="2"/>
  <c r="O129" i="2"/>
  <c r="P128" i="2"/>
  <c r="O128" i="2"/>
  <c r="P127" i="2"/>
  <c r="O127" i="2"/>
  <c r="P126" i="2"/>
  <c r="O126" i="2"/>
  <c r="P125" i="2"/>
  <c r="O125" i="2"/>
  <c r="P124" i="2"/>
  <c r="O124" i="2"/>
  <c r="P123" i="2"/>
  <c r="O123" i="2"/>
  <c r="P122" i="2"/>
  <c r="O122" i="2"/>
  <c r="P121" i="2"/>
  <c r="O121" i="2"/>
  <c r="P120" i="2"/>
  <c r="O120" i="2"/>
  <c r="P119" i="2"/>
  <c r="O119" i="2"/>
  <c r="P118" i="2"/>
  <c r="O118" i="2"/>
  <c r="P117" i="2"/>
  <c r="O117" i="2"/>
  <c r="P116" i="2"/>
  <c r="O116" i="2"/>
  <c r="P115" i="2"/>
  <c r="O115" i="2"/>
  <c r="P114" i="2"/>
  <c r="O114" i="2"/>
  <c r="P113" i="2"/>
  <c r="O113" i="2"/>
  <c r="P112" i="2"/>
  <c r="O112" i="2"/>
  <c r="P111" i="2"/>
  <c r="O111" i="2"/>
  <c r="P110" i="2"/>
  <c r="O110" i="2"/>
  <c r="P109" i="2"/>
  <c r="O109" i="2"/>
  <c r="P108" i="2"/>
  <c r="O108" i="2"/>
  <c r="P107" i="2"/>
  <c r="O107" i="2"/>
  <c r="P106" i="2"/>
  <c r="O106" i="2"/>
  <c r="P105" i="2"/>
  <c r="O105" i="2"/>
  <c r="P104" i="2"/>
  <c r="O104" i="2"/>
  <c r="P103" i="2"/>
  <c r="O103" i="2"/>
  <c r="P102" i="2"/>
  <c r="O102" i="2"/>
  <c r="P101" i="2"/>
  <c r="O101" i="2"/>
  <c r="P100" i="2"/>
  <c r="O100" i="2"/>
  <c r="P99" i="2"/>
  <c r="O99" i="2"/>
  <c r="P98" i="2"/>
  <c r="O98" i="2"/>
  <c r="P97" i="2"/>
  <c r="O97" i="2"/>
  <c r="P96" i="2"/>
  <c r="O96" i="2"/>
  <c r="P95" i="2"/>
  <c r="O95" i="2"/>
  <c r="P94" i="2"/>
  <c r="P93" i="2"/>
  <c r="O93" i="2"/>
  <c r="P92" i="2"/>
  <c r="O92" i="2"/>
  <c r="P91" i="2"/>
  <c r="O91" i="2"/>
  <c r="P90" i="2"/>
  <c r="O90" i="2"/>
  <c r="P89" i="2"/>
  <c r="O89" i="2"/>
  <c r="P88" i="2"/>
  <c r="O88" i="2"/>
  <c r="P87" i="2"/>
  <c r="O87" i="2"/>
  <c r="P86" i="2"/>
  <c r="O86" i="2"/>
  <c r="P85" i="2"/>
  <c r="O85" i="2"/>
  <c r="P84" i="2"/>
  <c r="O84" i="2"/>
  <c r="P83" i="2"/>
  <c r="O83" i="2"/>
  <c r="P82" i="2"/>
  <c r="O82" i="2"/>
  <c r="P81" i="2"/>
  <c r="O81" i="2"/>
  <c r="P80" i="2"/>
  <c r="O80" i="2"/>
  <c r="P79" i="2"/>
  <c r="O79" i="2"/>
  <c r="P78" i="2"/>
  <c r="O78" i="2"/>
  <c r="P77" i="2"/>
  <c r="O77" i="2"/>
  <c r="P76" i="2"/>
  <c r="O76" i="2"/>
  <c r="P75" i="2"/>
  <c r="O75" i="2"/>
  <c r="P74" i="2"/>
  <c r="O74" i="2"/>
  <c r="P73" i="2"/>
  <c r="O73" i="2"/>
  <c r="P72" i="2"/>
  <c r="O72" i="2"/>
  <c r="P71" i="2"/>
  <c r="O71" i="2"/>
  <c r="P70" i="2"/>
  <c r="O70" i="2"/>
  <c r="P69" i="2"/>
  <c r="O69" i="2"/>
  <c r="P68" i="2"/>
  <c r="O68" i="2"/>
  <c r="P67" i="2"/>
  <c r="O67" i="2"/>
  <c r="P66" i="2"/>
  <c r="O66" i="2"/>
  <c r="P65" i="2"/>
  <c r="O65" i="2"/>
  <c r="P64" i="2"/>
  <c r="O64" i="2"/>
  <c r="P63" i="2"/>
  <c r="O63" i="2"/>
  <c r="P62" i="2"/>
  <c r="O62" i="2"/>
  <c r="P61" i="2"/>
  <c r="O61" i="2"/>
  <c r="P60" i="2"/>
  <c r="O60" i="2"/>
  <c r="P59" i="2"/>
  <c r="O59" i="2"/>
  <c r="P58" i="2"/>
  <c r="O58" i="2"/>
  <c r="P57" i="2"/>
  <c r="O57" i="2"/>
  <c r="P56" i="2"/>
  <c r="O56" i="2"/>
  <c r="P55" i="2"/>
  <c r="O55" i="2"/>
  <c r="P54" i="2"/>
  <c r="O54" i="2"/>
  <c r="P53" i="2"/>
  <c r="O53" i="2"/>
  <c r="P52" i="2"/>
  <c r="O52" i="2"/>
  <c r="P51" i="2"/>
  <c r="O51" i="2"/>
  <c r="P50" i="2"/>
  <c r="O50" i="2"/>
  <c r="P49" i="2"/>
  <c r="O49" i="2"/>
  <c r="P48" i="2"/>
  <c r="O48" i="2"/>
  <c r="P47" i="2"/>
  <c r="O47" i="2"/>
  <c r="P46" i="2"/>
  <c r="O46" i="2"/>
  <c r="P45" i="2"/>
  <c r="O45" i="2"/>
  <c r="P44" i="2"/>
  <c r="O44" i="2"/>
  <c r="P43" i="2"/>
  <c r="O43" i="2"/>
  <c r="P42" i="2"/>
  <c r="O42" i="2"/>
  <c r="P41" i="2"/>
  <c r="O41" i="2"/>
  <c r="P40" i="2"/>
  <c r="O40" i="2"/>
  <c r="P39" i="2"/>
  <c r="O39" i="2"/>
  <c r="P38" i="2"/>
  <c r="O38" i="2"/>
  <c r="P37" i="2"/>
  <c r="O37" i="2"/>
  <c r="P36" i="2"/>
  <c r="O36" i="2"/>
  <c r="P35" i="2"/>
  <c r="O35" i="2"/>
  <c r="P34" i="2"/>
  <c r="O34" i="2"/>
  <c r="P33" i="2"/>
  <c r="O33" i="2"/>
  <c r="P32" i="2"/>
  <c r="O32" i="2"/>
  <c r="P31" i="2"/>
  <c r="O31" i="2"/>
  <c r="P30" i="2"/>
  <c r="P29" i="2"/>
  <c r="O29" i="2"/>
  <c r="P28" i="2"/>
  <c r="O28" i="2"/>
  <c r="P27" i="2"/>
  <c r="O27" i="2"/>
  <c r="P26" i="2"/>
  <c r="O26" i="2"/>
  <c r="P25" i="2"/>
  <c r="O25" i="2"/>
  <c r="P24" i="2"/>
  <c r="O24" i="2"/>
  <c r="P23" i="2"/>
  <c r="O23" i="2"/>
  <c r="P22" i="2"/>
  <c r="O22" i="2"/>
  <c r="P21" i="2"/>
  <c r="O21" i="2"/>
  <c r="P20" i="2"/>
  <c r="O20" i="2"/>
  <c r="P19" i="2"/>
  <c r="O19" i="2"/>
  <c r="P18" i="2"/>
  <c r="O18" i="2"/>
  <c r="P17" i="2"/>
  <c r="O17" i="2"/>
  <c r="P16" i="2"/>
  <c r="O16" i="2"/>
  <c r="P15" i="2"/>
  <c r="O15" i="2"/>
  <c r="P14" i="2"/>
  <c r="O14" i="2"/>
  <c r="P13" i="2"/>
  <c r="O13" i="2"/>
  <c r="P12" i="2"/>
  <c r="O12" i="2"/>
  <c r="P11" i="2"/>
  <c r="O11" i="2"/>
  <c r="P10" i="2"/>
  <c r="O10" i="2"/>
  <c r="P9" i="2"/>
  <c r="O9" i="2"/>
  <c r="P8" i="2"/>
  <c r="O8" i="2"/>
  <c r="P7" i="2"/>
  <c r="O7" i="2"/>
  <c r="P6" i="2"/>
  <c r="O6" i="2"/>
  <c r="P5" i="2"/>
  <c r="O5" i="2"/>
  <c r="P4" i="2"/>
  <c r="O4" i="2"/>
  <c r="P3" i="2"/>
  <c r="O3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57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6" i="2"/>
  <c r="H597" i="2"/>
  <c r="H598" i="2"/>
  <c r="H599" i="2"/>
  <c r="H600" i="2"/>
  <c r="H601" i="2"/>
  <c r="H602" i="2"/>
  <c r="H603" i="2"/>
  <c r="H604" i="2"/>
  <c r="H605" i="2"/>
  <c r="H606" i="2"/>
  <c r="H607" i="2"/>
  <c r="H608" i="2"/>
  <c r="H609" i="2"/>
  <c r="H610" i="2"/>
  <c r="H611" i="2"/>
  <c r="H612" i="2"/>
  <c r="H613" i="2"/>
  <c r="H614" i="2"/>
  <c r="H615" i="2"/>
  <c r="H616" i="2"/>
  <c r="H617" i="2"/>
  <c r="H618" i="2"/>
  <c r="H619" i="2"/>
  <c r="H620" i="2"/>
  <c r="H621" i="2"/>
  <c r="H622" i="2"/>
  <c r="H623" i="2"/>
  <c r="H624" i="2"/>
  <c r="H625" i="2"/>
  <c r="H626" i="2"/>
  <c r="H627" i="2"/>
  <c r="H628" i="2"/>
  <c r="H629" i="2"/>
  <c r="H630" i="2"/>
  <c r="H631" i="2"/>
  <c r="H632" i="2"/>
  <c r="H633" i="2"/>
  <c r="H634" i="2"/>
  <c r="H635" i="2"/>
  <c r="H636" i="2"/>
  <c r="H637" i="2"/>
  <c r="H638" i="2"/>
  <c r="H639" i="2"/>
  <c r="H640" i="2"/>
  <c r="H641" i="2"/>
  <c r="H642" i="2"/>
  <c r="H643" i="2"/>
  <c r="H644" i="2"/>
  <c r="H645" i="2"/>
  <c r="H646" i="2"/>
  <c r="H647" i="2"/>
  <c r="H648" i="2"/>
  <c r="H649" i="2"/>
  <c r="H650" i="2"/>
  <c r="H651" i="2"/>
  <c r="H652" i="2"/>
  <c r="H653" i="2"/>
  <c r="H654" i="2"/>
  <c r="H655" i="2"/>
  <c r="H656" i="2"/>
  <c r="H657" i="2"/>
  <c r="H658" i="2"/>
  <c r="H659" i="2"/>
  <c r="H660" i="2"/>
  <c r="H661" i="2"/>
  <c r="H662" i="2"/>
  <c r="H663" i="2"/>
  <c r="H664" i="2"/>
  <c r="H665" i="2"/>
  <c r="H666" i="2"/>
  <c r="H667" i="2"/>
  <c r="H668" i="2"/>
  <c r="H669" i="2"/>
  <c r="H670" i="2"/>
  <c r="H671" i="2"/>
  <c r="H672" i="2"/>
  <c r="H673" i="2"/>
  <c r="H674" i="2"/>
  <c r="H675" i="2"/>
  <c r="H676" i="2"/>
  <c r="H677" i="2"/>
  <c r="H678" i="2"/>
  <c r="H679" i="2"/>
  <c r="H680" i="2"/>
  <c r="H681" i="2"/>
  <c r="H682" i="2"/>
  <c r="H683" i="2"/>
  <c r="H684" i="2"/>
  <c r="H685" i="2"/>
  <c r="H686" i="2"/>
  <c r="H687" i="2"/>
  <c r="H688" i="2"/>
  <c r="H689" i="2"/>
  <c r="H690" i="2"/>
  <c r="H691" i="2"/>
  <c r="H692" i="2"/>
  <c r="H693" i="2"/>
  <c r="H694" i="2"/>
  <c r="H695" i="2"/>
  <c r="H696" i="2"/>
  <c r="H697" i="2"/>
  <c r="H698" i="2"/>
  <c r="H699" i="2"/>
  <c r="H700" i="2"/>
  <c r="H701" i="2"/>
  <c r="H702" i="2"/>
  <c r="H703" i="2"/>
  <c r="H704" i="2"/>
  <c r="H705" i="2"/>
  <c r="H706" i="2"/>
  <c r="H707" i="2"/>
  <c r="H708" i="2"/>
  <c r="H709" i="2"/>
  <c r="H710" i="2"/>
  <c r="H711" i="2"/>
  <c r="H712" i="2"/>
  <c r="H713" i="2"/>
  <c r="H714" i="2"/>
  <c r="H715" i="2"/>
  <c r="H716" i="2"/>
  <c r="H717" i="2"/>
  <c r="H718" i="2"/>
  <c r="H719" i="2"/>
  <c r="H720" i="2"/>
  <c r="H721" i="2"/>
  <c r="H722" i="2"/>
  <c r="H723" i="2"/>
  <c r="H724" i="2"/>
  <c r="H725" i="2"/>
  <c r="H726" i="2"/>
  <c r="H727" i="2"/>
  <c r="H728" i="2"/>
  <c r="H729" i="2"/>
  <c r="H730" i="2"/>
  <c r="H731" i="2"/>
  <c r="H732" i="2"/>
  <c r="H733" i="2"/>
  <c r="H734" i="2"/>
  <c r="H735" i="2"/>
  <c r="H736" i="2"/>
  <c r="H737" i="2"/>
  <c r="H738" i="2"/>
  <c r="H739" i="2"/>
  <c r="H740" i="2"/>
  <c r="H741" i="2"/>
  <c r="H742" i="2"/>
  <c r="H743" i="2"/>
  <c r="H744" i="2"/>
  <c r="H745" i="2"/>
  <c r="H746" i="2"/>
  <c r="H747" i="2"/>
  <c r="H748" i="2"/>
  <c r="H749" i="2"/>
  <c r="H750" i="2"/>
  <c r="H751" i="2"/>
  <c r="H752" i="2"/>
  <c r="H753" i="2"/>
  <c r="H754" i="2"/>
  <c r="H755" i="2"/>
  <c r="H756" i="2"/>
  <c r="H757" i="2"/>
  <c r="H758" i="2"/>
  <c r="H759" i="2"/>
  <c r="H760" i="2"/>
  <c r="H761" i="2"/>
  <c r="H762" i="2"/>
  <c r="H763" i="2"/>
  <c r="H764" i="2"/>
  <c r="H765" i="2"/>
  <c r="H766" i="2"/>
  <c r="H767" i="2"/>
  <c r="H768" i="2"/>
  <c r="H769" i="2"/>
  <c r="H770" i="2"/>
  <c r="H771" i="2"/>
  <c r="H772" i="2"/>
  <c r="H773" i="2"/>
  <c r="H774" i="2"/>
  <c r="H775" i="2"/>
  <c r="H776" i="2"/>
  <c r="H777" i="2"/>
  <c r="H778" i="2"/>
  <c r="H779" i="2"/>
  <c r="H780" i="2"/>
  <c r="H781" i="2"/>
  <c r="H782" i="2"/>
  <c r="H783" i="2"/>
  <c r="H784" i="2"/>
  <c r="H785" i="2"/>
  <c r="H786" i="2"/>
  <c r="H787" i="2"/>
  <c r="H788" i="2"/>
  <c r="H789" i="2"/>
  <c r="H790" i="2"/>
  <c r="H791" i="2"/>
  <c r="H792" i="2"/>
  <c r="H793" i="2"/>
  <c r="H794" i="2"/>
  <c r="H795" i="2"/>
  <c r="H796" i="2"/>
  <c r="H797" i="2"/>
  <c r="H798" i="2"/>
  <c r="H799" i="2"/>
  <c r="H800" i="2"/>
  <c r="H801" i="2"/>
  <c r="H802" i="2"/>
  <c r="H803" i="2"/>
  <c r="H804" i="2"/>
  <c r="H805" i="2"/>
  <c r="H806" i="2"/>
  <c r="H807" i="2"/>
  <c r="H808" i="2"/>
  <c r="H809" i="2"/>
  <c r="H810" i="2"/>
  <c r="H811" i="2"/>
  <c r="H812" i="2"/>
  <c r="H813" i="2"/>
  <c r="H814" i="2"/>
  <c r="H815" i="2"/>
  <c r="H816" i="2"/>
  <c r="H817" i="2"/>
  <c r="H818" i="2"/>
  <c r="H819" i="2"/>
  <c r="H820" i="2"/>
  <c r="H821" i="2"/>
  <c r="H822" i="2"/>
  <c r="H823" i="2"/>
  <c r="H824" i="2"/>
  <c r="H825" i="2"/>
  <c r="H826" i="2"/>
  <c r="H827" i="2"/>
  <c r="H828" i="2"/>
  <c r="H829" i="2"/>
  <c r="H830" i="2"/>
  <c r="H831" i="2"/>
  <c r="H832" i="2"/>
  <c r="H833" i="2"/>
  <c r="H834" i="2"/>
  <c r="H835" i="2"/>
  <c r="H836" i="2"/>
  <c r="H837" i="2"/>
  <c r="H838" i="2"/>
  <c r="H839" i="2"/>
  <c r="H840" i="2"/>
  <c r="H841" i="2"/>
  <c r="H842" i="2"/>
  <c r="H843" i="2"/>
  <c r="H844" i="2"/>
  <c r="H845" i="2"/>
  <c r="H846" i="2"/>
  <c r="H847" i="2"/>
  <c r="H848" i="2"/>
  <c r="H849" i="2"/>
  <c r="H850" i="2"/>
  <c r="H851" i="2"/>
  <c r="H852" i="2"/>
  <c r="H853" i="2"/>
  <c r="H854" i="2"/>
  <c r="H855" i="2"/>
  <c r="H856" i="2"/>
  <c r="H857" i="2"/>
  <c r="H858" i="2"/>
  <c r="H859" i="2"/>
  <c r="H860" i="2"/>
  <c r="H861" i="2"/>
  <c r="H862" i="2"/>
  <c r="H863" i="2"/>
  <c r="H864" i="2"/>
  <c r="H865" i="2"/>
  <c r="H866" i="2"/>
  <c r="H867" i="2"/>
  <c r="H868" i="2"/>
  <c r="H869" i="2"/>
  <c r="H870" i="2"/>
  <c r="H871" i="2"/>
  <c r="H872" i="2"/>
  <c r="H873" i="2"/>
  <c r="H874" i="2"/>
  <c r="H875" i="2"/>
  <c r="H876" i="2"/>
  <c r="H877" i="2"/>
  <c r="H878" i="2"/>
  <c r="H879" i="2"/>
  <c r="H880" i="2"/>
  <c r="H881" i="2"/>
  <c r="H882" i="2"/>
  <c r="H883" i="2"/>
  <c r="H884" i="2"/>
  <c r="H885" i="2"/>
  <c r="H886" i="2"/>
  <c r="H887" i="2"/>
  <c r="H888" i="2"/>
  <c r="H889" i="2"/>
</calcChain>
</file>

<file path=xl/sharedStrings.xml><?xml version="1.0" encoding="utf-8"?>
<sst xmlns="http://schemas.openxmlformats.org/spreadsheetml/2006/main" count="9597" uniqueCount="2776">
  <si>
    <t>BDO: 000003217</t>
  </si>
  <si>
    <t>www.kobi.pl</t>
  </si>
  <si>
    <t>EEI</t>
  </si>
  <si>
    <t/>
  </si>
  <si>
    <t>.</t>
  </si>
  <si>
    <t>BASIC PRICE LIST</t>
  </si>
  <si>
    <t>shall apply from</t>
  </si>
  <si>
    <t>GROUP</t>
  </si>
  <si>
    <t>DISCOUNT %</t>
  </si>
  <si>
    <t>LIGHT SOURCES</t>
  </si>
  <si>
    <t>INDUSTRIAL FIXTURES</t>
  </si>
  <si>
    <t>DOMESTIC LIGHTING</t>
  </si>
  <si>
    <t>ACCESSORIES</t>
  </si>
  <si>
    <t>the prices include KGO (waste management costs)</t>
  </si>
  <si>
    <t>the prices do not include tax (net prices)</t>
  </si>
  <si>
    <t xml:space="preserve">shall apply from: </t>
  </si>
  <si>
    <t>CATEGORY</t>
  </si>
  <si>
    <t>SUB-CATEGORY</t>
  </si>
  <si>
    <t>DESK LAMPS</t>
  </si>
  <si>
    <t>PROGRAMMERS</t>
  </si>
  <si>
    <t>LED DRIVERS</t>
  </si>
  <si>
    <t>GARDEN</t>
  </si>
  <si>
    <t>CEILING LAMPS</t>
  </si>
  <si>
    <t>FURNITURE-TYPE</t>
  </si>
  <si>
    <t>LED STRIPS</t>
  </si>
  <si>
    <t>PANELS</t>
  </si>
  <si>
    <t>NON-HERMETIC</t>
  </si>
  <si>
    <t>SOLAR FLOODLIGHTS</t>
  </si>
  <si>
    <t>FLOODLIGHTS</t>
  </si>
  <si>
    <t>HIGH BAY</t>
  </si>
  <si>
    <t>LED2B</t>
  </si>
  <si>
    <t>5902846013709</t>
  </si>
  <si>
    <t>5900605095768</t>
  </si>
  <si>
    <t>5902846010579</t>
  </si>
  <si>
    <t>5900605095751</t>
  </si>
  <si>
    <t>5902846011958</t>
  </si>
  <si>
    <t>5902846016472</t>
  </si>
  <si>
    <t>5902846016960</t>
  </si>
  <si>
    <t>5902846016656</t>
  </si>
  <si>
    <t>5902846016663</t>
  </si>
  <si>
    <t>5902201300338</t>
  </si>
  <si>
    <t>5902846010586</t>
  </si>
  <si>
    <t>5900605095720</t>
  </si>
  <si>
    <t>5900605097137</t>
  </si>
  <si>
    <t>5900605097144</t>
  </si>
  <si>
    <t>5902201300888</t>
  </si>
  <si>
    <t>5902201300895</t>
  </si>
  <si>
    <t>5902201300901</t>
  </si>
  <si>
    <t>5902846016816</t>
  </si>
  <si>
    <t>5902846016823</t>
  </si>
  <si>
    <t>5900605095287</t>
  </si>
  <si>
    <t>5902846017424</t>
  </si>
  <si>
    <t>5900605095294</t>
  </si>
  <si>
    <t>5902846017455</t>
  </si>
  <si>
    <t>5900605095300</t>
  </si>
  <si>
    <t>5902846018766</t>
  </si>
  <si>
    <t>5902201302349</t>
  </si>
  <si>
    <t>5902201304503</t>
  </si>
  <si>
    <t>5902201304510</t>
  </si>
  <si>
    <t>5900605094471</t>
  </si>
  <si>
    <t>5900605094488</t>
  </si>
  <si>
    <t>5900605094495</t>
  </si>
  <si>
    <t>5900605094501</t>
  </si>
  <si>
    <t>5900605094518</t>
  </si>
  <si>
    <t>5900605094525</t>
  </si>
  <si>
    <t>5900605095317</t>
  </si>
  <si>
    <t>5900605095324</t>
  </si>
  <si>
    <t>5900605095331</t>
  </si>
  <si>
    <t>5902846018681</t>
  </si>
  <si>
    <t>5902846018698</t>
  </si>
  <si>
    <t>5902846018704</t>
  </si>
  <si>
    <t>5900605092767</t>
  </si>
  <si>
    <t>5900605098264</t>
  </si>
  <si>
    <t>5900605093115</t>
  </si>
  <si>
    <t>5902201301960</t>
  </si>
  <si>
    <t>5902201301977</t>
  </si>
  <si>
    <t>5902201301984</t>
  </si>
  <si>
    <t>5900605098295</t>
  </si>
  <si>
    <t>5902201300727</t>
  </si>
  <si>
    <t>5900605098301</t>
  </si>
  <si>
    <t>5902201300734</t>
  </si>
  <si>
    <t>5900605098318</t>
  </si>
  <si>
    <t>5902201300741</t>
  </si>
  <si>
    <t>5900605093467</t>
  </si>
  <si>
    <t>5902846019107</t>
  </si>
  <si>
    <t>5900605097717</t>
  </si>
  <si>
    <t>5902846019114</t>
  </si>
  <si>
    <t>5900605093474</t>
  </si>
  <si>
    <t>5902846019121</t>
  </si>
  <si>
    <t>5900605091333</t>
  </si>
  <si>
    <t>5902846013839</t>
  </si>
  <si>
    <t>5900605097090</t>
  </si>
  <si>
    <t>5900605094136</t>
  </si>
  <si>
    <t>5900605097519</t>
  </si>
  <si>
    <t>5900605095553</t>
  </si>
  <si>
    <t>5902846017554</t>
  </si>
  <si>
    <t>5902846017486</t>
  </si>
  <si>
    <t>5902201300949</t>
  </si>
  <si>
    <t>5902846011224</t>
  </si>
  <si>
    <t>5902846011231</t>
  </si>
  <si>
    <t>5902846012993</t>
  </si>
  <si>
    <t>5900605091340</t>
  </si>
  <si>
    <t>5902846015277</t>
  </si>
  <si>
    <t>5900605097106</t>
  </si>
  <si>
    <t>5900605094143</t>
  </si>
  <si>
    <t>5900605097540</t>
  </si>
  <si>
    <t>5900605095560</t>
  </si>
  <si>
    <t>5902846017547</t>
  </si>
  <si>
    <t>5902846017493</t>
  </si>
  <si>
    <t>5902201300956</t>
  </si>
  <si>
    <t>5902846011248</t>
  </si>
  <si>
    <t>5902846011255</t>
  </si>
  <si>
    <t>5902846013006</t>
  </si>
  <si>
    <t>5902846015895</t>
  </si>
  <si>
    <t>5902846015901</t>
  </si>
  <si>
    <t>5902846015918</t>
  </si>
  <si>
    <t>5900605095126</t>
  </si>
  <si>
    <t>5900605097601</t>
  </si>
  <si>
    <t>5900605095133</t>
  </si>
  <si>
    <t>5900605098127</t>
  </si>
  <si>
    <t>5902846010432</t>
  </si>
  <si>
    <t>5902201301502</t>
  </si>
  <si>
    <t>5902201301519</t>
  </si>
  <si>
    <t>5900605093801</t>
  </si>
  <si>
    <t>5900605091319</t>
  </si>
  <si>
    <t>5900605098066</t>
  </si>
  <si>
    <t>5900605097113</t>
  </si>
  <si>
    <t>5900605094112</t>
  </si>
  <si>
    <t>5900605097526</t>
  </si>
  <si>
    <t>5900605095539</t>
  </si>
  <si>
    <t>5902846017530</t>
  </si>
  <si>
    <t>5902201300963</t>
  </si>
  <si>
    <t>5902846011200</t>
  </si>
  <si>
    <t>5902846011217</t>
  </si>
  <si>
    <t>5902846012979</t>
  </si>
  <si>
    <t>5900605093856</t>
  </si>
  <si>
    <t>5900605094129</t>
  </si>
  <si>
    <t>5900605097533</t>
  </si>
  <si>
    <t>5900605095546</t>
  </si>
  <si>
    <t>5902846017561</t>
  </si>
  <si>
    <t>5902846017578</t>
  </si>
  <si>
    <t>5902201300970</t>
  </si>
  <si>
    <t>5902846012085</t>
  </si>
  <si>
    <t>5906340213740</t>
  </si>
  <si>
    <t>5902846012986</t>
  </si>
  <si>
    <t>5902201301632</t>
  </si>
  <si>
    <t>5902846016205</t>
  </si>
  <si>
    <t>5902846016212</t>
  </si>
  <si>
    <t>5902846016298</t>
  </si>
  <si>
    <t>5902846016236</t>
  </si>
  <si>
    <t>5902846016304</t>
  </si>
  <si>
    <t>5902846016243</t>
  </si>
  <si>
    <t>5902846010685</t>
  </si>
  <si>
    <t>5902846015802</t>
  </si>
  <si>
    <t>5902846015819</t>
  </si>
  <si>
    <t>5902846016724</t>
  </si>
  <si>
    <t>5902846016731</t>
  </si>
  <si>
    <t>5902846016748</t>
  </si>
  <si>
    <t>5902846010784</t>
  </si>
  <si>
    <t>5902201301151</t>
  </si>
  <si>
    <t>5902846019459</t>
  </si>
  <si>
    <t>5902201301175</t>
  </si>
  <si>
    <t>5902201301144</t>
  </si>
  <si>
    <t>5902201301168</t>
  </si>
  <si>
    <t>5902846014461</t>
  </si>
  <si>
    <t>5902846014485</t>
  </si>
  <si>
    <t>5900605092569</t>
  </si>
  <si>
    <t>5906340215225</t>
  </si>
  <si>
    <t>5900605098813</t>
  </si>
  <si>
    <t>5902201301649</t>
  </si>
  <si>
    <t>5900605098790</t>
  </si>
  <si>
    <t>5902201301656</t>
  </si>
  <si>
    <t>5902846018872</t>
  </si>
  <si>
    <t>5902846013761</t>
  </si>
  <si>
    <t>5902201304268</t>
  </si>
  <si>
    <t>5900605096628</t>
  </si>
  <si>
    <t>5902846018834</t>
  </si>
  <si>
    <t>5902846018827</t>
  </si>
  <si>
    <t>5902846011361</t>
  </si>
  <si>
    <t>5902846012221</t>
  </si>
  <si>
    <t>5900605099384</t>
  </si>
  <si>
    <t>5900605099391</t>
  </si>
  <si>
    <t>5900605099407</t>
  </si>
  <si>
    <t>5900605099360</t>
  </si>
  <si>
    <t>5900605099377</t>
  </si>
  <si>
    <t>5900605099353</t>
  </si>
  <si>
    <t>5900605096116</t>
  </si>
  <si>
    <t>5900605096123</t>
  </si>
  <si>
    <t>5902846011804</t>
  </si>
  <si>
    <t>5902846016854</t>
  </si>
  <si>
    <t>5902846016861</t>
  </si>
  <si>
    <t>5902201300468</t>
  </si>
  <si>
    <t>5902846018131</t>
  </si>
  <si>
    <t>5902846018155</t>
  </si>
  <si>
    <t>5902201303551</t>
  </si>
  <si>
    <t>5902201303599</t>
  </si>
  <si>
    <t>5902201303629</t>
  </si>
  <si>
    <t>5902846013815</t>
  </si>
  <si>
    <t>5902846013822</t>
  </si>
  <si>
    <t>5902201302127</t>
  </si>
  <si>
    <t>5902201302134</t>
  </si>
  <si>
    <t>5902201302141</t>
  </si>
  <si>
    <t>5902846015697</t>
  </si>
  <si>
    <t>5902201300505</t>
  </si>
  <si>
    <t>5902846018223</t>
  </si>
  <si>
    <t>5902846018261</t>
  </si>
  <si>
    <t>5902846010562</t>
  </si>
  <si>
    <t>5902201300628</t>
  </si>
  <si>
    <t>5902846015352</t>
  </si>
  <si>
    <t>5900605098028</t>
  </si>
  <si>
    <t>5902846011750</t>
  </si>
  <si>
    <t>5902201301250</t>
  </si>
  <si>
    <t>5902201301267</t>
  </si>
  <si>
    <t>5902201301274</t>
  </si>
  <si>
    <t>5902201301281</t>
  </si>
  <si>
    <t>5902201301212</t>
  </si>
  <si>
    <t>5902201301229</t>
  </si>
  <si>
    <t>5902201301236</t>
  </si>
  <si>
    <t>5902201301243</t>
  </si>
  <si>
    <t>5900605097892</t>
  </si>
  <si>
    <t>5906340216987</t>
  </si>
  <si>
    <t>5906340218882</t>
  </si>
  <si>
    <t>5906340219599</t>
  </si>
  <si>
    <t>5906340219131</t>
  </si>
  <si>
    <t>5906340218875</t>
  </si>
  <si>
    <t>5902846016045</t>
  </si>
  <si>
    <t>5900605096314</t>
  </si>
  <si>
    <t>5900605096321</t>
  </si>
  <si>
    <t>5902846019244</t>
  </si>
  <si>
    <t>5900605096758</t>
  </si>
  <si>
    <t>5900605097670</t>
  </si>
  <si>
    <t>5900605098684</t>
  </si>
  <si>
    <t>5900605098714</t>
  </si>
  <si>
    <t>5902846014362</t>
  </si>
  <si>
    <t>5902846014379</t>
  </si>
  <si>
    <t>5900605097700</t>
  </si>
  <si>
    <t>5900605097694</t>
  </si>
  <si>
    <t>5902846014409</t>
  </si>
  <si>
    <t>5902201304329</t>
  </si>
  <si>
    <t>5902846014584</t>
  </si>
  <si>
    <t>5902846014591</t>
  </si>
  <si>
    <t>5902846014607</t>
  </si>
  <si>
    <t>5902846014614</t>
  </si>
  <si>
    <t>5902846014638</t>
  </si>
  <si>
    <t>5900605098110</t>
  </si>
  <si>
    <t>5900605095515</t>
  </si>
  <si>
    <t>5900605095522</t>
  </si>
  <si>
    <t>5902846011149</t>
  </si>
  <si>
    <t>5902846011156</t>
  </si>
  <si>
    <t>5900605098325</t>
  </si>
  <si>
    <t>5900605098363</t>
  </si>
  <si>
    <t>5902846013174</t>
  </si>
  <si>
    <t>5902846013181</t>
  </si>
  <si>
    <t>5900605094648</t>
  </si>
  <si>
    <t>5900605097366</t>
  </si>
  <si>
    <t>5900605097373</t>
  </si>
  <si>
    <t>5902846011446</t>
  </si>
  <si>
    <t>5902846011439</t>
  </si>
  <si>
    <t>5902846011422</t>
  </si>
  <si>
    <t>5902201300437</t>
  </si>
  <si>
    <t>5902846013198</t>
  </si>
  <si>
    <t>5902846013204</t>
  </si>
  <si>
    <t>5900605098332</t>
  </si>
  <si>
    <t>5900605098370</t>
  </si>
  <si>
    <t>5906340210879</t>
  </si>
  <si>
    <t>5906340210824</t>
  </si>
  <si>
    <t>5906340210862</t>
  </si>
  <si>
    <t>5906340216185</t>
  </si>
  <si>
    <t>5900605092965</t>
  </si>
  <si>
    <t>5900605093641</t>
  </si>
  <si>
    <t>5900605093443</t>
  </si>
  <si>
    <t>5902846011279</t>
  </si>
  <si>
    <t>5902846011262</t>
  </si>
  <si>
    <t>5900605093429</t>
  </si>
  <si>
    <t>5902846011293</t>
  </si>
  <si>
    <t>5902846011286</t>
  </si>
  <si>
    <t>5900605097830</t>
  </si>
  <si>
    <t>5900605099155</t>
  </si>
  <si>
    <t>5900605099148</t>
  </si>
  <si>
    <t>5902846011392</t>
  </si>
  <si>
    <t>5902846011354</t>
  </si>
  <si>
    <t>5906340210947</t>
  </si>
  <si>
    <t>5906340210893</t>
  </si>
  <si>
    <t>5906340210930</t>
  </si>
  <si>
    <t>5906340217977</t>
  </si>
  <si>
    <t>5900605094785</t>
  </si>
  <si>
    <t>5900605093573</t>
  </si>
  <si>
    <t>5900605093580</t>
  </si>
  <si>
    <t>5900605097809</t>
  </si>
  <si>
    <t>5900605093597</t>
  </si>
  <si>
    <t>5900605093603</t>
  </si>
  <si>
    <t>5900605092347</t>
  </si>
  <si>
    <t>5900605090589</t>
  </si>
  <si>
    <t>5900605090572</t>
  </si>
  <si>
    <t>5906340219285</t>
  </si>
  <si>
    <t>5906340218301</t>
  </si>
  <si>
    <t>5900605093849</t>
  </si>
  <si>
    <t>5900605093832</t>
  </si>
  <si>
    <t>5900605091531</t>
  </si>
  <si>
    <t>5900605095225</t>
  </si>
  <si>
    <t>5902201300390</t>
  </si>
  <si>
    <t>5906340210091</t>
  </si>
  <si>
    <t>5906340210107</t>
  </si>
  <si>
    <t>5906340213719</t>
  </si>
  <si>
    <t>5902201302257</t>
  </si>
  <si>
    <t>5902201302264</t>
  </si>
  <si>
    <t>5902201302271</t>
  </si>
  <si>
    <t>5900605092828</t>
  </si>
  <si>
    <t>5900605092835</t>
  </si>
  <si>
    <t>5900605092804</t>
  </si>
  <si>
    <t>5906340211883</t>
  </si>
  <si>
    <t>5902201304589</t>
  </si>
  <si>
    <t>5902201304190</t>
  </si>
  <si>
    <t>5902201304206</t>
  </si>
  <si>
    <t>5902201304596</t>
  </si>
  <si>
    <t>5902201304220</t>
  </si>
  <si>
    <t>5900605096505</t>
  </si>
  <si>
    <t>5900605096536</t>
  </si>
  <si>
    <t>5900605098035</t>
  </si>
  <si>
    <t>5900605096420</t>
  </si>
  <si>
    <t>5900605093351</t>
  </si>
  <si>
    <t>5900605096482</t>
  </si>
  <si>
    <t>5900605096512</t>
  </si>
  <si>
    <t>5900605092408</t>
  </si>
  <si>
    <t>5900605096383</t>
  </si>
  <si>
    <t>5900605093337</t>
  </si>
  <si>
    <t>5900605096413</t>
  </si>
  <si>
    <t>5900605091838</t>
  </si>
  <si>
    <t>5900605099261</t>
  </si>
  <si>
    <t>5900605096574</t>
  </si>
  <si>
    <t>5900605099254</t>
  </si>
  <si>
    <t>5900605096369</t>
  </si>
  <si>
    <t>5900605096390</t>
  </si>
  <si>
    <t>5900605096406</t>
  </si>
  <si>
    <t>5900605096437</t>
  </si>
  <si>
    <t>5900605096451</t>
  </si>
  <si>
    <t>5902201304541</t>
  </si>
  <si>
    <t>5902201304602</t>
  </si>
  <si>
    <t>EPREL</t>
  </si>
  <si>
    <t>OPRAWA OŚWIETLENIOWA RUTO 100W E27 WHITE</t>
  </si>
  <si>
    <t>LED POWER SUPPLY 150W 12,5A 12V IP67 PRO</t>
  </si>
  <si>
    <t>5902846018889</t>
  </si>
  <si>
    <t>5902479642857</t>
  </si>
  <si>
    <t>5902479642864</t>
  </si>
  <si>
    <t>5902201304879</t>
  </si>
  <si>
    <t>5902201304886</t>
  </si>
  <si>
    <t>5902201304916</t>
  </si>
  <si>
    <t>5902201304923</t>
  </si>
  <si>
    <t>5902201305739</t>
  </si>
  <si>
    <t>5902201305746</t>
  </si>
  <si>
    <t>5902846013921</t>
  </si>
  <si>
    <t>5902201305470</t>
  </si>
  <si>
    <t>5902201305463</t>
  </si>
  <si>
    <t>5902201305708</t>
  </si>
  <si>
    <t>5902846011743</t>
  </si>
  <si>
    <t>5902201305883</t>
  </si>
  <si>
    <t>5902201305876</t>
  </si>
  <si>
    <t>5902201305760</t>
  </si>
  <si>
    <t>5902201305678</t>
  </si>
  <si>
    <t>5902201305661</t>
  </si>
  <si>
    <t>5902201305999</t>
  </si>
  <si>
    <t>5902201305890</t>
  </si>
  <si>
    <t>5900605097564</t>
  </si>
  <si>
    <t>5902846019503</t>
  </si>
  <si>
    <t>5902846019510</t>
  </si>
  <si>
    <t>5902201300796</t>
  </si>
  <si>
    <t>5902201300802</t>
  </si>
  <si>
    <t>5902201300819</t>
  </si>
  <si>
    <t>5902201305722</t>
  </si>
  <si>
    <t>5902846019534</t>
  </si>
  <si>
    <t>HERMETIC FIXTURES</t>
  </si>
  <si>
    <t>5902201303780</t>
  </si>
  <si>
    <t>5902201303803</t>
  </si>
  <si>
    <t>5902201303797</t>
  </si>
  <si>
    <t>5902201303810</t>
  </si>
  <si>
    <t>5902201300789</t>
  </si>
  <si>
    <t>5902201308075</t>
  </si>
  <si>
    <t>5902201308082</t>
  </si>
  <si>
    <t>5902201308167</t>
  </si>
  <si>
    <t>5902201308099</t>
  </si>
  <si>
    <t>5902201308174</t>
  </si>
  <si>
    <t>5902201308105</t>
  </si>
  <si>
    <t>5902201308112</t>
  </si>
  <si>
    <t>5902201308129</t>
  </si>
  <si>
    <t>5902201308136</t>
  </si>
  <si>
    <t>5902201308143</t>
  </si>
  <si>
    <t>5902201308181</t>
  </si>
  <si>
    <t>5902201308150</t>
  </si>
  <si>
    <t>5902201308198</t>
  </si>
  <si>
    <t>5902201307993</t>
  </si>
  <si>
    <t>5902201305951</t>
  </si>
  <si>
    <t>5902201305968</t>
  </si>
  <si>
    <t>5902201308334</t>
  </si>
  <si>
    <t>5902201308341</t>
  </si>
  <si>
    <t>5902201308228</t>
  </si>
  <si>
    <t>5902201308235</t>
  </si>
  <si>
    <t>5900605098837</t>
  </si>
  <si>
    <t>5902846011774</t>
  </si>
  <si>
    <t>5900605098486</t>
  </si>
  <si>
    <t>5900605098493</t>
  </si>
  <si>
    <t>5900605098462</t>
  </si>
  <si>
    <t>5902846010357</t>
  </si>
  <si>
    <t>5900605098097</t>
  </si>
  <si>
    <t>5900605098479</t>
  </si>
  <si>
    <t>5900605098011</t>
  </si>
  <si>
    <t>5902846010371</t>
  </si>
  <si>
    <t>5900605099278</t>
  </si>
  <si>
    <t>5902846010265</t>
  </si>
  <si>
    <t>5902846010487</t>
  </si>
  <si>
    <t>5902201301076</t>
  </si>
  <si>
    <t>5902846012801</t>
  </si>
  <si>
    <t>5902846012634</t>
  </si>
  <si>
    <t>5902846012641</t>
  </si>
  <si>
    <t>5902846012658</t>
  </si>
  <si>
    <t>5902846012665</t>
  </si>
  <si>
    <t>5902846012672</t>
  </si>
  <si>
    <t>5902846012689</t>
  </si>
  <si>
    <t>5902846012795</t>
  </si>
  <si>
    <t>5902846018865</t>
  </si>
  <si>
    <t>5902846012696</t>
  </si>
  <si>
    <t>5902846012702</t>
  </si>
  <si>
    <t>5902846012719</t>
  </si>
  <si>
    <t>5902846012726</t>
  </si>
  <si>
    <t>5902846012771</t>
  </si>
  <si>
    <t>5902846012788</t>
  </si>
  <si>
    <t>5902201301694</t>
  </si>
  <si>
    <t>5902201301182</t>
  </si>
  <si>
    <t>5902846012757</t>
  </si>
  <si>
    <t>5902846012764</t>
  </si>
  <si>
    <t>5902846012733</t>
  </si>
  <si>
    <t>5902846012740</t>
  </si>
  <si>
    <t>5900605099414</t>
  </si>
  <si>
    <t>5902201308433</t>
  </si>
  <si>
    <t>5902201308440</t>
  </si>
  <si>
    <t>5902201308365</t>
  </si>
  <si>
    <t>5902201308372</t>
  </si>
  <si>
    <t>5902201305425</t>
  </si>
  <si>
    <t>5902201305753</t>
  </si>
  <si>
    <t>5906340215997</t>
  </si>
  <si>
    <t>5906340210008</t>
  </si>
  <si>
    <t>5902201307443</t>
  </si>
  <si>
    <t>5900605090626</t>
  </si>
  <si>
    <t>5902201305555</t>
  </si>
  <si>
    <t>5902201307436</t>
  </si>
  <si>
    <t>5902846012825</t>
  </si>
  <si>
    <t>5902846012832</t>
  </si>
  <si>
    <t>5902846015246</t>
  </si>
  <si>
    <t>5902846015239</t>
  </si>
  <si>
    <t>5902201359343</t>
  </si>
  <si>
    <t>5902201359350</t>
  </si>
  <si>
    <t>5902201359367</t>
  </si>
  <si>
    <t>5902201359374</t>
  </si>
  <si>
    <t>5902201359381</t>
  </si>
  <si>
    <t>5902846015741</t>
  </si>
  <si>
    <t>5902201359190</t>
  </si>
  <si>
    <t>5902201359503</t>
  </si>
  <si>
    <t>5902201359510</t>
  </si>
  <si>
    <t>5902201359251</t>
  </si>
  <si>
    <t>5902201359244</t>
  </si>
  <si>
    <t>5902846015758</t>
  </si>
  <si>
    <t>5902846015734</t>
  </si>
  <si>
    <t>5902846015727</t>
  </si>
  <si>
    <t>5902846015475</t>
  </si>
  <si>
    <t>5900605098806</t>
  </si>
  <si>
    <t>5902201301663</t>
  </si>
  <si>
    <t>5902846015970</t>
  </si>
  <si>
    <t>5902846015505</t>
  </si>
  <si>
    <t>5902846015680</t>
  </si>
  <si>
    <t>5902846015444</t>
  </si>
  <si>
    <t>5902846015284</t>
  </si>
  <si>
    <t>5902846015338</t>
  </si>
  <si>
    <t>5902846015345</t>
  </si>
  <si>
    <t>KOBI LIGHT SP. Z O.O.</t>
  </si>
  <si>
    <t>5902201364972</t>
  </si>
  <si>
    <t>5902201364989</t>
  </si>
  <si>
    <t>5902201364996</t>
  </si>
  <si>
    <t>5902201359589</t>
  </si>
  <si>
    <t>5902846015932</t>
  </si>
  <si>
    <t>5902846018124</t>
  </si>
  <si>
    <t>5902846018148</t>
  </si>
  <si>
    <t>5902846018216</t>
  </si>
  <si>
    <t>5902846018278</t>
  </si>
  <si>
    <t>5902846013723</t>
  </si>
  <si>
    <t>5902846015864</t>
  </si>
  <si>
    <t>5902846015871</t>
  </si>
  <si>
    <t>5902846015987</t>
  </si>
  <si>
    <t>5902201365016</t>
  </si>
  <si>
    <t>5902201365023</t>
  </si>
  <si>
    <t>5902201365030</t>
  </si>
  <si>
    <t>5902201365009</t>
  </si>
  <si>
    <t>5902201364194</t>
  </si>
  <si>
    <t>5902201364200</t>
  </si>
  <si>
    <t>5902201364613</t>
  </si>
  <si>
    <t>5902201364590</t>
  </si>
  <si>
    <t>5902201364569</t>
  </si>
  <si>
    <t>5902201364576</t>
  </si>
  <si>
    <t>5902201364552</t>
  </si>
  <si>
    <t>5902201364545</t>
  </si>
  <si>
    <t>5902201365153</t>
  </si>
  <si>
    <t>5902201364538</t>
  </si>
  <si>
    <t>5902201365160</t>
  </si>
  <si>
    <t>5902201365177</t>
  </si>
  <si>
    <t>5902201365184</t>
  </si>
  <si>
    <t>5902201365139</t>
  </si>
  <si>
    <t>5902201365146</t>
  </si>
  <si>
    <t>5902201368673</t>
  </si>
  <si>
    <t>5902201368680</t>
  </si>
  <si>
    <t>5902201368697</t>
  </si>
  <si>
    <t>5902201368703</t>
  </si>
  <si>
    <t>5902846019350</t>
  </si>
  <si>
    <t>5902846019367</t>
  </si>
  <si>
    <t>5902201368253</t>
  </si>
  <si>
    <t>5902201368246</t>
  </si>
  <si>
    <t>5902201364620</t>
  </si>
  <si>
    <t>5902201369700</t>
  </si>
  <si>
    <t>5902201371246</t>
  </si>
  <si>
    <t>5902201371253</t>
  </si>
  <si>
    <t>5902201371208</t>
  </si>
  <si>
    <t>5902201371215</t>
  </si>
  <si>
    <t>5902201371239</t>
  </si>
  <si>
    <t>5902201369731</t>
  </si>
  <si>
    <t>5902201368543</t>
  </si>
  <si>
    <t>5902201368628</t>
  </si>
  <si>
    <t>5902201368574</t>
  </si>
  <si>
    <t>5902201371147</t>
  </si>
  <si>
    <t>5902201371154</t>
  </si>
  <si>
    <t>5902201371161</t>
  </si>
  <si>
    <t>5902201371178</t>
  </si>
  <si>
    <t>5902201371185</t>
  </si>
  <si>
    <t>5902201371192</t>
  </si>
  <si>
    <t>5902201373752</t>
  </si>
  <si>
    <t>5902201373769</t>
  </si>
  <si>
    <t>5906340214853</t>
  </si>
  <si>
    <t>5906340214860</t>
  </si>
  <si>
    <t>5906340214914</t>
  </si>
  <si>
    <t>5906340214921</t>
  </si>
  <si>
    <t>5906340215034</t>
  </si>
  <si>
    <t>5906340215041</t>
  </si>
  <si>
    <t>5902201373707</t>
  </si>
  <si>
    <t>5902201373714</t>
  </si>
  <si>
    <t>5902201373721</t>
  </si>
  <si>
    <t>5902201373738</t>
  </si>
  <si>
    <t>5902201373745</t>
  </si>
  <si>
    <t>5902201370973</t>
  </si>
  <si>
    <t>5902201370997</t>
  </si>
  <si>
    <t>5902201370904</t>
  </si>
  <si>
    <t>5902201370898</t>
  </si>
  <si>
    <t>5902201370935</t>
  </si>
  <si>
    <t>5902201371017</t>
  </si>
  <si>
    <t>5902201371024</t>
  </si>
  <si>
    <t>5902201371048</t>
  </si>
  <si>
    <t>5902201371079</t>
  </si>
  <si>
    <t>5902201371116</t>
  </si>
  <si>
    <t>5902201371031</t>
  </si>
  <si>
    <t>5902201370928</t>
  </si>
  <si>
    <t>5902201371055</t>
  </si>
  <si>
    <t>5902201371062</t>
  </si>
  <si>
    <t>5902201371000</t>
  </si>
  <si>
    <t>5902201371093</t>
  </si>
  <si>
    <t>5902201370942</t>
  </si>
  <si>
    <t>5902201370959</t>
  </si>
  <si>
    <t>5902201370966</t>
  </si>
  <si>
    <t>5902201370980</t>
  </si>
  <si>
    <t>5902201371086</t>
  </si>
  <si>
    <t>STREET LIGHTING</t>
  </si>
  <si>
    <t>TECHNICAL LIGHTING</t>
  </si>
  <si>
    <t>EXTENSION CORDS</t>
  </si>
  <si>
    <t>5902201369892</t>
  </si>
  <si>
    <t>5902201359442</t>
  </si>
  <si>
    <t>5902201375961</t>
  </si>
  <si>
    <t>5902201375954</t>
  </si>
  <si>
    <t>5902201375978</t>
  </si>
  <si>
    <t>5902201374308</t>
  </si>
  <si>
    <t>5902201378177</t>
  </si>
  <si>
    <t>5902201373639</t>
  </si>
  <si>
    <t>5902201373646</t>
  </si>
  <si>
    <t>5900605097403</t>
  </si>
  <si>
    <t>5900605097410</t>
  </si>
  <si>
    <t>5902201370881</t>
  </si>
  <si>
    <t>5902201375992</t>
  </si>
  <si>
    <t>5902201375985</t>
  </si>
  <si>
    <t>5902201376005</t>
  </si>
  <si>
    <t>5902201373578</t>
  </si>
  <si>
    <t>5902201373608</t>
  </si>
  <si>
    <t>5902201373615</t>
  </si>
  <si>
    <t>5902201373622</t>
  </si>
  <si>
    <t>5902201373585</t>
  </si>
  <si>
    <t>5902201373592</t>
  </si>
  <si>
    <t>5902201373561</t>
  </si>
  <si>
    <t>5902201373554</t>
  </si>
  <si>
    <t>5902201375596</t>
  </si>
  <si>
    <t>5902201375602</t>
  </si>
  <si>
    <t>5902201375619</t>
  </si>
  <si>
    <t>5902201374414</t>
  </si>
  <si>
    <t>5902201375572</t>
  </si>
  <si>
    <t>5902201375565</t>
  </si>
  <si>
    <t>5902201375558</t>
  </si>
  <si>
    <t>5902201375541</t>
  </si>
  <si>
    <t>5902201374292</t>
  </si>
  <si>
    <t>5902201382907</t>
  </si>
  <si>
    <t>5902201366280</t>
  </si>
  <si>
    <t>5902201366273</t>
  </si>
  <si>
    <t>5902201366310</t>
  </si>
  <si>
    <t>5902201366242</t>
  </si>
  <si>
    <t>5902201366303</t>
  </si>
  <si>
    <t>5902201366297</t>
  </si>
  <si>
    <t>5902201366235</t>
  </si>
  <si>
    <t>5902201366266</t>
  </si>
  <si>
    <t>5902201366259</t>
  </si>
  <si>
    <t>5902201366334</t>
  </si>
  <si>
    <t>5902201366372</t>
  </si>
  <si>
    <t>5902201366228</t>
  </si>
  <si>
    <t>5902201366389</t>
  </si>
  <si>
    <t>5902201366365</t>
  </si>
  <si>
    <t>5902201366358</t>
  </si>
  <si>
    <t>5902201366327</t>
  </si>
  <si>
    <t>5902201366341</t>
  </si>
  <si>
    <t>5902201369946</t>
  </si>
  <si>
    <t>5902201369953</t>
  </si>
  <si>
    <t>5902201369960</t>
  </si>
  <si>
    <t>5902201369977</t>
  </si>
  <si>
    <t>LED TRAMO 300 5050 IP20 RGB 5M</t>
  </si>
  <si>
    <t>LIGHTING FIXTURE WEGA 75W/PC E27 WHITE</t>
  </si>
  <si>
    <t>LED HPL1 30W 120 PRO P</t>
  </si>
  <si>
    <t>LED HPL1 30W 90 PRO P</t>
  </si>
  <si>
    <t>LED HPL1 45W 120 PRO P</t>
  </si>
  <si>
    <t>LED HPL1 45W 90 PRO P</t>
  </si>
  <si>
    <t>LED HPL1 60W 120 PRO P</t>
  </si>
  <si>
    <t>LED HPL1 75W 120 PRO P</t>
  </si>
  <si>
    <t>LED HPL1 75W 90 PRO P</t>
  </si>
  <si>
    <t>LED HPL2 90W 120 PRO P</t>
  </si>
  <si>
    <t>LED HPL2 120W 120 PRO P</t>
  </si>
  <si>
    <t>LED HPL2 120W 90 PRO P</t>
  </si>
  <si>
    <t>LED HPL2 150W 120 PRO P</t>
  </si>
  <si>
    <t>HANDLE FOR NINA HB 150W</t>
  </si>
  <si>
    <t>HANDLE FOR NINA HB 200W</t>
  </si>
  <si>
    <t>LED KOBI SEUL 100W 4000K</t>
  </si>
  <si>
    <t>LED KOBI SEUL 150W 4000K</t>
  </si>
  <si>
    <t>LED KOBI SEUL 200W 4000K</t>
  </si>
  <si>
    <t>LED KOBI SEUL 50W 4000K</t>
  </si>
  <si>
    <t>5902201369717</t>
  </si>
  <si>
    <t>5902201369724</t>
  </si>
  <si>
    <t>NEXLINE1 31W P</t>
  </si>
  <si>
    <t>NEXLINE2 62W P</t>
  </si>
  <si>
    <t>SOMA PC 100 PLASTIC MESH</t>
  </si>
  <si>
    <t>SOMA PC 100  METAL  MESH</t>
  </si>
  <si>
    <t>SOMA PC 60  METAL MESH</t>
  </si>
  <si>
    <t>SOMA PC 60 PLASTIC MESH</t>
  </si>
  <si>
    <t>HANGING LAMPS</t>
  </si>
  <si>
    <t>SOLAR GARDEN LIGHTS</t>
  </si>
  <si>
    <t>PRISMATIC COVER FOR HERMIC 2X120</t>
  </si>
  <si>
    <t>5902201369748</t>
  </si>
  <si>
    <t>5902201369755</t>
  </si>
  <si>
    <t>LED T8 STARTER</t>
  </si>
  <si>
    <t>DESKTOP DRIVER 12V 24W 2,0A</t>
  </si>
  <si>
    <t>DESKTOP DRIVER 12V 30W 2,5A</t>
  </si>
  <si>
    <t>DESKTOP DRIVER 12V 36W 3,0A</t>
  </si>
  <si>
    <t>DESKTOP DRIVER 12V 42W 3,5A</t>
  </si>
  <si>
    <t>DESKTOP DRIVER 12V 60W 5,0A</t>
  </si>
  <si>
    <t>DESKTOP DRIVER 12V  72W 6,0A</t>
  </si>
  <si>
    <t>DESKTOP DRIVER 12V 90W 7,5A</t>
  </si>
  <si>
    <t>DESKTOP DRIVER 12V 120W 10,0A</t>
  </si>
  <si>
    <t>DRIVER 10W 0,83A 12V IP67</t>
  </si>
  <si>
    <t>LED POWER SUPPLY 12V 20W 1,67A IP67</t>
  </si>
  <si>
    <t>LED POWER SUPPLY 12V 30W 2,5A IP67</t>
  </si>
  <si>
    <t>LED POWER SUPPLY 50W 4.16A 12V IP67</t>
  </si>
  <si>
    <t>LED POWER SUPPLY 60W 5A 12V IP67</t>
  </si>
  <si>
    <t>LED POWER SUPPLY 80W 6,67A 12V IP67</t>
  </si>
  <si>
    <t>LED POWER SUPPLY 100W 8,3A 12V IP65</t>
  </si>
  <si>
    <t>LED POWER SUPPLY 120W 10A 12V IP67</t>
  </si>
  <si>
    <t>LED POWER SUPPLY 200W 16,7A 12V IP67</t>
  </si>
  <si>
    <t>LED POWER SUPPLY 6W 0,5A 12V</t>
  </si>
  <si>
    <t>LED POWER SUPPLY 12V  25W 2,1A</t>
  </si>
  <si>
    <t>LED POWER SUPPLY 35W 3,00A MONT</t>
  </si>
  <si>
    <t>LED DRIVER 12V 60W 5,0A</t>
  </si>
  <si>
    <t>LED POWER SUPPLY 100W 8,3A 12V MODUŁ</t>
  </si>
  <si>
    <t>LED POWER SUPPLY 150W 12,5A 12V</t>
  </si>
  <si>
    <t>LED POWER SUPPLY 12V 200W 16,6A</t>
  </si>
  <si>
    <t>LED POWER SUPPLY 250W 20,8A 12V</t>
  </si>
  <si>
    <t>POWER SUPPLY 12V 350W 29,0A</t>
  </si>
  <si>
    <t>5902201376753</t>
  </si>
  <si>
    <t>5902201376760</t>
  </si>
  <si>
    <t>5902201376777</t>
  </si>
  <si>
    <t>5902201376746</t>
  </si>
  <si>
    <t>5902201378948</t>
  </si>
  <si>
    <t>5902201376852</t>
  </si>
  <si>
    <t>5902201376869</t>
  </si>
  <si>
    <t>5902201376876</t>
  </si>
  <si>
    <t>5902201376883</t>
  </si>
  <si>
    <t>5902201376890</t>
  </si>
  <si>
    <t>5902201376906</t>
  </si>
  <si>
    <t>5902201376821</t>
  </si>
  <si>
    <t>5902201376838</t>
  </si>
  <si>
    <t>5902201376845</t>
  </si>
  <si>
    <t>5902201378184</t>
  </si>
  <si>
    <t>5902201378191</t>
  </si>
  <si>
    <t>5902201378207</t>
  </si>
  <si>
    <t>5902201378214</t>
  </si>
  <si>
    <t>5902201378221</t>
  </si>
  <si>
    <t>5902201378238</t>
  </si>
  <si>
    <t>5902201378245</t>
  </si>
  <si>
    <t>5902201378252</t>
  </si>
  <si>
    <t>5902201378276</t>
  </si>
  <si>
    <t>5902201378283</t>
  </si>
  <si>
    <t>5902201378290</t>
  </si>
  <si>
    <t>5902201378313</t>
  </si>
  <si>
    <t>5902201378320</t>
  </si>
  <si>
    <t>5902201378399</t>
  </si>
  <si>
    <t>5902201378405</t>
  </si>
  <si>
    <t>5902201378412</t>
  </si>
  <si>
    <t>5902201378436</t>
  </si>
  <si>
    <t>5902201378429</t>
  </si>
  <si>
    <t>5902201378306</t>
  </si>
  <si>
    <t>5902201380705</t>
  </si>
  <si>
    <t>5902201380712</t>
  </si>
  <si>
    <t>5902201381887</t>
  </si>
  <si>
    <t>5902201384307</t>
  </si>
  <si>
    <t>5902201384185</t>
  </si>
  <si>
    <t>5902201384192</t>
  </si>
  <si>
    <t>5902201384208</t>
  </si>
  <si>
    <t>5902201384215</t>
  </si>
  <si>
    <t>5902201384222</t>
  </si>
  <si>
    <t>5902201384239</t>
  </si>
  <si>
    <t>5902201384246</t>
  </si>
  <si>
    <t>5902201384253</t>
  </si>
  <si>
    <t>5902201384260</t>
  </si>
  <si>
    <t>5902201384277</t>
  </si>
  <si>
    <t>5902201384284</t>
  </si>
  <si>
    <t>5902201384291</t>
  </si>
  <si>
    <t>5902201369847</t>
  </si>
  <si>
    <t>5902201369854</t>
  </si>
  <si>
    <t>5902201380828</t>
  </si>
  <si>
    <t>5902201380835</t>
  </si>
  <si>
    <t>5902201383829</t>
  </si>
  <si>
    <t>5902201383836</t>
  </si>
  <si>
    <t>5902201383867</t>
  </si>
  <si>
    <t>5902201383874</t>
  </si>
  <si>
    <t>5902201383904</t>
  </si>
  <si>
    <t>5902201383911</t>
  </si>
  <si>
    <t>5902201383942</t>
  </si>
  <si>
    <t>5902201383843</t>
  </si>
  <si>
    <t>5902201383850</t>
  </si>
  <si>
    <t>5902201383881</t>
  </si>
  <si>
    <t>5902201383898</t>
  </si>
  <si>
    <t>5902201383928</t>
  </si>
  <si>
    <t>5902201383935</t>
  </si>
  <si>
    <t>5902201383959</t>
  </si>
  <si>
    <t>5902201382983</t>
  </si>
  <si>
    <t>5902201382976</t>
  </si>
  <si>
    <t>5902201382945</t>
  </si>
  <si>
    <t>5902201382938</t>
  </si>
  <si>
    <t>5902201382921</t>
  </si>
  <si>
    <t>5902201382952</t>
  </si>
  <si>
    <t>5902201382969</t>
  </si>
  <si>
    <t>5902201383164</t>
  </si>
  <si>
    <t>5902201382914</t>
  </si>
  <si>
    <t>5902201383171</t>
  </si>
  <si>
    <t>5902201383195</t>
  </si>
  <si>
    <t>5902201383188</t>
  </si>
  <si>
    <t>5902201383218</t>
  </si>
  <si>
    <t>5902201383201</t>
  </si>
  <si>
    <t>5902201383010</t>
  </si>
  <si>
    <t>5902201383034</t>
  </si>
  <si>
    <t>5902201383058</t>
  </si>
  <si>
    <t>5902201383126</t>
  </si>
  <si>
    <t>5902201383102</t>
  </si>
  <si>
    <t>5902201383096</t>
  </si>
  <si>
    <t>5902201383119</t>
  </si>
  <si>
    <t>5902201383072</t>
  </si>
  <si>
    <t>5902201383089</t>
  </si>
  <si>
    <t>5902201383027</t>
  </si>
  <si>
    <t>5902201383041</t>
  </si>
  <si>
    <t>5902201383065</t>
  </si>
  <si>
    <t>5902201383133</t>
  </si>
  <si>
    <t>5902201383140</t>
  </si>
  <si>
    <t>5902201383157</t>
  </si>
  <si>
    <t>5902201380767</t>
  </si>
  <si>
    <t>5902201380774</t>
  </si>
  <si>
    <t>5902201380781</t>
  </si>
  <si>
    <t>5902201380798</t>
  </si>
  <si>
    <t>5902201380804</t>
  </si>
  <si>
    <t>5902201380811</t>
  </si>
  <si>
    <t>5902201380743</t>
  </si>
  <si>
    <t>5902201380750</t>
  </si>
  <si>
    <t>5902201380842</t>
  </si>
  <si>
    <t>5902201380859</t>
  </si>
  <si>
    <t>5902201380866</t>
  </si>
  <si>
    <t>5902201380873</t>
  </si>
  <si>
    <t>5902201380880</t>
  </si>
  <si>
    <t>5902201380897</t>
  </si>
  <si>
    <t>5902201380903</t>
  </si>
  <si>
    <t>5902201380910</t>
  </si>
  <si>
    <t>5902846017387</t>
  </si>
  <si>
    <t>5902201386271</t>
  </si>
  <si>
    <t>5902201386264</t>
  </si>
  <si>
    <t>5902201384413</t>
  </si>
  <si>
    <t>5902201384420</t>
  </si>
  <si>
    <t>5902201386288</t>
  </si>
  <si>
    <t>5902201386295</t>
  </si>
  <si>
    <t>5902201386301</t>
  </si>
  <si>
    <t>5902201387124</t>
  </si>
  <si>
    <t>5902201387117</t>
  </si>
  <si>
    <t>5902201387131</t>
  </si>
  <si>
    <t>5902201387148</t>
  </si>
  <si>
    <t>5902201387155</t>
  </si>
  <si>
    <t>5902201389050</t>
  </si>
  <si>
    <t>LED GS 10,5W E27 3000K LED2B</t>
  </si>
  <si>
    <t>LED GS 10,5W E27 4000K LED2B</t>
  </si>
  <si>
    <t>5902201385977</t>
  </si>
  <si>
    <t>5902201385984</t>
  </si>
  <si>
    <t>5902201386530</t>
  </si>
  <si>
    <t>5902201386523</t>
  </si>
  <si>
    <t>5902201386547</t>
  </si>
  <si>
    <t>5902201386332</t>
  </si>
  <si>
    <t>5902201386356</t>
  </si>
  <si>
    <t>5902201386394</t>
  </si>
  <si>
    <t>5902201386400</t>
  </si>
  <si>
    <t>5902201386417</t>
  </si>
  <si>
    <t>5902201386387</t>
  </si>
  <si>
    <t>5902201386424</t>
  </si>
  <si>
    <t>5902201386462</t>
  </si>
  <si>
    <t>5902201386493</t>
  </si>
  <si>
    <t>5902201386509</t>
  </si>
  <si>
    <t>5902201386431</t>
  </si>
  <si>
    <t>5902201386455</t>
  </si>
  <si>
    <t>5902201386516</t>
  </si>
  <si>
    <t>5902201386479</t>
  </si>
  <si>
    <t>5902201386349</t>
  </si>
  <si>
    <t>5902201386363</t>
  </si>
  <si>
    <t>5902201386370</t>
  </si>
  <si>
    <t>Tuby LED T8</t>
  </si>
  <si>
    <t>Taśmy LED</t>
  </si>
  <si>
    <t>Żarówki LED</t>
  </si>
  <si>
    <t>Panele</t>
  </si>
  <si>
    <t>High bay</t>
  </si>
  <si>
    <t>Naświetlacze solarne</t>
  </si>
  <si>
    <t>Plafony</t>
  </si>
  <si>
    <t>Liniowe LED</t>
  </si>
  <si>
    <t>Downlight</t>
  </si>
  <si>
    <t>Uliczne</t>
  </si>
  <si>
    <t>Liniowe hermetyczne</t>
  </si>
  <si>
    <t>Szynoprzewód i akcesoria</t>
  </si>
  <si>
    <t>Uliczne solarne</t>
  </si>
  <si>
    <t>Naświetlacze LED</t>
  </si>
  <si>
    <t>Liniowe niehermetyczne</t>
  </si>
  <si>
    <t>Oprawy techniczne</t>
  </si>
  <si>
    <t>Oprawy na szynoprzewód</t>
  </si>
  <si>
    <t>Dekoracyjne podtynkowe</t>
  </si>
  <si>
    <t>Girlandy</t>
  </si>
  <si>
    <t>Lampy wiszące</t>
  </si>
  <si>
    <t>Ogrodowe</t>
  </si>
  <si>
    <t>Ogrodowe solarne</t>
  </si>
  <si>
    <t>Wzrost roślin</t>
  </si>
  <si>
    <t>Lampki biurkowe</t>
  </si>
  <si>
    <t>Dekoracyjne natynkowe</t>
  </si>
  <si>
    <t>Meblowe</t>
  </si>
  <si>
    <t>Akcesoria</t>
  </si>
  <si>
    <t>Item name</t>
  </si>
  <si>
    <t>List price €</t>
  </si>
  <si>
    <t>LED BULBS</t>
  </si>
  <si>
    <t>LED2B Red</t>
  </si>
  <si>
    <t>LED tube T8 9W 60cm 4000K LED2B RED</t>
  </si>
  <si>
    <t>001318</t>
  </si>
  <si>
    <t>LED tube T8 9W 60cm 6500K LED2B RED</t>
  </si>
  <si>
    <t>001320</t>
  </si>
  <si>
    <t>LED tube T8 18W 120cm 4000K LED2B RED</t>
  </si>
  <si>
    <t>001309</t>
  </si>
  <si>
    <t>LED tube T8 18W 120Ccm 6500K LED2B RED</t>
  </si>
  <si>
    <t>001310</t>
  </si>
  <si>
    <t>LED tube T8 22W 150cm 4000K LED2B RED</t>
  </si>
  <si>
    <t>001313</t>
  </si>
  <si>
    <t>LED tube T8 22W 150cm 6500K LED2B RED</t>
  </si>
  <si>
    <t>001315</t>
  </si>
  <si>
    <t>LED tube T8 9W 60cm 4000K LED2B</t>
  </si>
  <si>
    <t>001319</t>
  </si>
  <si>
    <t>LED tube T8 9W 60cm 6500K LED2B</t>
  </si>
  <si>
    <t>001321</t>
  </si>
  <si>
    <t>LED tube T8 18W 120CM 4000K LED2B</t>
  </si>
  <si>
    <t>001308</t>
  </si>
  <si>
    <t>LED tube T8 18W 120cm 6500K LED2B</t>
  </si>
  <si>
    <t>001311</t>
  </si>
  <si>
    <t>LED tube T8 22W 150cm 4000K LED2B</t>
  </si>
  <si>
    <t>001312</t>
  </si>
  <si>
    <t>LED tube T8 22W 150cm 6500K LED2B</t>
  </si>
  <si>
    <t>001314</t>
  </si>
  <si>
    <t>Kobi Premium</t>
  </si>
  <si>
    <t>LED tube T8 9W 60CM 6500K Kobi Premium</t>
  </si>
  <si>
    <t>001386</t>
  </si>
  <si>
    <t>LED tube T8 G2 9W 60cm 4000K Kobi Premium</t>
  </si>
  <si>
    <t>003924</t>
  </si>
  <si>
    <t>LED tube T8 G2 9W 60cm 6500K Kobi Premium</t>
  </si>
  <si>
    <t>003925</t>
  </si>
  <si>
    <t>LED tube T8 18W 120cm 3000K Kobi Premium</t>
  </si>
  <si>
    <t>001380</t>
  </si>
  <si>
    <t>LED tube T8 G2 18W 120cm 3000K Kobi Premium</t>
  </si>
  <si>
    <t>003926</t>
  </si>
  <si>
    <t>LED tube T8 18W 120cm 4000K Kobi Premium</t>
  </si>
  <si>
    <t>001381</t>
  </si>
  <si>
    <t>LED tube T8 G2 18W 120cm 4000K Kobi Premium</t>
  </si>
  <si>
    <t>003927</t>
  </si>
  <si>
    <t>LED tube T8 G2 18W 120cm 6500K Kobi Premium</t>
  </si>
  <si>
    <t>003928</t>
  </si>
  <si>
    <t>LED tube T8 22W 150cm 4000K Kobi Premium</t>
  </si>
  <si>
    <t>001383</t>
  </si>
  <si>
    <t>LED tube T8 G2 22W 150cm 4000K Kobi Premium</t>
  </si>
  <si>
    <t>003929</t>
  </si>
  <si>
    <t>LED tube T8 22W 150cm 6500K Kobi Premium</t>
  </si>
  <si>
    <t>001384</t>
  </si>
  <si>
    <t>LED tube T8 G2 22W 150cm 6500K Kobi Premium</t>
  </si>
  <si>
    <t>003930</t>
  </si>
  <si>
    <t>Kobi</t>
  </si>
  <si>
    <t>LED bulb GU10 1W 3000K Kobi</t>
  </si>
  <si>
    <t>001199</t>
  </si>
  <si>
    <t>LED bulb GU10 1W 4000K Kobi</t>
  </si>
  <si>
    <t>001200</t>
  </si>
  <si>
    <t>LED bulb GU10 1W 6000K Kobi</t>
  </si>
  <si>
    <t>001201</t>
  </si>
  <si>
    <t>LED bulb GU10 4W 4000K Kobi Premium</t>
  </si>
  <si>
    <t>001213</t>
  </si>
  <si>
    <t>LED bulb GU10 5W 3000K Kobi</t>
  </si>
  <si>
    <t>001215</t>
  </si>
  <si>
    <t>LED bulb GU10 5W 4000K Kobi</t>
  </si>
  <si>
    <t>001217</t>
  </si>
  <si>
    <t>LED bulb GU10 5W 6000K Kobi</t>
  </si>
  <si>
    <t>001220</t>
  </si>
  <si>
    <t>LED bulb GU10 7W 3000K Kobi</t>
  </si>
  <si>
    <t>001226</t>
  </si>
  <si>
    <t>LED bulb GU10 7W 4000K Kobi</t>
  </si>
  <si>
    <t>001228</t>
  </si>
  <si>
    <t>LED bulb GU10 7W 6000K Kobi</t>
  </si>
  <si>
    <t>001230</t>
  </si>
  <si>
    <t>LED bulb GU10 3W 3000K Kobi Premium</t>
  </si>
  <si>
    <t>001205</t>
  </si>
  <si>
    <t>LED bulb GU10 3W 4000K Kobi Premium</t>
  </si>
  <si>
    <t>001206</t>
  </si>
  <si>
    <t>LED bulb GU10 3W 6200K Kobi Premium</t>
  </si>
  <si>
    <t>001208</t>
  </si>
  <si>
    <t>LED bulb GU10 5W 3000K Kobi Premium</t>
  </si>
  <si>
    <t>001216</t>
  </si>
  <si>
    <t>LED bulb GU10 5W 4000K Kobi Premium</t>
  </si>
  <si>
    <t>001218</t>
  </si>
  <si>
    <t>LED bulb GU10 5W 6500K Kobi Premium</t>
  </si>
  <si>
    <t>001221</t>
  </si>
  <si>
    <t>LED bulb GU10 7W 3000K Kobi Premium</t>
  </si>
  <si>
    <t>001227</t>
  </si>
  <si>
    <t>LED bulb GU10 7W 4000K Kobi Premium</t>
  </si>
  <si>
    <t>001229</t>
  </si>
  <si>
    <t>LED bulb GU10 7W 6500K Kobi Premium</t>
  </si>
  <si>
    <t>001231</t>
  </si>
  <si>
    <t>LED bulb GU10 9W 3000K Kobi Premium</t>
  </si>
  <si>
    <t>001235</t>
  </si>
  <si>
    <t>LED bulb GU10 9W 4000K Kobi Premium</t>
  </si>
  <si>
    <t>001236</t>
  </si>
  <si>
    <t>LED bulb GU10 9W 6000K Kobi Premium</t>
  </si>
  <si>
    <t>001237</t>
  </si>
  <si>
    <t>LED bulb GU10 8,5W 3000K</t>
  </si>
  <si>
    <t>003810</t>
  </si>
  <si>
    <t>LED bulb GU10 8,5W 4000K LED2B</t>
  </si>
  <si>
    <t>003811</t>
  </si>
  <si>
    <t>LED bulb GU10 8,5W 6500K LED2B</t>
  </si>
  <si>
    <t>003812</t>
  </si>
  <si>
    <t>LED bulb G9 3W 3000K Kobi</t>
  </si>
  <si>
    <t>001161</t>
  </si>
  <si>
    <t>001162</t>
  </si>
  <si>
    <t>LED bulb G9 3W 6000K Kobi</t>
  </si>
  <si>
    <t>001163</t>
  </si>
  <si>
    <t>LED bulb G9 4W 3000K Kobi</t>
  </si>
  <si>
    <t>001164</t>
  </si>
  <si>
    <t>LED bulb G9 4W 4000K Kobi</t>
  </si>
  <si>
    <t>001165</t>
  </si>
  <si>
    <t>LED bulb G9 4W 6000K Kobi</t>
  </si>
  <si>
    <t>001166</t>
  </si>
  <si>
    <t>LED bulbs G9 6W 3000K Kobi</t>
  </si>
  <si>
    <t>001167</t>
  </si>
  <si>
    <t>LED bulb G9 6W 4000K Kobi</t>
  </si>
  <si>
    <t>001168</t>
  </si>
  <si>
    <t>LED bulb G9 6W 6000K Kobi</t>
  </si>
  <si>
    <t>001169</t>
  </si>
  <si>
    <t>LED bulb G4 1,5W 3000K Kobi</t>
  </si>
  <si>
    <t>001152</t>
  </si>
  <si>
    <t>LED bulb G4 1,5W 4000K Kobi</t>
  </si>
  <si>
    <t>001153</t>
  </si>
  <si>
    <t>LED bulb G4 2W 3000K Kobi</t>
  </si>
  <si>
    <t>001158</t>
  </si>
  <si>
    <t>LED bulb G4 2W 4000K Kobi</t>
  </si>
  <si>
    <t>001159</t>
  </si>
  <si>
    <t>LED bulb MR11 4W GU10 3000K Kobi</t>
  </si>
  <si>
    <t>001322</t>
  </si>
  <si>
    <t>LED bulb MR11 4W GU10 4000K Kobi</t>
  </si>
  <si>
    <t>001323</t>
  </si>
  <si>
    <t>LED bulb MR11 4W GU10 6000K Kobi</t>
  </si>
  <si>
    <t>001324</t>
  </si>
  <si>
    <t>LED bulb J78 8W R7S 3000K Kobi</t>
  </si>
  <si>
    <t>001249</t>
  </si>
  <si>
    <t>LED bulb J78 8W R7S 4000K Kobi</t>
  </si>
  <si>
    <t>001250</t>
  </si>
  <si>
    <t>LED bulb J118 15W R7S 3000K Kobi</t>
  </si>
  <si>
    <t>001246</t>
  </si>
  <si>
    <t>LED bulb J118 15W R7S 4000K Kobi</t>
  </si>
  <si>
    <t>001247</t>
  </si>
  <si>
    <t>LED bulb ES111 GU10 15W 4000K Kobi</t>
  </si>
  <si>
    <t>001133</t>
  </si>
  <si>
    <t>LED bulb GS 7W E27 3000K Kobi</t>
  </si>
  <si>
    <t>001190</t>
  </si>
  <si>
    <t>LED bulb GS 7W E27 4000K Kobi</t>
  </si>
  <si>
    <t>001191</t>
  </si>
  <si>
    <t>LED bulb GS 7W E27 6000K Kobi</t>
  </si>
  <si>
    <t>001192</t>
  </si>
  <si>
    <t>LED bulb GS 10W E27 3000K Kobi</t>
  </si>
  <si>
    <t>001171</t>
  </si>
  <si>
    <t>LED bulb GS 10W E27 4000K Kobi</t>
  </si>
  <si>
    <t>001172</t>
  </si>
  <si>
    <t>LED bulb GS 10W E27 6000K Kobi</t>
  </si>
  <si>
    <t>001173</t>
  </si>
  <si>
    <t>LED bulb GS 13W E27 3000K Kobi</t>
  </si>
  <si>
    <t>001178</t>
  </si>
  <si>
    <t>LED bulb GS 13W E27 4000K Kobi</t>
  </si>
  <si>
    <t>001180</t>
  </si>
  <si>
    <t>LED bulb GS 13W E27 6000K Kobi</t>
  </si>
  <si>
    <t>001181</t>
  </si>
  <si>
    <t>LED bulb GS 15W E27 3000K Kobi</t>
  </si>
  <si>
    <t>001182</t>
  </si>
  <si>
    <t>LED GS bulb 15W E27 4000K Kobi</t>
  </si>
  <si>
    <t>001184</t>
  </si>
  <si>
    <t>LED bulb GS 15W E27 6000K Kobi</t>
  </si>
  <si>
    <t>001186</t>
  </si>
  <si>
    <t>LED bulb GS 18W E27 3000K Kobi</t>
  </si>
  <si>
    <t>001187</t>
  </si>
  <si>
    <t>LED bulb GS 18W E27 4000K Kobi</t>
  </si>
  <si>
    <t>001188</t>
  </si>
  <si>
    <t>LED bulb GS 18W E27 6000K Kobi</t>
  </si>
  <si>
    <t>001189</t>
  </si>
  <si>
    <t>LED bulb GS 7W E27 3000K LED2B</t>
  </si>
  <si>
    <t>001268</t>
  </si>
  <si>
    <t>LED bulb GS 7W E27 4000K LED2B</t>
  </si>
  <si>
    <t>001269</t>
  </si>
  <si>
    <t>LED bulb GS 7W E27 6000K LED2B</t>
  </si>
  <si>
    <t>001270</t>
  </si>
  <si>
    <t>LED bulb GS 8,5W E27 3000K LED2B</t>
  </si>
  <si>
    <t>001271</t>
  </si>
  <si>
    <t>LED bulb GS 8,5W E27 4000K LED2B</t>
  </si>
  <si>
    <t>001272</t>
  </si>
  <si>
    <t>LED bulb GS 8,5W E27 6500K LED2B</t>
  </si>
  <si>
    <t>001273</t>
  </si>
  <si>
    <t>LED bulb GS 10W E27 6000K LED2B</t>
  </si>
  <si>
    <t>001261</t>
  </si>
  <si>
    <t>001254</t>
  </si>
  <si>
    <t>001255</t>
  </si>
  <si>
    <t>LED bulb GS 10,5W E27 6500K LED2B</t>
  </si>
  <si>
    <t>001256</t>
  </si>
  <si>
    <t>LED bulb GS 11W E27 3000K LED2B</t>
  </si>
  <si>
    <t>001262</t>
  </si>
  <si>
    <t>LED bulb GS 12W E27 6000K LED2B</t>
  </si>
  <si>
    <t>001267</t>
  </si>
  <si>
    <t>LED bulb GS 9W E27 6500K LX Kobi Premium</t>
  </si>
  <si>
    <t>001198</t>
  </si>
  <si>
    <t>LED bulb GS 9W E27 3000K LX Kobi Premium</t>
  </si>
  <si>
    <t>001195</t>
  </si>
  <si>
    <t>LED bulb GS 9W E27 4000K LX Kobi Premium</t>
  </si>
  <si>
    <t>001197</t>
  </si>
  <si>
    <t>LED bulb MB 4,5W E14 3000K Kobi</t>
  </si>
  <si>
    <t>001325</t>
  </si>
  <si>
    <t>LED bulb MB 4,5W E14 4000K Kobi</t>
  </si>
  <si>
    <t>001326</t>
  </si>
  <si>
    <t>LED bulb MB 4,5W E14 6000K Kobi</t>
  </si>
  <si>
    <t>001327</t>
  </si>
  <si>
    <t>LED bulb MB 4,5W E27 3000K Kobi</t>
  </si>
  <si>
    <t>001334</t>
  </si>
  <si>
    <t>LED bulb MB 4,5W E27 4000K Kobi</t>
  </si>
  <si>
    <t>001335</t>
  </si>
  <si>
    <t>LED bulb MB 4,5W E27 6000K Kobi</t>
  </si>
  <si>
    <t>001336</t>
  </si>
  <si>
    <t>LED bulb MB 6W E14 3000K Kobi</t>
  </si>
  <si>
    <t>001328</t>
  </si>
  <si>
    <t>LED bulb MB 6W E14 4000K Kobi</t>
  </si>
  <si>
    <t>001329</t>
  </si>
  <si>
    <t>LED bulb MB 6W E14 6000K Kobi</t>
  </si>
  <si>
    <t>001330</t>
  </si>
  <si>
    <t>LED bulb MB 6W E27 3000K Kobi</t>
  </si>
  <si>
    <t>001337</t>
  </si>
  <si>
    <t>LED bulb MB 6W E27 4000K Kobi</t>
  </si>
  <si>
    <t>001338</t>
  </si>
  <si>
    <t>LED bulb MB 6W E27 6000K Kobi</t>
  </si>
  <si>
    <t>001339</t>
  </si>
  <si>
    <t>LED bulb MB 7W E14 3000K LED2B</t>
  </si>
  <si>
    <t>001281</t>
  </si>
  <si>
    <t>LED bulb MB 7W E14 4000K LED2B</t>
  </si>
  <si>
    <t>001282</t>
  </si>
  <si>
    <t>LED bulb MB 7W E14 6000K LED2B</t>
  </si>
  <si>
    <t>001283</t>
  </si>
  <si>
    <t>LED bulb MB 7W E27 3000K LED2B</t>
  </si>
  <si>
    <t>001289</t>
  </si>
  <si>
    <t>LED bulb MB 7W E27 4000K LED2B</t>
  </si>
  <si>
    <t>001290</t>
  </si>
  <si>
    <t>LED bulb MB 7W E27 6000K LED2B</t>
  </si>
  <si>
    <t>001291</t>
  </si>
  <si>
    <t>LED bulb MB 8.5W E14 3000K LED2B</t>
  </si>
  <si>
    <t>001284</t>
  </si>
  <si>
    <t>LED bulb MB 8.5W E14 4000K LED2B</t>
  </si>
  <si>
    <t>001285</t>
  </si>
  <si>
    <t>LED bulb MB 8.5W E14 6500K LED2B</t>
  </si>
  <si>
    <t>001286</t>
  </si>
  <si>
    <t>LED bulb MB 8.5W E27 3000K LED2B</t>
  </si>
  <si>
    <t>001292</t>
  </si>
  <si>
    <t>LED bulb MB 8.5W E27 4000K LED2B</t>
  </si>
  <si>
    <t>001293</t>
  </si>
  <si>
    <t>LED bulb MB 8.5W E27 6500K LED2B</t>
  </si>
  <si>
    <t>001294</t>
  </si>
  <si>
    <t>LED bulb MB 9W E14 3000K Kobi Premium</t>
  </si>
  <si>
    <t>001331</t>
  </si>
  <si>
    <t>LED bulb MB 9W E14 4000K Kobi Premium</t>
  </si>
  <si>
    <t>001332</t>
  </si>
  <si>
    <t>LED bulb MB 9W E14 6000K Kobi Premium</t>
  </si>
  <si>
    <t>001333</t>
  </si>
  <si>
    <t>LED bulb MB 9W E27 3000K WW Kobi Premium</t>
  </si>
  <si>
    <t>001340</t>
  </si>
  <si>
    <t>LED bulb MB 9W E27 4000K Kobi Premium</t>
  </si>
  <si>
    <t>001341</t>
  </si>
  <si>
    <t>LED bulb MB 9W E27 6000K Kobi Premium</t>
  </si>
  <si>
    <t>001342</t>
  </si>
  <si>
    <t>LED bulb SW 1,5W E14 4000K Kobi</t>
  </si>
  <si>
    <t>001359</t>
  </si>
  <si>
    <t>LED bulb SW 1,5W E14 6000K Kobi</t>
  </si>
  <si>
    <t>001360</t>
  </si>
  <si>
    <t>LED bulb SW 3W E14 3000K Kobi</t>
  </si>
  <si>
    <t>001361</t>
  </si>
  <si>
    <t>LED bulb SW 4,5W E14 3000K Kobi</t>
  </si>
  <si>
    <t>001362</t>
  </si>
  <si>
    <t>LED bulb SW 4,5W E14 4000K Kobi</t>
  </si>
  <si>
    <t>001363</t>
  </si>
  <si>
    <t>LED bulb SW 4,5W E14 6000K Kobi</t>
  </si>
  <si>
    <t>001364</t>
  </si>
  <si>
    <t>LED bulb SW 4,5W E27 3000K Kobi</t>
  </si>
  <si>
    <t>001373</t>
  </si>
  <si>
    <t>LED bulb SW 6W E14 3000K Kobi</t>
  </si>
  <si>
    <t>001365</t>
  </si>
  <si>
    <t>LED bulb SW 6W E14 4000K Kobi</t>
  </si>
  <si>
    <t>001366</t>
  </si>
  <si>
    <t>LED bulb SW 6W E14 6000K Kobi</t>
  </si>
  <si>
    <t>001367</t>
  </si>
  <si>
    <t>LED bulb SW 6W E27 3000K Kobi</t>
  </si>
  <si>
    <t>001374</t>
  </si>
  <si>
    <t>LED bulb SW 6W E27 4000K Kobi</t>
  </si>
  <si>
    <t>001375</t>
  </si>
  <si>
    <t>LED bulb SW 6W E27 6000K Kobi</t>
  </si>
  <si>
    <t>001376</t>
  </si>
  <si>
    <t>LED bulb SW 7W E14 3000K LED2B</t>
  </si>
  <si>
    <t>001295</t>
  </si>
  <si>
    <t>LED bulb SW 7W E14 6000K LED2B</t>
  </si>
  <si>
    <t>001297</t>
  </si>
  <si>
    <t>LED bulb SW 7W E27 3000K LED2B</t>
  </si>
  <si>
    <t>001301</t>
  </si>
  <si>
    <t>LED bulb SW 7W E27 4000K LED2B</t>
  </si>
  <si>
    <t>001302</t>
  </si>
  <si>
    <t>LED bulb SW 7W E27 6000K LED2B</t>
  </si>
  <si>
    <t>001303</t>
  </si>
  <si>
    <t>LED bulb SW 8.5W E14 3000K LED2B</t>
  </si>
  <si>
    <t>001298</t>
  </si>
  <si>
    <t>LED bulb SW 8.5W E14 4000K LED2B</t>
  </si>
  <si>
    <t>001299</t>
  </si>
  <si>
    <t>LED bulb SW 8.5W E14 6500K LED2B</t>
  </si>
  <si>
    <t>001300</t>
  </si>
  <si>
    <t>LED bulb SW 8.5W E27 3000K LED2B</t>
  </si>
  <si>
    <t>001304</t>
  </si>
  <si>
    <t>LED bulb SW 8.5W E27 4000K LED2B</t>
  </si>
  <si>
    <t>001305</t>
  </si>
  <si>
    <t>LED bulb SW 8.5W E27 6500K LED2B</t>
  </si>
  <si>
    <t>001306</t>
  </si>
  <si>
    <t>LED bulb SW 9W E14 3000K Kobi Premium</t>
  </si>
  <si>
    <t>001370</t>
  </si>
  <si>
    <t>LED bulb SW 9W E14 4000K Kobi Premium</t>
  </si>
  <si>
    <t>001371</t>
  </si>
  <si>
    <t>LED bulb SW 9W E14 6000K Kobi Premium</t>
  </si>
  <si>
    <t>001372</t>
  </si>
  <si>
    <t>LED bulb SW 9W E27 3000K Kobi Premium</t>
  </si>
  <si>
    <t>001377</t>
  </si>
  <si>
    <t>LED bulb SW 9W E27 4000K Kobi Premium</t>
  </si>
  <si>
    <t>001378</t>
  </si>
  <si>
    <t>LED bulb SW 9W E27 6000K Kobi Premium</t>
  </si>
  <si>
    <t>001379</t>
  </si>
  <si>
    <t>Kobi 360 Line</t>
  </si>
  <si>
    <t>LED filament bulb FGS 7W E27 3000K Kobi 360 Line</t>
  </si>
  <si>
    <t>001138</t>
  </si>
  <si>
    <t>LED filament bulb FGS 7W E27 4000K Kobi 360 Line</t>
  </si>
  <si>
    <t>001139</t>
  </si>
  <si>
    <t>LED filament bulb FGS 11,5W E27 3000K Kobi 360 Line</t>
  </si>
  <si>
    <t>001136</t>
  </si>
  <si>
    <t>LED filament bulb FGS 11,5W E27 4000K Kobi 360 Line</t>
  </si>
  <si>
    <t>001137</t>
  </si>
  <si>
    <t>LED filament bulb FDE E14 4W 3000K Kobi 360 Line</t>
  </si>
  <si>
    <t>001134</t>
  </si>
  <si>
    <t>LED filament bulb FMB E14 4W 3000K Kobi 360 Line</t>
  </si>
  <si>
    <t>001144</t>
  </si>
  <si>
    <t>LED filament bulb FMB E27 4W 3000K Kobi 360 Line</t>
  </si>
  <si>
    <t>001146</t>
  </si>
  <si>
    <t>LED filament bulb FSW E14 4W 3000K Kobi  360 Line</t>
  </si>
  <si>
    <t>001149</t>
  </si>
  <si>
    <t>LED bulb ST45 1W E27 2700K LED2B</t>
  </si>
  <si>
    <t>001251</t>
  </si>
  <si>
    <t>LED filament bulb FMB 1,3W E27 3000K Kobi 360 Line</t>
  </si>
  <si>
    <t>001145</t>
  </si>
  <si>
    <t>LED filament bulb FG125 7W E27 2700K Kobi 360 Line</t>
  </si>
  <si>
    <t>001135</t>
  </si>
  <si>
    <t>LED bulb R50 5W E14 3000K Kobi</t>
  </si>
  <si>
    <t>001352</t>
  </si>
  <si>
    <t>LED bulb R50 5W E14 4000K Kobi</t>
  </si>
  <si>
    <t>001353</t>
  </si>
  <si>
    <t>LED bulb R63 8W E27 3000K Kobi</t>
  </si>
  <si>
    <t>001355</t>
  </si>
  <si>
    <t>LED bulb R63 8W E27 4000K Kobi</t>
  </si>
  <si>
    <t>001356</t>
  </si>
  <si>
    <t>LED bulb R63 8W E27 6000K Kobi</t>
  </si>
  <si>
    <t>001357</t>
  </si>
  <si>
    <t>LED bulb T 2W E14 4000K Kobi</t>
  </si>
  <si>
    <t>001388</t>
  </si>
  <si>
    <t>LED bulb T 4,2W E14 4000K Kobi</t>
  </si>
  <si>
    <t>001389</t>
  </si>
  <si>
    <t>LED bulb G120 24W E27 3000K Kobi</t>
  </si>
  <si>
    <t>001150</t>
  </si>
  <si>
    <t>LED bulb G120 24W E27 4000K Kobi</t>
  </si>
  <si>
    <t>001151</t>
  </si>
  <si>
    <t>Waterproof fixture HERMETIC 1x60 IP65 Kobi</t>
  </si>
  <si>
    <t>001604</t>
  </si>
  <si>
    <t>Waterproof fixture HERMETIC 1x120 IP65 Kobi</t>
  </si>
  <si>
    <t>001602</t>
  </si>
  <si>
    <t>Waterproof fixture HERMETIC 1x150 IP65 Kobi</t>
  </si>
  <si>
    <t>001603</t>
  </si>
  <si>
    <t>Waterproof fixture HERMETIC 2x60 IP65 Kobi</t>
  </si>
  <si>
    <t>001607</t>
  </si>
  <si>
    <t>Waterproof fixture HERMETIC 2x120 IP65 Kobi</t>
  </si>
  <si>
    <t>001605</t>
  </si>
  <si>
    <t>Waterproof fixture HERMETIC 2x150 IP65 Kobi</t>
  </si>
  <si>
    <t>001606</t>
  </si>
  <si>
    <t>Set HERMETIC 1x120 + LED T8 18W 4000K IP65 Kobi</t>
  </si>
  <si>
    <t>001597</t>
  </si>
  <si>
    <t>Set HERMETIC 2x60 + LED T8 9W 4000K IP65 Kobi</t>
  </si>
  <si>
    <t>001601</t>
  </si>
  <si>
    <t>Set HERMETIC 2x120 + LED T8 18W 4000K IP65 Kobi</t>
  </si>
  <si>
    <t>001599</t>
  </si>
  <si>
    <t>Set HERMETIC 2x120 + LED T8 18W 6500K IP65 Kobi</t>
  </si>
  <si>
    <t>001600</t>
  </si>
  <si>
    <t>Waterproof set HERMETIC G2 + 2x LED T8 18W 120cm 4000K KOBI</t>
  </si>
  <si>
    <t>003678</t>
  </si>
  <si>
    <t>Waterproof set HERMETIC G2 + 2x LED T8 18W 120cm 6500K KOBI</t>
  </si>
  <si>
    <t>003679</t>
  </si>
  <si>
    <t>Waterproof fixture HERMIC 1x120 IP65 Kobi</t>
  </si>
  <si>
    <t>001608</t>
  </si>
  <si>
    <t>Waterproof fixture HERMIC 2x120 IP65 Kobi</t>
  </si>
  <si>
    <t>001610</t>
  </si>
  <si>
    <t>001940</t>
  </si>
  <si>
    <t>Panel LED BRISBANE 36W 60x60 4000K white Kobi Premium</t>
  </si>
  <si>
    <t>001559</t>
  </si>
  <si>
    <t>Panel LED BRISBANE 36W 60x60 4000K black Kobi Premium</t>
  </si>
  <si>
    <t>001560</t>
  </si>
  <si>
    <t>Panel LED BRISBANE 36W 30x120 4000K white Kobi Premium</t>
  </si>
  <si>
    <t>001561</t>
  </si>
  <si>
    <t>Panel LED BRISBANE 36W 30x120 4000K black Kobi Premium</t>
  </si>
  <si>
    <t>001562</t>
  </si>
  <si>
    <t>Kobi Professional</t>
  </si>
  <si>
    <t>Panel LED ARIEL 40W 60x60 4000K IP44 Kobi Pro</t>
  </si>
  <si>
    <t>000026</t>
  </si>
  <si>
    <t>Panel LED CAMARO 40W 60x60 4000K LED2B</t>
  </si>
  <si>
    <t>001633</t>
  </si>
  <si>
    <t>Panel LED CAPRI 28W 60x60 4000K IP44 Kobi Pro</t>
  </si>
  <si>
    <t>001567</t>
  </si>
  <si>
    <t>Panel LED CAPRI 36W 30x120 4000K UGR &lt;19 Kobi Pro</t>
  </si>
  <si>
    <t>001573</t>
  </si>
  <si>
    <t>Panel LED CAPRI 36W 60x60 4000K Kobi Pro</t>
  </si>
  <si>
    <t>001570</t>
  </si>
  <si>
    <t>Panel LED CAPRI 40W 60x60 3000K Kobi Pro</t>
  </si>
  <si>
    <t>001574</t>
  </si>
  <si>
    <t>Panel LED CAPRI 50W 60x60 4000K Kobi Pro</t>
  </si>
  <si>
    <t>001578</t>
  </si>
  <si>
    <t>Panel LED CAPRI 40W 60x60 4000K IP65 Kobi Pro</t>
  </si>
  <si>
    <t>001576</t>
  </si>
  <si>
    <t>Panel LED NELIO 40W 60x60 4000K Kobi Premium</t>
  </si>
  <si>
    <t>001773</t>
  </si>
  <si>
    <t>Panel LED NELIO 40W 60x60 4000K Kobi Pro</t>
  </si>
  <si>
    <t>001775</t>
  </si>
  <si>
    <t>Panel LED NELIO 40W 30x120 4000K Kobi Pro</t>
  </si>
  <si>
    <t>001774</t>
  </si>
  <si>
    <t>Panel LED NELIO 40W 30x120 4000K Kobi Premium</t>
  </si>
  <si>
    <t>001771</t>
  </si>
  <si>
    <t>Panel LED NELIO 28W 30x60 4000K Kobi Premium</t>
  </si>
  <si>
    <t>001778</t>
  </si>
  <si>
    <t>Frame 45mm for panel LED 30x60 click Kobi</t>
  </si>
  <si>
    <t>001786</t>
  </si>
  <si>
    <t>Frame 45mm for panel LED 60x60 click Kobi</t>
  </si>
  <si>
    <t>001787</t>
  </si>
  <si>
    <t>Frame 45mm for panel LED 30x120 click Kobi</t>
  </si>
  <si>
    <t>001785</t>
  </si>
  <si>
    <t>Frame 63mm for panel LED 60x60 click Kobi</t>
  </si>
  <si>
    <t>001783</t>
  </si>
  <si>
    <t>Frame 63mm for panel LED 60x60 click black Kobi</t>
  </si>
  <si>
    <t>001784</t>
  </si>
  <si>
    <t>Frame 63mm for panel LED  30x120 click Kobi</t>
  </si>
  <si>
    <t>001782</t>
  </si>
  <si>
    <t>Frame 70mm for panel LED 60x60 click Kobi</t>
  </si>
  <si>
    <t>001780</t>
  </si>
  <si>
    <t>Clips for NELIO 60x60 Kobi</t>
  </si>
  <si>
    <t>001788</t>
  </si>
  <si>
    <t>Clips for NELIO 30x120 Kobi</t>
  </si>
  <si>
    <t>001789</t>
  </si>
  <si>
    <t>Wire for LED  panel Kobi</t>
  </si>
  <si>
    <t>001777</t>
  </si>
  <si>
    <t>Driver for panel LED 36W LF-GIF040YS900H</t>
  </si>
  <si>
    <t>001891</t>
  </si>
  <si>
    <t>001579</t>
  </si>
  <si>
    <t>Driver for panel LED 40W LF-GIF040YS1000H</t>
  </si>
  <si>
    <t>001892</t>
  </si>
  <si>
    <t>Driver LF-GSD020YC LIFUD DALI</t>
  </si>
  <si>
    <t>001893</t>
  </si>
  <si>
    <t>Panel LED CAPRI G2 25-36-40W 60x60 3CCT IP44 Kobi Pro</t>
  </si>
  <si>
    <t>003821</t>
  </si>
  <si>
    <t>Panel LED CAPRI G2 25-36-40W 60x60 3CCT IP44 UGR&lt;19 Kobi Pro</t>
  </si>
  <si>
    <t>003822</t>
  </si>
  <si>
    <t>LINEAR LED LIGHTING</t>
  </si>
  <si>
    <t>Waterproof fixture LED CORTEZ 2 60W 120cm 4000K IP65 Kobi Premium</t>
  </si>
  <si>
    <t>001583</t>
  </si>
  <si>
    <t>Waterproof fixture LED CORTEZ 3 45W 4000K IP65 Kobi</t>
  </si>
  <si>
    <t>001586</t>
  </si>
  <si>
    <t>Nexus</t>
  </si>
  <si>
    <t>000030</t>
  </si>
  <si>
    <t>000031</t>
  </si>
  <si>
    <t>000032</t>
  </si>
  <si>
    <t>000034</t>
  </si>
  <si>
    <t>000042</t>
  </si>
  <si>
    <t>000035</t>
  </si>
  <si>
    <t>000037</t>
  </si>
  <si>
    <t>000039</t>
  </si>
  <si>
    <t>000040</t>
  </si>
  <si>
    <t>000041</t>
  </si>
  <si>
    <t>004134</t>
  </si>
  <si>
    <t>Waterproof fixture LED MIVRO 36W 4000K IP65 LED2B</t>
  </si>
  <si>
    <t>001634</t>
  </si>
  <si>
    <t>Waterproof fixture LED NEXFORCE1 20W 4000K IP65 Kobi Pro</t>
  </si>
  <si>
    <t>000055</t>
  </si>
  <si>
    <t>Waterproof linear fixture LED NEXFORCE N2 36W 4000K Kobi Pro</t>
  </si>
  <si>
    <t>001726</t>
  </si>
  <si>
    <t>Waterproof linear fixture LED NEXFORCE N2 52W 4000K Kobi Pro</t>
  </si>
  <si>
    <t>001727</t>
  </si>
  <si>
    <t>Waterproof linear fixture LED NEXFORCE N2 70W 4000K Kobi Pro</t>
  </si>
  <si>
    <t>001728</t>
  </si>
  <si>
    <t>Waterproof fixture LED NEXFORCE1 80W 4000K IP65 Kobi Pro</t>
  </si>
  <si>
    <t>000060</t>
  </si>
  <si>
    <t>Waterproof linear fixture LED NEGRO 20W 4000K Kobi Premium</t>
  </si>
  <si>
    <t>001790</t>
  </si>
  <si>
    <t>Waterproof linear fixture  LED NEGRO 36W 4000K Kobi Premium</t>
  </si>
  <si>
    <t>001791</t>
  </si>
  <si>
    <t>Waterproof linear fixture LED NEGRO 36W 6000K Kobi Premium</t>
  </si>
  <si>
    <t>001792</t>
  </si>
  <si>
    <t>Waterproof linear fixture LED NEGRO 60W 4000K Kobi Premium</t>
  </si>
  <si>
    <t>001793</t>
  </si>
  <si>
    <t>Linear fixture LED KOLINE K1 20W 4000K white Kobi Pro</t>
  </si>
  <si>
    <t>001615</t>
  </si>
  <si>
    <t>Linear fixture LED KOLINE K1 20W 4000K white LINIA Kobi Pro</t>
  </si>
  <si>
    <t>001616</t>
  </si>
  <si>
    <t>Linear fixture LED KOLINE K1 20W 4000K white MPRM Kobi Pro</t>
  </si>
  <si>
    <t>001617</t>
  </si>
  <si>
    <t>Linear fixture LED KOLINE K1 20W 4000K black Kobi Pro</t>
  </si>
  <si>
    <t>001618</t>
  </si>
  <si>
    <t>Linear fixture LED KOLINE K1 20W 4000K black LINIA Kobi Pro</t>
  </si>
  <si>
    <t>001619</t>
  </si>
  <si>
    <t>Linear fixture LED KOLINE K1 40W 4000K white Kobi Pro</t>
  </si>
  <si>
    <t>001620</t>
  </si>
  <si>
    <t>Linear fixture LED KOLINE K1 40W 4000K white LINIA Kobi Pro</t>
  </si>
  <si>
    <t>001621</t>
  </si>
  <si>
    <t>Linear fixture LED KOLINE K1 40W 4000K white MPRM Kobi Pro</t>
  </si>
  <si>
    <t>001622</t>
  </si>
  <si>
    <t>Linear fixture LED KOLINE K1 40W 4000Kblack Kobi Pro</t>
  </si>
  <si>
    <t>001623</t>
  </si>
  <si>
    <t>Linear fixture LED KOLINE K1 40W 4000K black LINIA Kobi Pro</t>
  </si>
  <si>
    <t>001624</t>
  </si>
  <si>
    <t>Linear fixture LED KOLINE K2 30W 3CCT UGR&lt;19 white Kobi Pro</t>
  </si>
  <si>
    <t>003713</t>
  </si>
  <si>
    <t>Linear fixture LED KOLINE K2 30W 3CCT UGR&lt;19 black Kobi Pro</t>
  </si>
  <si>
    <t>003714</t>
  </si>
  <si>
    <t>Linear fixture LED KOLINE K2 40W 3CCT white Kobi Pro</t>
  </si>
  <si>
    <t>003711</t>
  </si>
  <si>
    <t>Linear fixture LED KOLINE K2 20W 3CCT white Kobi Pro</t>
  </si>
  <si>
    <t>003709</t>
  </si>
  <si>
    <t>Linear fixture LED KOLINE K2 20W 3CCT black Kobi Pro</t>
  </si>
  <si>
    <t>003710</t>
  </si>
  <si>
    <t>Linear fixture LED KOLINE K2 40W 3CCT black Kobi Pro</t>
  </si>
  <si>
    <t>003712</t>
  </si>
  <si>
    <t>X-connector for LED KOLINE K2 white Kobi Pro</t>
  </si>
  <si>
    <t>003715</t>
  </si>
  <si>
    <t>X-connector for LED KOLINE K2 black Kobi Pro</t>
  </si>
  <si>
    <t>003716</t>
  </si>
  <si>
    <t>T-connector for LED KOLINE K2 white Kobi Pro</t>
  </si>
  <si>
    <t>003717</t>
  </si>
  <si>
    <t>T-connector for LED KOLINE K2 black Kobi Pro</t>
  </si>
  <si>
    <t>003718</t>
  </si>
  <si>
    <t>Waterproof fixture LED CORTEZ 18W 4000K IP65 LED2B</t>
  </si>
  <si>
    <t>003671</t>
  </si>
  <si>
    <t>Waterproof fixtureLED CORTEZ 36W 4000K IP65 LED2B</t>
  </si>
  <si>
    <t>003672</t>
  </si>
  <si>
    <t>Waterproof fixture LED CORTEZ 48W 4000K IP65 LED2B</t>
  </si>
  <si>
    <t>003673</t>
  </si>
  <si>
    <t>000090</t>
  </si>
  <si>
    <t>000051</t>
  </si>
  <si>
    <t>000052</t>
  </si>
  <si>
    <t>Floodlight LED MH 10W black 3000K IP65 LED2B</t>
  </si>
  <si>
    <t>001642</t>
  </si>
  <si>
    <t>Floodlight LED MH 10W black 4000K IP65 LED2B</t>
  </si>
  <si>
    <t>001643</t>
  </si>
  <si>
    <t>Floodlight LED MH 10W black 6500K IP65 LED2B</t>
  </si>
  <si>
    <t>001645</t>
  </si>
  <si>
    <t>Floodlight LED MH 20W black 3000K IP65 LED2B</t>
  </si>
  <si>
    <t>001647</t>
  </si>
  <si>
    <t>Floodlight LED MH 20W black 6500K IP65 LED2B</t>
  </si>
  <si>
    <t>001650</t>
  </si>
  <si>
    <t>Floodlight LED MHC 10W black 3000K IP44 LED2B</t>
  </si>
  <si>
    <t>001663</t>
  </si>
  <si>
    <t>Floodlight LED MHC 10W black 4000K IP44 LED2B</t>
  </si>
  <si>
    <t>001664</t>
  </si>
  <si>
    <t>Floodlight LED MHC 10W black 6500K IP44 LED2B</t>
  </si>
  <si>
    <t>001666</t>
  </si>
  <si>
    <t>Floodlight LED MHC 30W black 6500K IP44 LED2B</t>
  </si>
  <si>
    <t>001676</t>
  </si>
  <si>
    <t>Floodlight LED MHC 50W black 3000K IP44 LED2B</t>
  </si>
  <si>
    <t>001678</t>
  </si>
  <si>
    <t>Floodlight LED MH 10W black 4000K IP65 LED2B RED</t>
  </si>
  <si>
    <t>001644</t>
  </si>
  <si>
    <t>Floodlight LED MH 10W black 6500K IP65 LED2B RED</t>
  </si>
  <si>
    <t>001646</t>
  </si>
  <si>
    <t>Floodlight LED MH 20W black 4000K IP65 LED2B RED</t>
  </si>
  <si>
    <t>001649</t>
  </si>
  <si>
    <t>Floodlight LED MH 20W black 6500K IP65 LED2B RED</t>
  </si>
  <si>
    <t>001651</t>
  </si>
  <si>
    <t>Floodlight LED MH 30W black 4000K IP65 LED2B RED</t>
  </si>
  <si>
    <t>001654</t>
  </si>
  <si>
    <t>Floodlight LED MH 30W black 6500K IP65 LED2B RED</t>
  </si>
  <si>
    <t>001656</t>
  </si>
  <si>
    <t>Floodlight LED MH 50W black 4000K IP65 LED2B RED</t>
  </si>
  <si>
    <t>001659</t>
  </si>
  <si>
    <t>Floodlight LED MH 50W black 6500K IP65 LED2B RED</t>
  </si>
  <si>
    <t>001661</t>
  </si>
  <si>
    <t>Floodlight LED MH 100W black 4000K IP65 LED2B RED</t>
  </si>
  <si>
    <t>001639</t>
  </si>
  <si>
    <t>Floodlight LED MH 100W black 6500K IP65 LED2B RED</t>
  </si>
  <si>
    <t>001641</t>
  </si>
  <si>
    <t>Floodlight LED MHC 10W black 4000K IP44 LED2B RED</t>
  </si>
  <si>
    <t>001665</t>
  </si>
  <si>
    <t>Floodlight LED MHC 10W black 6500K IP44 LED2B RED</t>
  </si>
  <si>
    <t>001667</t>
  </si>
  <si>
    <t>Floodlight LED MHC 20W black 4000K IP44 LED2B RED</t>
  </si>
  <si>
    <t>001670</t>
  </si>
  <si>
    <t>Floodlight LED MHC 20W black 6500K IP44 LED2B RED</t>
  </si>
  <si>
    <t>001672</t>
  </si>
  <si>
    <t>Floodlight LED MHC 30W black 4000K IP44 LED2B RED</t>
  </si>
  <si>
    <t>001675</t>
  </si>
  <si>
    <t>Floodlight LED MHC 30W black 6500K IP44 LED2B RED</t>
  </si>
  <si>
    <t>001677</t>
  </si>
  <si>
    <t>Floodlight LED MHC 50W black 4000K IP44 LED2B RED</t>
  </si>
  <si>
    <t>001680</t>
  </si>
  <si>
    <t>Floodlight LED MHC 50W black 6500K IP44 LED2B RED</t>
  </si>
  <si>
    <t>001682</t>
  </si>
  <si>
    <t>Floodlight LED MHN 10W 4000K IP65 Kobi Premium</t>
  </si>
  <si>
    <t>001735</t>
  </si>
  <si>
    <t>Floodlight LED MHN 20W 6500K IP65 Kobi Premium</t>
  </si>
  <si>
    <t>001740</t>
  </si>
  <si>
    <t>Floodlight LED MHN 30W 6500K IP65 Kobi Premium</t>
  </si>
  <si>
    <t>001743</t>
  </si>
  <si>
    <t>Floodlight LED MHN 100W 6500K IP65 Kobi Premium</t>
  </si>
  <si>
    <t>001732</t>
  </si>
  <si>
    <t>Floodlight LED MHNC 10W 3000K IP65 Kobi Premium</t>
  </si>
  <si>
    <t>001747</t>
  </si>
  <si>
    <t>001856</t>
  </si>
  <si>
    <t>001853</t>
  </si>
  <si>
    <t>001854</t>
  </si>
  <si>
    <t>001855</t>
  </si>
  <si>
    <t>Floodlight LED US 300W 5000K IP65 60° dim Kobi Pro</t>
  </si>
  <si>
    <t>001866</t>
  </si>
  <si>
    <t>Floodlight LED US 300W 5000K IP65 90° dim Kobi Pro</t>
  </si>
  <si>
    <t>001867</t>
  </si>
  <si>
    <t>Floodlight LED US 500W 5000K IP66 60° dim Kobi Pro</t>
  </si>
  <si>
    <t>001869</t>
  </si>
  <si>
    <t>Floodlight LED US 500W 5000K IP66 25° dim Kobi Pro</t>
  </si>
  <si>
    <t>001868</t>
  </si>
  <si>
    <t>Floodlight LED TIGRA S 2x30W 4000K IP65 Kobi</t>
  </si>
  <si>
    <t>001768</t>
  </si>
  <si>
    <t>Street lamp LED CYOTO 50W 4000K LX Kobi Premium</t>
  </si>
  <si>
    <t>001581</t>
  </si>
  <si>
    <t>Street lamp LED CYOTO 100W 4000K LX Kobi Premium</t>
  </si>
  <si>
    <t>001580</t>
  </si>
  <si>
    <t>Street Light LED MASTER STREET 35W 4000K IP66 MB Kobi Pro</t>
  </si>
  <si>
    <t>001690</t>
  </si>
  <si>
    <t>Street Light LED MASTER STREET 35W 4000K IP66 WB Kobi Pro</t>
  </si>
  <si>
    <t>001691</t>
  </si>
  <si>
    <t>Street Light LED MASTER STREET 80W 4000K IP66 WB Kobi Pro</t>
  </si>
  <si>
    <t>001693</t>
  </si>
  <si>
    <t>Street Light LED MASTER STREET 120W 4000K IP66 MB Kobi Pro</t>
  </si>
  <si>
    <t>001686</t>
  </si>
  <si>
    <t>Street Light LED MASTER STREET 120W 4000K IP66 WB Kobi Pro</t>
  </si>
  <si>
    <t>001687</t>
  </si>
  <si>
    <t>Street light LED VESPA PRO 40W 4000K IP66 Kobi Pro</t>
  </si>
  <si>
    <t>001881</t>
  </si>
  <si>
    <t>Street light LED VESPA PRO 60W 4000K IP66 Kobi Pro</t>
  </si>
  <si>
    <t>001882</t>
  </si>
  <si>
    <t>Street light LED VESPA PRO 100W 4000K IP66 Kobi Pro</t>
  </si>
  <si>
    <t>001876</t>
  </si>
  <si>
    <t>Street light LED VESPA PRO 150W 4000K IP66 Kobi Pro</t>
  </si>
  <si>
    <t>001877</t>
  </si>
  <si>
    <t>Street light LED VESPA PRO 200W 4000K IP66 Kobi Pro</t>
  </si>
  <si>
    <t>001878</t>
  </si>
  <si>
    <t>High Bay LED ANICA 100W 4000K IP65 120° Kobi Pro</t>
  </si>
  <si>
    <t>001552</t>
  </si>
  <si>
    <t>High Bay LED ANICA 100W 4000K IP65 90° Kobi Pro</t>
  </si>
  <si>
    <t>001553</t>
  </si>
  <si>
    <t>High Bay LED NEO 150W 4000K IP65 110° Kobi Pro</t>
  </si>
  <si>
    <t>000068</t>
  </si>
  <si>
    <t>High Bay LED NEO 200W 4000K IP65 110° Kobi Pro</t>
  </si>
  <si>
    <t>000069</t>
  </si>
  <si>
    <t>High Bay LED ANICA 200W 4000K IP65 120° Kobi Pro</t>
  </si>
  <si>
    <t>001556</t>
  </si>
  <si>
    <t>High Bay LED ANICA 200W 4000K IP65 90° Kobi Pro</t>
  </si>
  <si>
    <t>001557</t>
  </si>
  <si>
    <t>High Bay LED NICO 120W 4000K IP65 60x90° Kobi Pro</t>
  </si>
  <si>
    <t>001770</t>
  </si>
  <si>
    <t>High Bay LED RIO PRO 100W 4000K IP66 Kobi Pro</t>
  </si>
  <si>
    <t>001840</t>
  </si>
  <si>
    <t>High Bay LED RIO PRO 150W 4000K IP66 Kobi Pro</t>
  </si>
  <si>
    <t>001841</t>
  </si>
  <si>
    <t>High Bay LED RIO PRO 200W 4000K IP66 Kobi Pro</t>
  </si>
  <si>
    <t>001843</t>
  </si>
  <si>
    <t>High Bay LED RIO PRO 200W 2CCT Kobi Pro</t>
  </si>
  <si>
    <t>001842</t>
  </si>
  <si>
    <t>High Bay LED NINA 100W 4000K 110° Kobi Pro</t>
  </si>
  <si>
    <t>001709</t>
  </si>
  <si>
    <t>High Bay LED NINA 150W 4000K 110° Kobi Pro</t>
  </si>
  <si>
    <t>001711</t>
  </si>
  <si>
    <t>High Bay LED NINA 150W 4000K 90° Kobi Pro</t>
  </si>
  <si>
    <t>001712</t>
  </si>
  <si>
    <t>High Bay LED NINA 200W 4000K 110° Kobi Pro</t>
  </si>
  <si>
    <t>001713</t>
  </si>
  <si>
    <t>Protective mesh for LED NINA HB 100W Kobi</t>
  </si>
  <si>
    <t>001708</t>
  </si>
  <si>
    <t>Protective mesh for LED NINA HB 200W Kobi</t>
  </si>
  <si>
    <t>001716</t>
  </si>
  <si>
    <t>Protection for NEO 150W/200W Kobi Pro</t>
  </si>
  <si>
    <t>002772</t>
  </si>
  <si>
    <t>Handle for LED NINA HB 100W Kobi</t>
  </si>
  <si>
    <t>001717</t>
  </si>
  <si>
    <t>001718</t>
  </si>
  <si>
    <t>001719</t>
  </si>
  <si>
    <t>Handle for LED RIO PRO 100W Kobi</t>
  </si>
  <si>
    <t>001844</t>
  </si>
  <si>
    <t>Handle for LED RIO PRO 150W Kobi</t>
  </si>
  <si>
    <t>001845</t>
  </si>
  <si>
    <t>Handle for LED RIO PRO 200W Kobi</t>
  </si>
  <si>
    <t>001846</t>
  </si>
  <si>
    <t>Handle for NEO 150W/200W Kobi Pro</t>
  </si>
  <si>
    <t>002779</t>
  </si>
  <si>
    <t>Mounting bracket for High Bay M10 Kobi Pro</t>
  </si>
  <si>
    <t>001558</t>
  </si>
  <si>
    <t>DECORATIVE SURFACE-MOUNTED</t>
  </si>
  <si>
    <t>Downlight AQUARIUS 1xGU10 round IP44 white Kobi</t>
  </si>
  <si>
    <t>002002</t>
  </si>
  <si>
    <t>Downlight AQUARIUS 1xGU10 round IP44 black Kobi</t>
  </si>
  <si>
    <t>002004</t>
  </si>
  <si>
    <t>Downlight AQUARIUS 1xGU10 round IP44 chrome Kobi</t>
  </si>
  <si>
    <t>002003</t>
  </si>
  <si>
    <t>Downlight AQUARIUS 1xGU10 square IP44 white Kobi</t>
  </si>
  <si>
    <t>002005</t>
  </si>
  <si>
    <t>Downlight AQUARIUS 1xGU10 square IP44 black Kobi</t>
  </si>
  <si>
    <t>002007</t>
  </si>
  <si>
    <t>Downlight OH36 white Kobi</t>
  </si>
  <si>
    <t>002089</t>
  </si>
  <si>
    <t>Downlight OH36 black Kobi</t>
  </si>
  <si>
    <t>002091</t>
  </si>
  <si>
    <t>Downlight OH36L white Kobi</t>
  </si>
  <si>
    <t>002092</t>
  </si>
  <si>
    <t>Downlight OH36L chrome Kobi</t>
  </si>
  <si>
    <t>002093</t>
  </si>
  <si>
    <t>Downlight OH36L black Kobi</t>
  </si>
  <si>
    <t>002094</t>
  </si>
  <si>
    <t>Downlight OH36S white Kobi</t>
  </si>
  <si>
    <t>002095</t>
  </si>
  <si>
    <t>Downlight OH36S black Kobi</t>
  </si>
  <si>
    <t>002097</t>
  </si>
  <si>
    <t>Downlight OH37 chrome Kobi</t>
  </si>
  <si>
    <t>002099</t>
  </si>
  <si>
    <t>Downlight OH37 black Kobi</t>
  </si>
  <si>
    <t>002100</t>
  </si>
  <si>
    <t>Downlight OH37L chrome Kobi</t>
  </si>
  <si>
    <t>002102</t>
  </si>
  <si>
    <t>Downlight OH37S black Kobi</t>
  </si>
  <si>
    <t>002106</t>
  </si>
  <si>
    <t>Garden lamp GARDEN BALL S 1xE27 IP65 Kobi</t>
  </si>
  <si>
    <t>002227</t>
  </si>
  <si>
    <t>Garden lamp GARDEN BALL M 1xE27 IP65 Kobi</t>
  </si>
  <si>
    <t>002226</t>
  </si>
  <si>
    <t>Garden lamp GARDEN BALL L 1xE27 IP65 Kobi</t>
  </si>
  <si>
    <t>002225</t>
  </si>
  <si>
    <t>Garden wall lamp LO4101 1xE27 IP54 white Kobi</t>
  </si>
  <si>
    <t>002247</t>
  </si>
  <si>
    <t>Garden wall lamp LO4101 1xE27 IP54 black Kobi</t>
  </si>
  <si>
    <t>002248</t>
  </si>
  <si>
    <t>Garden wall lamp LO4101 1xE27 IP54 gold Kobi</t>
  </si>
  <si>
    <t>002250</t>
  </si>
  <si>
    <t>Garden wall lamp LO4102 1xE27 IP54 white Kobi</t>
  </si>
  <si>
    <t>002251</t>
  </si>
  <si>
    <t>Garden wall lamp LO4102 1xE27 IP54 black Kobi</t>
  </si>
  <si>
    <t>002252</t>
  </si>
  <si>
    <t>Garden wall lamp LO4102 1xE27 IP54 gold Kobi</t>
  </si>
  <si>
    <t>002254</t>
  </si>
  <si>
    <t>Bollard lamp LO4104 1xE27 IP44 black-gold Kobi</t>
  </si>
  <si>
    <t>002257</t>
  </si>
  <si>
    <t>Bollard lamp LO4104 1xE27 IP44 gold Kobi</t>
  </si>
  <si>
    <t>002258</t>
  </si>
  <si>
    <t>Garden hanging lamp LO4105 1xE27 IP54 white Kobi</t>
  </si>
  <si>
    <t>002259</t>
  </si>
  <si>
    <t>Garden hanging lamp LO4105 1xE27 IP54 black Kobi</t>
  </si>
  <si>
    <t>002260</t>
  </si>
  <si>
    <t>Garden hanging lamp LO4105 1xE27 IP54 gold Kobi</t>
  </si>
  <si>
    <t>002262</t>
  </si>
  <si>
    <t>Garden hanging lamp LO4105 1xE27 IP54 black-gold Kobi</t>
  </si>
  <si>
    <t>002261</t>
  </si>
  <si>
    <t>Garden wall lamp QUAZAR 3 1xGU10 IP44 black Kobi</t>
  </si>
  <si>
    <t>002284</t>
  </si>
  <si>
    <t>Garden wall lamp QUAZAR 4 2xGU10 IP44 black Kobi</t>
  </si>
  <si>
    <t>002285</t>
  </si>
  <si>
    <t>Garden lamp QUAZAR 7 2xGU10 IP44 black Kobi</t>
  </si>
  <si>
    <t>002287</t>
  </si>
  <si>
    <t>Garden lamp QUAZAR 7 2xGU10 IP44 grey Kobi</t>
  </si>
  <si>
    <t>002288</t>
  </si>
  <si>
    <t>Garden wall lamp QUAZAR 11 1xGU10 IP44 black Kobi</t>
  </si>
  <si>
    <t>002265</t>
  </si>
  <si>
    <t>Garden wall lamp QUAZAR 11 1xGU10 IP44 grey Kobi</t>
  </si>
  <si>
    <t>002266</t>
  </si>
  <si>
    <t>Bollard lamp QUAZAR 12 1xGU10 IP44 black Kobi</t>
  </si>
  <si>
    <t>002267</t>
  </si>
  <si>
    <t>Bollard lamp QUAZAR 12 1xGU10 IP44 grey Kobi</t>
  </si>
  <si>
    <t>002268</t>
  </si>
  <si>
    <t>Garden wall lamp QUAZAR 13 1xGU10 LX IP44 grey Kobi</t>
  </si>
  <si>
    <t>002270</t>
  </si>
  <si>
    <t>Bollard lamp QUAZAR 14 1xGU10 IP44 black Kobi</t>
  </si>
  <si>
    <t>002271</t>
  </si>
  <si>
    <t>Garden wall lamp QUAZAR 15 1xGU10 IP44 black Kobi</t>
  </si>
  <si>
    <t>002273</t>
  </si>
  <si>
    <t>Garden wall lamp QUAZAR 15 1xGU10 IP44 grey Kobi</t>
  </si>
  <si>
    <t>002278</t>
  </si>
  <si>
    <t>Garden wall lamp QUAZAR 15 1xU10 LX IP44 black Kobi</t>
  </si>
  <si>
    <t>002274</t>
  </si>
  <si>
    <t>Garden wall lamp QUAZAR 15 1xU10 LX IP44 grey Kobi</t>
  </si>
  <si>
    <t>002275</t>
  </si>
  <si>
    <t>Bollard lamp QUAZAR 15S 1xGU10 IP44 black Kobi</t>
  </si>
  <si>
    <t>002276</t>
  </si>
  <si>
    <t>Bollard lamp QUAZAR 15S 1xGU10 IP44 grey Kobi</t>
  </si>
  <si>
    <t>002277</t>
  </si>
  <si>
    <t>Garden wall lamp QUAZAR 16 1xGU10 IP44 steel Kobi</t>
  </si>
  <si>
    <t>002279</t>
  </si>
  <si>
    <t>Garden lamp QUAZAR 17 1xGU10 IP44 grey Kobi</t>
  </si>
  <si>
    <t>002281</t>
  </si>
  <si>
    <t>Garden lamp QUERK 1 1xGU10 IP44 black LED2B</t>
  </si>
  <si>
    <t>002305</t>
  </si>
  <si>
    <t>Garden lamp QUERK 2 1xGU10 IP44 black LED2B</t>
  </si>
  <si>
    <t>002306</t>
  </si>
  <si>
    <t>Garden wall lamp QUERK 3 2xGU10 IP44 black LED2B</t>
  </si>
  <si>
    <t>002307</t>
  </si>
  <si>
    <t>Garden wall lamp QUERK 4 2xGU10 IP54 black LED2B</t>
  </si>
  <si>
    <t>002308</t>
  </si>
  <si>
    <t>Garden wall lamp QUERK 5 2xGU10 IP54 black LED2B</t>
  </si>
  <si>
    <t>002309</t>
  </si>
  <si>
    <t>Garden wall lamp QUERK 6 1xGU10 IP54 black LED2B</t>
  </si>
  <si>
    <t>003706</t>
  </si>
  <si>
    <t>Garden wall lamp QUERK 7 2xGU10 IP54 black LED2B</t>
  </si>
  <si>
    <t>003707</t>
  </si>
  <si>
    <t>Garden wall lamp TEVIO KG 1xE27 IP54 black LED2B</t>
  </si>
  <si>
    <t>003699</t>
  </si>
  <si>
    <t>Garden wall lamp TEVIO KG 1xE27 LX IP54 black LED2B</t>
  </si>
  <si>
    <t>003700</t>
  </si>
  <si>
    <t>Garden wall lamp TEVIO KD 1xE27 IP54 black LED2B</t>
  </si>
  <si>
    <t>003701</t>
  </si>
  <si>
    <t>Garden hanging lamp TEVIO W 1xE27 IP54 black LED2B</t>
  </si>
  <si>
    <t>003702</t>
  </si>
  <si>
    <t>Bollard lamp TEVIO S 1xE27 IP54 black LED2B</t>
  </si>
  <si>
    <t>003703</t>
  </si>
  <si>
    <t>Garden wall lamp LED OME 10W 4000K LX IP54 black LED2B</t>
  </si>
  <si>
    <t>003704</t>
  </si>
  <si>
    <t>Garden wall lamp LED LENTERO 12W 4000K LX IP54 black LED2B</t>
  </si>
  <si>
    <t>003705</t>
  </si>
  <si>
    <t>Garden wall lamp 0QUAZAR 8 1xGU10 IP44 black Kobi</t>
  </si>
  <si>
    <t>002289</t>
  </si>
  <si>
    <t>Garden wall lamp QUAZAR 8 1xGU10 IP44 grey Kobi</t>
  </si>
  <si>
    <t>002290</t>
  </si>
  <si>
    <t>Garden wall lamp QUAZAR 9 2xGU10 IP44 black Kobi</t>
  </si>
  <si>
    <t>002291</t>
  </si>
  <si>
    <t>Garden wall lamp QUAZAR 9 2xGU10 IP44 grey Kobi</t>
  </si>
  <si>
    <t>002292</t>
  </si>
  <si>
    <t>DECORATIVE FLUSH-MOUNTED</t>
  </si>
  <si>
    <t>Downlight ring OH14 white Kobi</t>
  </si>
  <si>
    <t>002034</t>
  </si>
  <si>
    <t>Downlight ring OH14 chrome Kobi</t>
  </si>
  <si>
    <t>002035</t>
  </si>
  <si>
    <t>Downlight ring OH14 matt chrome Kobi</t>
  </si>
  <si>
    <t>002037</t>
  </si>
  <si>
    <t>Downlight ring OH14 matt black Kobi</t>
  </si>
  <si>
    <t>002038</t>
  </si>
  <si>
    <t>Downlight ring OH14 patina Kobi</t>
  </si>
  <si>
    <t>002039</t>
  </si>
  <si>
    <t>Downlight ring OH15 white Kobi</t>
  </si>
  <si>
    <t>002040</t>
  </si>
  <si>
    <t>Downlight ring OH15 chrome Kobi</t>
  </si>
  <si>
    <t>002041</t>
  </si>
  <si>
    <t>Downlight ring OH15 matt chrome Kobi</t>
  </si>
  <si>
    <t>002043</t>
  </si>
  <si>
    <t>Downlight ring OH15 matt black Kobi</t>
  </si>
  <si>
    <t>002044</t>
  </si>
  <si>
    <t>Downlight ring OH15 patina Kobi</t>
  </si>
  <si>
    <t>002046</t>
  </si>
  <si>
    <t>Downlight ring OH20 black Kobi</t>
  </si>
  <si>
    <t>002050</t>
  </si>
  <si>
    <t>Downlight ring OH21chrome Kobi</t>
  </si>
  <si>
    <t>002051</t>
  </si>
  <si>
    <t>Downlight ring OH21 black Kobi</t>
  </si>
  <si>
    <t>002052</t>
  </si>
  <si>
    <t>Downlight ring OH26N clear Kobi</t>
  </si>
  <si>
    <t>002065</t>
  </si>
  <si>
    <t>Downlight ring OH26N black Kobi</t>
  </si>
  <si>
    <t>002066</t>
  </si>
  <si>
    <t>Downlight ring OH26 black Kobi</t>
  </si>
  <si>
    <t>002064</t>
  </si>
  <si>
    <t>Downlight ring OH27 black Kobi</t>
  </si>
  <si>
    <t>002068</t>
  </si>
  <si>
    <t>Downlight ring OH27N clear Kobi</t>
  </si>
  <si>
    <t>002069</t>
  </si>
  <si>
    <t>Downlight ring OH27N black Kobi</t>
  </si>
  <si>
    <t>002070</t>
  </si>
  <si>
    <t>Downlight ring OH28 chrome Kobi</t>
  </si>
  <si>
    <t>002071</t>
  </si>
  <si>
    <t>Downlight ring OH28 black Kobi</t>
  </si>
  <si>
    <t>002072</t>
  </si>
  <si>
    <t>Downlight ring OH28 matt white Kobi</t>
  </si>
  <si>
    <t>002073</t>
  </si>
  <si>
    <t>Downlight ring OH28 matt black Kobi</t>
  </si>
  <si>
    <t>002074</t>
  </si>
  <si>
    <t>Downlight ring OH228 chrome Kobi</t>
  </si>
  <si>
    <t>002055</t>
  </si>
  <si>
    <t>Downlight ring OH228 black Kobi</t>
  </si>
  <si>
    <t>002056</t>
  </si>
  <si>
    <t>Downlight ring OH29 chrome Kobi</t>
  </si>
  <si>
    <t>002075</t>
  </si>
  <si>
    <t>Downlight ring OH29 black Kobi</t>
  </si>
  <si>
    <t>002076</t>
  </si>
  <si>
    <t>Downlight ring OH29 matt white Kobi</t>
  </si>
  <si>
    <t>002077</t>
  </si>
  <si>
    <t>Downlight ring OH29 matt black Kobi</t>
  </si>
  <si>
    <t>002078</t>
  </si>
  <si>
    <t>Downlight ring OH34 IP44 chrome Kobi</t>
  </si>
  <si>
    <t>002083</t>
  </si>
  <si>
    <t>Downlight ring OH34 IP44 matt black Kobi</t>
  </si>
  <si>
    <t>002085</t>
  </si>
  <si>
    <t>Downlight LED HALO 5W 3000K Kobi</t>
  </si>
  <si>
    <t>002128</t>
  </si>
  <si>
    <t>Downlight LED HALO 5W 4000K Kobi</t>
  </si>
  <si>
    <t>002129</t>
  </si>
  <si>
    <t>Downlight ring OH49 black Kobi</t>
  </si>
  <si>
    <t>002114</t>
  </si>
  <si>
    <t>Downlight ring OH49 clear Kobi</t>
  </si>
  <si>
    <t>002113</t>
  </si>
  <si>
    <t>Downlight ring OH50 black Kobi</t>
  </si>
  <si>
    <t>002116</t>
  </si>
  <si>
    <t>Downlight ring OH51 black Kobi</t>
  </si>
  <si>
    <t>002118</t>
  </si>
  <si>
    <t>Downlight ring OH51 clear Kobi</t>
  </si>
  <si>
    <t>002117</t>
  </si>
  <si>
    <t>Downlight ring OH33 white Kobi</t>
  </si>
  <si>
    <t>002081</t>
  </si>
  <si>
    <t>Ceiling spot NUUK PT 1XGU10 white Kobi</t>
  </si>
  <si>
    <t>002191</t>
  </si>
  <si>
    <t>JVS</t>
  </si>
  <si>
    <t>DECORO B-0001R downlight black JVS</t>
  </si>
  <si>
    <t>000866</t>
  </si>
  <si>
    <t>DECORO C-0001R downlight chrome JVS</t>
  </si>
  <si>
    <t>000867</t>
  </si>
  <si>
    <t>Downlight ESF-001-R 1xGU10 matt chrom JVS</t>
  </si>
  <si>
    <t>002022</t>
  </si>
  <si>
    <t>SOLAR STREET LIGHTING</t>
  </si>
  <si>
    <t>Park lamp HYBRID LED FUSION 14W 4000K IP65 Kobi Pro</t>
  </si>
  <si>
    <t>001613</t>
  </si>
  <si>
    <t>Solar street light LED STREET 15W 4000K IP65 Kobi</t>
  </si>
  <si>
    <t>001819</t>
  </si>
  <si>
    <t>Solar street light LED STREET 30W 2CCT IP65 Kobi Premium</t>
  </si>
  <si>
    <t>001820</t>
  </si>
  <si>
    <t>Solar street light LED STREET 40W 4000K IP65 Kobi Premium</t>
  </si>
  <si>
    <t>001821</t>
  </si>
  <si>
    <t>Ceiling lamp LED NUMOS 7W 4000K LX IP65 Kobi Pro</t>
  </si>
  <si>
    <t>000072</t>
  </si>
  <si>
    <t>Ceiling lamp LED ORBIS 10W 4000K LX IP44 Kobi Pro</t>
  </si>
  <si>
    <t>000089</t>
  </si>
  <si>
    <t>Ceiling lamp LED DEFENDER 18W 4000K IP66  Kobi Pro</t>
  </si>
  <si>
    <t>001593</t>
  </si>
  <si>
    <t>Ceiling lamp LED DEFENDER 24W 4000K IP66 Kobi Pro</t>
  </si>
  <si>
    <t>001594</t>
  </si>
  <si>
    <t>Ceiling lamp LED DEFENDER 18W 4000K LX IP66 Kobi Pro</t>
  </si>
  <si>
    <t>001595</t>
  </si>
  <si>
    <t>Ceiling lamp LED DEFENDER 24W 4000K LX IP66 Kobi Pro</t>
  </si>
  <si>
    <t>001596</t>
  </si>
  <si>
    <t>Ceiling lamp LED NAIROS 12W CCT IP65 white Kobi Premium</t>
  </si>
  <si>
    <t>001794</t>
  </si>
  <si>
    <t>Ceiling lamp LED NAIROS 24W CCT IP65 white Kobi Premium</t>
  </si>
  <si>
    <t>001798</t>
  </si>
  <si>
    <t>Ceiling lamp LED NAIROS 12W CCT LX IP65  black Kobi Premium</t>
  </si>
  <si>
    <t>001831</t>
  </si>
  <si>
    <t>Ceiling lamp LED NAIROS 24W CCT LX IP65 white Kobi Premium</t>
  </si>
  <si>
    <t>001834</t>
  </si>
  <si>
    <t>Ceiling lamp LED NAIROS 24W CCT LX IP65 black Kobi Premium</t>
  </si>
  <si>
    <t>001835</t>
  </si>
  <si>
    <t>Ceiling lamp LED NAIROS G2 12W 3CCT IP65 white Kobi Premium</t>
  </si>
  <si>
    <t>001694</t>
  </si>
  <si>
    <t>Ceiling lamp LED NAIROS G2 12W 3CCT IP65 black Kobi Premium</t>
  </si>
  <si>
    <t>001695</t>
  </si>
  <si>
    <t>Ceiling lamp LED NAIROS G2 18W 3CCT IP65 white Kobi Premium</t>
  </si>
  <si>
    <t>001696</t>
  </si>
  <si>
    <t>Ceiling lamp LED NAIROS G2 18W 3CCT IP65 black Kobi Premium</t>
  </si>
  <si>
    <t>001697</t>
  </si>
  <si>
    <t>Ceiling lamp LED NAIROS G2 24W 3CCT IP65 white Kobi Premium</t>
  </si>
  <si>
    <t>001698</t>
  </si>
  <si>
    <t>Ceiling lamp LED NAIROS G2 24W 3CCT IP65 black Kobi Premium</t>
  </si>
  <si>
    <t>001699</t>
  </si>
  <si>
    <t>Ceiling lamp LED NAIROS G2 36W 3CCT IP65 white Kobi Premium</t>
  </si>
  <si>
    <t>001700</t>
  </si>
  <si>
    <t>Ceiling lamp LED NAIROS G2 12W 3CCT LX IP65 white Kobi Premium</t>
  </si>
  <si>
    <t>001701</t>
  </si>
  <si>
    <t>Ceiling lamp LED NAIROS G2 12W 3CCT LX IP65 black Kobi Premium</t>
  </si>
  <si>
    <t>001702</t>
  </si>
  <si>
    <t>Ceiling lamp LED NAIROS G2 18W 3CCT LX IP65 white Kobi Premium</t>
  </si>
  <si>
    <t>001703</t>
  </si>
  <si>
    <t>Ceiling lamp LED NAIROS G2 18W 3CCT LX IP65 black Kobi Premium</t>
  </si>
  <si>
    <t>001704</t>
  </si>
  <si>
    <t>Ceiling lamp LED NAIROS G2 24W 3CCT LX IP65 white Kobi Premium</t>
  </si>
  <si>
    <t>001705</t>
  </si>
  <si>
    <t>Ceiling lamp LED NAIROS G2 24W 3CCT LX IP65 black Kobi Premium</t>
  </si>
  <si>
    <t>001706</t>
  </si>
  <si>
    <t>Ceiling lamp LED NAIROS G2 36W 3CCT LX IP65 white Kobi Premium</t>
  </si>
  <si>
    <t>001707</t>
  </si>
  <si>
    <t>Ceiling lamp LED SOFI 13W 4000K LX  Kobi Premium</t>
  </si>
  <si>
    <t>001864</t>
  </si>
  <si>
    <t>Ceiling lamp ROMERO 2xE27 chrome Kobi</t>
  </si>
  <si>
    <t>001942</t>
  </si>
  <si>
    <t>Ceiling lamp ROMERO 2xE27 black Kobi</t>
  </si>
  <si>
    <t>001944</t>
  </si>
  <si>
    <t>Ceiling lamp SAMIRA S 2xE27 chrome Kobi</t>
  </si>
  <si>
    <t>001951</t>
  </si>
  <si>
    <t>Ceiling lamp SAMIRA S 2xE27 black Kobi</t>
  </si>
  <si>
    <t>001952</t>
  </si>
  <si>
    <t>Ceiling lamp SAMIRA B 2xE27 chrome Kobi</t>
  </si>
  <si>
    <t>001949</t>
  </si>
  <si>
    <t>Ceiling lamp SAMIRA B 2xE27 black Kobi</t>
  </si>
  <si>
    <t>001950</t>
  </si>
  <si>
    <t>Battery Li-Ion 18650 3,7V 3Ah for Solar LED MHC 5W</t>
  </si>
  <si>
    <t>001806</t>
  </si>
  <si>
    <t>Battery Li-Ion 18650 3,7V 7,2Ah for Solar LED MHC/S 10W</t>
  </si>
  <si>
    <t>001804</t>
  </si>
  <si>
    <t>Battery Li-Ion 18650 7,4V 5,4Ah for Solar LED STREET 15W</t>
  </si>
  <si>
    <t>001818</t>
  </si>
  <si>
    <t>Solar floodlight LED NCS 10W 6500K IP65 LED2B</t>
  </si>
  <si>
    <t>001635</t>
  </si>
  <si>
    <t>Solar floodlight LED NCS 20W 6500K IP65 LED2B</t>
  </si>
  <si>
    <t>001636</t>
  </si>
  <si>
    <t>Solar floodlight LED NCS 30W 6500K IP65 LED2B</t>
  </si>
  <si>
    <t>001637</t>
  </si>
  <si>
    <t>Solar floodlight LED MHCS 10W 4000K IP65 Kobi Premium</t>
  </si>
  <si>
    <t>001814</t>
  </si>
  <si>
    <t>Solar floodlight LED MHCS 30W 4000K IP65 Kobi Premium</t>
  </si>
  <si>
    <t>001809</t>
  </si>
  <si>
    <t>Solar floodlight LED MHC 5W 4000K IP65 Kobi</t>
  </si>
  <si>
    <t>001807</t>
  </si>
  <si>
    <t>Solar floodlight LED MHC 10W 4000K IP65 Kobi</t>
  </si>
  <si>
    <t>001805</t>
  </si>
  <si>
    <t>Solar floodlight LED KOBI NEW PHOENIX 13W 4000K IP65 Kobi</t>
  </si>
  <si>
    <t>001810</t>
  </si>
  <si>
    <t>OUTDOOR GARLANDS</t>
  </si>
  <si>
    <t>Kobi Design</t>
  </si>
  <si>
    <t>Garland CRETE 5xE27 5m Kobi Design</t>
  </si>
  <si>
    <t>001440</t>
  </si>
  <si>
    <t>Lampshade for CRETE LS D1 black 5 pcs Kobi Design</t>
  </si>
  <si>
    <t>001443</t>
  </si>
  <si>
    <t>Lampshade for CRETE LS M1 black 5 pcs Kobi Design</t>
  </si>
  <si>
    <t>001441</t>
  </si>
  <si>
    <t>Lampshade for CRETE LS M2 black 5 pcs Kobi Design</t>
  </si>
  <si>
    <t>001442</t>
  </si>
  <si>
    <t>Lampshade for CRETE LS R1 wood 5 pcs Kobi Design</t>
  </si>
  <si>
    <t>001444</t>
  </si>
  <si>
    <t>Lampshade for CRETE LS R2 black 5 pcs Kobi Design</t>
  </si>
  <si>
    <t>001445</t>
  </si>
  <si>
    <t>Power cord CRETE PC 10m Kobi Design</t>
  </si>
  <si>
    <t>001439</t>
  </si>
  <si>
    <t>Power cord CRETE PC 5m Kobi Design</t>
  </si>
  <si>
    <t>001438</t>
  </si>
  <si>
    <t>Garland LED KOBI VENEZIA 10W Kobi Design</t>
  </si>
  <si>
    <t>001435</t>
  </si>
  <si>
    <t>Table lamp LED KOBI VENEZIA S 2W 2700K Kobi Design</t>
  </si>
  <si>
    <t>001436</t>
  </si>
  <si>
    <t>Garland BAJA LED SET 10x1W 10m  E27 Kobi Design</t>
  </si>
  <si>
    <t>002218</t>
  </si>
  <si>
    <t>Garland BAJA LED SET 20x1W E27 10m  Kobi Design</t>
  </si>
  <si>
    <t>002219</t>
  </si>
  <si>
    <t>Garland BAJA LED SET 15x1W 15m E27 Kobi Design</t>
  </si>
  <si>
    <t>002220</t>
  </si>
  <si>
    <t>Garland BAJA LED SET 20x1W 20m E27 Kobi Design</t>
  </si>
  <si>
    <t>002221</t>
  </si>
  <si>
    <t>Garland MIMOSA LED SET 10m 10x1W E27 Kobi</t>
  </si>
  <si>
    <t>002321</t>
  </si>
  <si>
    <t>Garland MIMOSA 10m 20xE27 Kobi</t>
  </si>
  <si>
    <t>002322</t>
  </si>
  <si>
    <t>Garland MIMOSA 20m 20xE27 Kobi</t>
  </si>
  <si>
    <t>002324</t>
  </si>
  <si>
    <t>Garland MIMOSA LED SET 20m 20x1W E27 Kobi</t>
  </si>
  <si>
    <t>002325</t>
  </si>
  <si>
    <t>Garland MIMOSA 2 10m 10xE27 Kobi</t>
  </si>
  <si>
    <t>002326</t>
  </si>
  <si>
    <t>DOWNLIGHT</t>
  </si>
  <si>
    <t>Downlight LED NEXEYE NE1 15W 4000K IP44 Kobi Pro</t>
  </si>
  <si>
    <t>000061</t>
  </si>
  <si>
    <t>Downlight LED NEXEYE NE1 20W 4000K IP44 Kobi Pro</t>
  </si>
  <si>
    <t>000063</t>
  </si>
  <si>
    <t>Downlight LED NEXEYE NE1 30W 4000K IP44 Kobi Pro</t>
  </si>
  <si>
    <t>000065</t>
  </si>
  <si>
    <t>Ceiling lamp LED SIGARO CIRCLE 18W 4000K Kobi Premium</t>
  </si>
  <si>
    <t>001847</t>
  </si>
  <si>
    <t>Ceiling lamp LED SIGARO CIRCLE 24W 4000K Kobi Premium</t>
  </si>
  <si>
    <t>001848</t>
  </si>
  <si>
    <t>Downlight LED SIGARO CIRCLE PT 6W 4000K Kobi Premium</t>
  </si>
  <si>
    <t>001852</t>
  </si>
  <si>
    <t>Downlight LED SIGARO CIRCLE PT 12W 4000K Kobi Premium</t>
  </si>
  <si>
    <t>001849</t>
  </si>
  <si>
    <t>Downlight LED SIGARO CIRCLE PT 18W 4000K Kobi Premium</t>
  </si>
  <si>
    <t>001850</t>
  </si>
  <si>
    <t>Downlight LED SIGARO CIRCLE PT 24W 4000K Kobi Premium</t>
  </si>
  <si>
    <t>001851</t>
  </si>
  <si>
    <t>Ceiling lamp LED SIGARO SQUARE 18W 4000K Kobi Premium</t>
  </si>
  <si>
    <t>001862</t>
  </si>
  <si>
    <t>Ceiling lamp LED SIGARO SQUARE 24W 4000K Kobi Premium</t>
  </si>
  <si>
    <t>001863</t>
  </si>
  <si>
    <t>Cabinet light LED CORREA 3,4W 3000K LX Kobi</t>
  </si>
  <si>
    <t>001984</t>
  </si>
  <si>
    <t>Cabinet light LED CLICK 1,5W CCT Kobi Premium</t>
  </si>
  <si>
    <t>001986</t>
  </si>
  <si>
    <t>Cabinet light LED WL 4W 4000K Kobi</t>
  </si>
  <si>
    <t>001998</t>
  </si>
  <si>
    <t>Cabinet light LED WL 8W 4000K Kobi</t>
  </si>
  <si>
    <t>002000</t>
  </si>
  <si>
    <t>Cabinet light LED WL 10W 3000K Kobi</t>
  </si>
  <si>
    <t>001995</t>
  </si>
  <si>
    <t>Cabinet light LED WL 10W 4000K Kobi</t>
  </si>
  <si>
    <t>001994</t>
  </si>
  <si>
    <t>Cabinet light LED WL 14W 3000K Kobi</t>
  </si>
  <si>
    <t>001997</t>
  </si>
  <si>
    <t>Cabinet light LED WL 14W 4000K Kobi</t>
  </si>
  <si>
    <t>001996</t>
  </si>
  <si>
    <t>OUTDOOR IN-GROUND TYPE</t>
  </si>
  <si>
    <t>Garden lamp BLAKE 2 1xGU10 IP65 black Kobi</t>
  </si>
  <si>
    <t>002263</t>
  </si>
  <si>
    <t>Driveway fixture ENTRADA 1 1xGU10 square Kobi</t>
  </si>
  <si>
    <t>002332</t>
  </si>
  <si>
    <t>Driveway fixture ENTRADA 2 1xGU10 round Kobi</t>
  </si>
  <si>
    <t>002333</t>
  </si>
  <si>
    <t>OUTDOOR</t>
  </si>
  <si>
    <t>Mounting bracket BASE TP 360mm Fi 60mm Kobi</t>
  </si>
  <si>
    <t>003698</t>
  </si>
  <si>
    <t>Driveway fixture INGRESS 1xGU10 round IP67 LED2B</t>
  </si>
  <si>
    <t>002242</t>
  </si>
  <si>
    <t>Driveway fixture INGRESS 1xGU10 square IP67 LED2B</t>
  </si>
  <si>
    <t>002243</t>
  </si>
  <si>
    <t>Wall handle BASE SE 500mm Fi 48mm LED2B</t>
  </si>
  <si>
    <t>003689</t>
  </si>
  <si>
    <t>Pole BASE SG 3m Fi 60mm Kobi</t>
  </si>
  <si>
    <t>003691</t>
  </si>
  <si>
    <t>Pole BASE SG 4m Fi 60mm Kobi</t>
  </si>
  <si>
    <t>003692</t>
  </si>
  <si>
    <t>Table lamp ŚMIESZEK KX3087 1xE27 White Kobi</t>
  </si>
  <si>
    <t>001958</t>
  </si>
  <si>
    <t>Table lamp ŚMIESZEK KX3087 1xE27 Black Kobi</t>
  </si>
  <si>
    <t>001959</t>
  </si>
  <si>
    <t>Table lamp ŚMIESZEK KX3087 1xE27 Red Kobi</t>
  </si>
  <si>
    <t>001960</t>
  </si>
  <si>
    <t>Table lamp ŚMIESZEK KX3087 1xE27 Blue Kobi</t>
  </si>
  <si>
    <t>001961</t>
  </si>
  <si>
    <t>Table lamp ŚMIESZEK KX3087 1xE27 Pink Kobi</t>
  </si>
  <si>
    <t>001962</t>
  </si>
  <si>
    <t>Table lamp ŚMIESZEK KX3087 1xE27 Green Kobi</t>
  </si>
  <si>
    <t>001963</t>
  </si>
  <si>
    <t>Table lamp ŚMIESZEK KX3087 1xE27 Yellow Kobi</t>
  </si>
  <si>
    <t>001964</t>
  </si>
  <si>
    <t>Table lamp LED LIZBONA 3,5W IP54 White Kobi Premium</t>
  </si>
  <si>
    <t>001965</t>
  </si>
  <si>
    <t>Table lamp LED LIZBONA 3,5W IP54 Black Kobi Premium</t>
  </si>
  <si>
    <t>001966</t>
  </si>
  <si>
    <t>Table lamp AURIQ 1xE27 White LED2B</t>
  </si>
  <si>
    <t>001967</t>
  </si>
  <si>
    <t>Table lamp AURIQ 1xE27 Black LED2B</t>
  </si>
  <si>
    <t>001968</t>
  </si>
  <si>
    <t>Floor lamp AURIQ ST 1xE27 black LED2B</t>
  </si>
  <si>
    <t>001969</t>
  </si>
  <si>
    <t>Table lamp LED NOBLITE 7W CCT Black LED2B</t>
  </si>
  <si>
    <t>001971</t>
  </si>
  <si>
    <t>Table lamp LED NOBLITE 7W CCT White LED2B</t>
  </si>
  <si>
    <t>001970</t>
  </si>
  <si>
    <t>Table lamp LED TENUIX 14W CCT black LED2B</t>
  </si>
  <si>
    <t>001972</t>
  </si>
  <si>
    <t>Table lamp LED TENUIX DUO 28W CCT black LED2B</t>
  </si>
  <si>
    <t>001973</t>
  </si>
  <si>
    <t>Table lamp LED VISUA DESK 5W White LED2B</t>
  </si>
  <si>
    <t>001974</t>
  </si>
  <si>
    <t>Table lamp LED VISUA DESK 5W Black LED2B</t>
  </si>
  <si>
    <t>001975</t>
  </si>
  <si>
    <t>Table lamp LED VISUA DESK 5W Mint LED2B</t>
  </si>
  <si>
    <t>001976</t>
  </si>
  <si>
    <t>Table lamp LED VISUA DESK 5W Blue LED2B</t>
  </si>
  <si>
    <t>001977</t>
  </si>
  <si>
    <t>Table lamp LED VISUA DESK 5W Pink LED2B</t>
  </si>
  <si>
    <t>001978</t>
  </si>
  <si>
    <t>Table lamp LED VISUA DESK 5W Grey LED2B</t>
  </si>
  <si>
    <t>001979</t>
  </si>
  <si>
    <t>LED stripe TRAMO 320 COB 5m 3000K IP65 Kobi Premium</t>
  </si>
  <si>
    <t>001420</t>
  </si>
  <si>
    <t>LED stripe TRAMO 320 COB 5m 4000K IP65 Kobi Premium</t>
  </si>
  <si>
    <t>001421</t>
  </si>
  <si>
    <t>LED stripe TRAMO 320 COB 5m 6500K IP65 Kobi Premium</t>
  </si>
  <si>
    <t>001422</t>
  </si>
  <si>
    <t>LED stripe TRAMO 320 COB 5m 3000K IP20 Kobi Premium</t>
  </si>
  <si>
    <t>001423</t>
  </si>
  <si>
    <t>LED stripe TRAMO 320 COB 5m 4000K IP20 Kobi Premium</t>
  </si>
  <si>
    <t>001424</t>
  </si>
  <si>
    <t>LED stripe TRAMO 320 COB 5m 6500K IP20 Kobi Premium</t>
  </si>
  <si>
    <t>001425</t>
  </si>
  <si>
    <t>LED stripe PLAY SET 5m RGB CCT IP20 Kobi Design</t>
  </si>
  <si>
    <t>001446</t>
  </si>
  <si>
    <t>LED stripe PLAY SET 10m RGB CCT IP20 Kobi Design</t>
  </si>
  <si>
    <t>001447</t>
  </si>
  <si>
    <t>LED  stripe PLAY SET 15m RGB CCT IP20 Kobi Design</t>
  </si>
  <si>
    <t>001448</t>
  </si>
  <si>
    <t>LED stripe PLAY SET 20m RGB CCT IP20 Kobi Design</t>
  </si>
  <si>
    <t>001449</t>
  </si>
  <si>
    <t>LED stripe TRAMO 150 5050 5m RGB IP20 Kobi</t>
  </si>
  <si>
    <t>001416</t>
  </si>
  <si>
    <t>LED stripe TRAMO 300 2835 5m 3000K IP65 Kobi Premium</t>
  </si>
  <si>
    <t>001397</t>
  </si>
  <si>
    <t>LED stripe TRAMO 300 2835 5m 4000K IP20 Kobi Premium</t>
  </si>
  <si>
    <t>001407</t>
  </si>
  <si>
    <t>LED stripe TRAMO 300 2835 5m 6500K IP20 Kobi</t>
  </si>
  <si>
    <t>001411</t>
  </si>
  <si>
    <t>LED stripe TRAMO 300 2835 5m red IP65 Kobi</t>
  </si>
  <si>
    <t>001401</t>
  </si>
  <si>
    <t>LED stripe TRAMO 300 2835 5m green IP20 Kobi</t>
  </si>
  <si>
    <t>001408</t>
  </si>
  <si>
    <t>LED stripe TRAMO 300 2835 5m green IP65 Kobi</t>
  </si>
  <si>
    <t>001398</t>
  </si>
  <si>
    <t>LED stripe TRAMO 300 2835 5m yellow IP20 Kobi</t>
  </si>
  <si>
    <t>001410</t>
  </si>
  <si>
    <t>LED stripe TRAMO 300 2835 5m yellow IP65 Kobi</t>
  </si>
  <si>
    <t>001402</t>
  </si>
  <si>
    <t>001418</t>
  </si>
  <si>
    <t>ELECTRICAL INSTALLATION EQUIPMENT</t>
  </si>
  <si>
    <t>Extension cord CONNECTO 4 sockets+USB/1,5m/Zu+W/1,5mm black Kobi Design</t>
  </si>
  <si>
    <t>001450</t>
  </si>
  <si>
    <t>Extension cord CONNECTO 4 sockets+USB/1,5m/Zu+W/1,5mm white Kobi Design</t>
  </si>
  <si>
    <t>001451</t>
  </si>
  <si>
    <t>Extension cord CONNECTO  4 sockets+USB/3m/Zu+W/1,5mm black Kobi Design</t>
  </si>
  <si>
    <t>001452</t>
  </si>
  <si>
    <t>Extension cord CONNECTO 4 sockets+USB/3m/Zu+W/1,5mm white Kobi Design</t>
  </si>
  <si>
    <t>001453</t>
  </si>
  <si>
    <t>Extension cord CONNECTO 4 sockets+USB/5m/Zu+W/1,5mm black Kobi Design</t>
  </si>
  <si>
    <t>001454</t>
  </si>
  <si>
    <t>Extension cord CONNECTO 4 sockets+USB/5m/Zu+W/1,5mm white Kobi Design</t>
  </si>
  <si>
    <t>001455</t>
  </si>
  <si>
    <t>Extension cord FLOWFLEXER ORANGE W 2 sockets+USB/1,4m/Zu/1,5mm white Kobi Design</t>
  </si>
  <si>
    <t>001464</t>
  </si>
  <si>
    <t>Extension cord FLOWFLEXER ORANGE B 2 sockets+USB/1,4m/Zu/1,5mm black Kobi Design</t>
  </si>
  <si>
    <t>001465</t>
  </si>
  <si>
    <t>Extension cord KOBI LINEA 3gn/1,5m/Zu Kobi</t>
  </si>
  <si>
    <t>001903</t>
  </si>
  <si>
    <t>Extension cord KOBI LINEA 3gn/3m/Zu Kobi</t>
  </si>
  <si>
    <t>001904</t>
  </si>
  <si>
    <t>Extension cord KOBI LINEA 3gn/5m/Zu Kobi</t>
  </si>
  <si>
    <t>001905</t>
  </si>
  <si>
    <t>Extension cord KOBI LINEA 4gn/1,5m/Zu Kobi</t>
  </si>
  <si>
    <t>001906</t>
  </si>
  <si>
    <t>Extension cord KOBI LINEA 4gn/3m/Zu Kobi</t>
  </si>
  <si>
    <t>001907</t>
  </si>
  <si>
    <t>Extension cord KOBI LINEA 4gn/5m/Zu Kobi</t>
  </si>
  <si>
    <t>001908</t>
  </si>
  <si>
    <t>Extension cord KOBI LINEA 5gn/1,5m/Zu Kobi</t>
  </si>
  <si>
    <t>001909</t>
  </si>
  <si>
    <t>Extension cord KOBI LINEA 5gn/3m/Zu Kobi</t>
  </si>
  <si>
    <t>001910</t>
  </si>
  <si>
    <t>Extension cord KOBI LINEA 5gn/5m/Zu Kobi</t>
  </si>
  <si>
    <t>001911</t>
  </si>
  <si>
    <t>Extension cord KOBI LINEA 3gn/3m/Zu+W Kobi</t>
  </si>
  <si>
    <t>001912</t>
  </si>
  <si>
    <t>Extension cord KOBI LINEA 3gn/5m/Zu+W Kobi</t>
  </si>
  <si>
    <t>001913</t>
  </si>
  <si>
    <t>Extension cord KOBI LINEA 5gn/3m/Zu+W Kobi</t>
  </si>
  <si>
    <t>001914</t>
  </si>
  <si>
    <t>Extension cord KOBI LINEA 5gn/5m/Zu+W Kobi</t>
  </si>
  <si>
    <t>001915</t>
  </si>
  <si>
    <t>Extension cord KOBI LINEA PRO CUBE 3 sockets+3USB/1USB-C/Zu+W white Kobi</t>
  </si>
  <si>
    <t>001916</t>
  </si>
  <si>
    <t>Extension cord KOBI LINEA PRO CUBE 3 sockets+3USB/1USB-C/Zu+W black Kobi</t>
  </si>
  <si>
    <t>001917</t>
  </si>
  <si>
    <t>Extension cord KOBI LINEA PRO CUBE C 3 sockets+3USB/1USB-C/1,5m/Zu+W white Kobi</t>
  </si>
  <si>
    <t>001918</t>
  </si>
  <si>
    <t>Extension cord KOBI LINEA PRO CUBE C 3 sockets+3USB/1USB-C/1,5m/Zu+W black Kobi</t>
  </si>
  <si>
    <t>001919</t>
  </si>
  <si>
    <t>Extension cord KOBI LINEA PRO FL 2 sockets+3USB/1USB-C/0,2m white Kobi</t>
  </si>
  <si>
    <t>001920</t>
  </si>
  <si>
    <t>Extension cord KOBI LINEA PRO FL 2 sockets+3USB/1USB-C/0,2m black Kobi</t>
  </si>
  <si>
    <t>001921</t>
  </si>
  <si>
    <t>Extension cord KOBI LINEA PRO 3 sockets+4USB/1USB-C/1,5m/Zu+W white Kobi</t>
  </si>
  <si>
    <t>001922</t>
  </si>
  <si>
    <t>Extension cord KOBI LINEA PRO 3 sockets+4USB/1USB-C/1,5m/Zu+W black Kobi</t>
  </si>
  <si>
    <t>001923</t>
  </si>
  <si>
    <t>Extension cord KOBI LINEA PRO 3 sockets+4USB/1USB-C/3m/Zu+W white Kobi</t>
  </si>
  <si>
    <t>001924</t>
  </si>
  <si>
    <t>Extension cord KOBI LINEA PRO 3 sockets+4USB/1USB-C/3m/Zu+W black Kobi</t>
  </si>
  <si>
    <t>001925</t>
  </si>
  <si>
    <t>Extension cord KOBI LINEA PRO 3 sockets+4USB/1USB-C/5m/Zu+W white Kobi</t>
  </si>
  <si>
    <t>001926</t>
  </si>
  <si>
    <t>Extension cord KOBI LINEA PRO 3gn+4USB/1USB-C/5m/Zu+W black Kobi</t>
  </si>
  <si>
    <t>001927</t>
  </si>
  <si>
    <t>INDOOR</t>
  </si>
  <si>
    <t>Floor lamp PLAY SL 6W RGB Kobi Design</t>
  </si>
  <si>
    <t>001459</t>
  </si>
  <si>
    <t>LED monitor lamp LUME-IQ 5W CCT Kobi Design</t>
  </si>
  <si>
    <t>001460</t>
  </si>
  <si>
    <t>Wall lamp LED LUMIREFLECT 8W 4000K black Kobi Design</t>
  </si>
  <si>
    <t>001461</t>
  </si>
  <si>
    <t>Wall lamp LED LUMIREFLECT 10W 4000K black Kobi Design</t>
  </si>
  <si>
    <t>001462</t>
  </si>
  <si>
    <t>Wall lamp LED LUMIREFLECT 12W 4000K black Kobi Design</t>
  </si>
  <si>
    <t>001463</t>
  </si>
  <si>
    <t>Hanging lamp BOHO BRAGA 1xE27 Kobi Design</t>
  </si>
  <si>
    <t>002152</t>
  </si>
  <si>
    <t>Hanging lamp BOHO BIMINI 1xE27 Kobi Design</t>
  </si>
  <si>
    <t>002153</t>
  </si>
  <si>
    <t>Hanging lamp BOHO BRUGIA M 1xE27 Kobi Design</t>
  </si>
  <si>
    <t>002154</t>
  </si>
  <si>
    <t>Hanging lamp BOHO BRUGIA S 1xE27 Kobi Design</t>
  </si>
  <si>
    <t>002155</t>
  </si>
  <si>
    <t>Hanging lamp BOHO BERN 1xE27 Kobi Design</t>
  </si>
  <si>
    <t>002156</t>
  </si>
  <si>
    <t>Hanging lamp BOHO BONN 1xE27 Kobi Design</t>
  </si>
  <si>
    <t>002157</t>
  </si>
  <si>
    <t>Hanging lamp BOHO BEIRUT 1xE27 Kobi Design</t>
  </si>
  <si>
    <t>002158</t>
  </si>
  <si>
    <t>Hanging lamp BOHO BAKU M 1xE27 Kobi Design</t>
  </si>
  <si>
    <t>002159</t>
  </si>
  <si>
    <t>Hanging lamp BOHO BAKU S 1xE27 Kobi Design</t>
  </si>
  <si>
    <t>002160</t>
  </si>
  <si>
    <t>Hanging lamp BOHO RIGA 1xE27 Kobi Design</t>
  </si>
  <si>
    <t>002161</t>
  </si>
  <si>
    <t>Hanging lamp BOHO RONDA 1xE27 Kobi Design</t>
  </si>
  <si>
    <t>002162</t>
  </si>
  <si>
    <t>Hanging lamp BOHO RANGO 1xE27 Kobi Design</t>
  </si>
  <si>
    <t>002163</t>
  </si>
  <si>
    <t>Hanging lamp BOHO RENNES  1xE27 Kobi Design</t>
  </si>
  <si>
    <t>002164</t>
  </si>
  <si>
    <t>Hanging lamp BOHO SIENA 3xE27 Kobi Design</t>
  </si>
  <si>
    <t>002165</t>
  </si>
  <si>
    <t>Hanging lamp BOHO SIBU 1xE27 Kobi Design</t>
  </si>
  <si>
    <t>002166</t>
  </si>
  <si>
    <t>Hanging lamp BOHO VERONA 1xE27 Kobi Design</t>
  </si>
  <si>
    <t>002167</t>
  </si>
  <si>
    <t>Hanging lamp BOHO VIENNA 1xE27 Kobi Design</t>
  </si>
  <si>
    <t>002168</t>
  </si>
  <si>
    <t>001982</t>
  </si>
  <si>
    <t>Cabinet light LED WL 8W 3CCT Kobi</t>
  </si>
  <si>
    <t>003831</t>
  </si>
  <si>
    <t>TRACK LIGHTING</t>
  </si>
  <si>
    <t>Track spotlight NEXTRACK S-LINE 1xGU10 white Kobi</t>
  </si>
  <si>
    <t>001729</t>
  </si>
  <si>
    <t>Track spotlight NEXTRACK S-LINE 1xGU10 black Kobi</t>
  </si>
  <si>
    <t>001730</t>
  </si>
  <si>
    <t>Art Of Light</t>
  </si>
  <si>
    <t>Track spotlight LED MOSS 10W 3000K black Art Of Light</t>
  </si>
  <si>
    <t>001685</t>
  </si>
  <si>
    <t>3-circuit track 1m white Kobi</t>
  </si>
  <si>
    <t>003657</t>
  </si>
  <si>
    <t>3-circuit track 1m black Kobi</t>
  </si>
  <si>
    <t>003658</t>
  </si>
  <si>
    <t>ACCESSORIES FOR TRACK LIGHTING</t>
  </si>
  <si>
    <t>External connector for 3-circuit track FLEX white Kobi</t>
  </si>
  <si>
    <t>002814</t>
  </si>
  <si>
    <t>External connector for 3-circuit track FLEX black Kobi</t>
  </si>
  <si>
    <t>002815</t>
  </si>
  <si>
    <t>Inner connector for 3-circuit track I white Kobi</t>
  </si>
  <si>
    <t>002816</t>
  </si>
  <si>
    <t>Inner connector for 3-circuit track I black Kobi</t>
  </si>
  <si>
    <t>002817</t>
  </si>
  <si>
    <t>External connector for 3-circuit track I white Kobi</t>
  </si>
  <si>
    <t>002818</t>
  </si>
  <si>
    <t>External connector for 3-circuit track I black Kobi</t>
  </si>
  <si>
    <t>002819</t>
  </si>
  <si>
    <t>External connector for 3-circuit track T white Kobi</t>
  </si>
  <si>
    <t>002820</t>
  </si>
  <si>
    <t>External connector for 3-circuit track T black Kobi</t>
  </si>
  <si>
    <t>002821</t>
  </si>
  <si>
    <t>External connector for 3-circuit track X white Kobi</t>
  </si>
  <si>
    <t>002822</t>
  </si>
  <si>
    <t>External connector for 3-circuit track X black Kobi</t>
  </si>
  <si>
    <t>002823</t>
  </si>
  <si>
    <t>External connector for 3-circuit track L LEFT white Kobi</t>
  </si>
  <si>
    <t>002824</t>
  </si>
  <si>
    <t>External connector for 3-circuit track L LEFT black Kobi</t>
  </si>
  <si>
    <t>002825</t>
  </si>
  <si>
    <t>External connector for 3-circuit track L RIGHT white Kobi</t>
  </si>
  <si>
    <t>002826</t>
  </si>
  <si>
    <t>External connector for 3-circuit track L RIGHT black Kobi</t>
  </si>
  <si>
    <t>002827</t>
  </si>
  <si>
    <t>3-circuit track 2m white Kobi</t>
  </si>
  <si>
    <t>002830</t>
  </si>
  <si>
    <t>3-circuit track 2m black Kobi</t>
  </si>
  <si>
    <t>002831</t>
  </si>
  <si>
    <t>End cap for 3-circuit track white Kobi</t>
  </si>
  <si>
    <t>002832</t>
  </si>
  <si>
    <t>End cap for 3-circuit track black Kobi</t>
  </si>
  <si>
    <t>002833</t>
  </si>
  <si>
    <t>Power supply for 3-circuit track LEFT white Kobi</t>
  </si>
  <si>
    <t>002834</t>
  </si>
  <si>
    <t>Power supply for 3-circuit track LEFT black Kobi</t>
  </si>
  <si>
    <t>002835</t>
  </si>
  <si>
    <t>Power supply for 3-circuit track RIGHT white Kobi</t>
  </si>
  <si>
    <t>002836</t>
  </si>
  <si>
    <t>Power supply for 3-circuit track RIGHT black Kobi</t>
  </si>
  <si>
    <t>002837</t>
  </si>
  <si>
    <t>Suspension kit for 3-circuit track white Kobi</t>
  </si>
  <si>
    <t>002838</t>
  </si>
  <si>
    <t>Suspension kit for 3-circuit track black Kobi</t>
  </si>
  <si>
    <t>002839</t>
  </si>
  <si>
    <t>Solar garden lamp 30 LED AURA 3000K LED2B</t>
  </si>
  <si>
    <t>002230</t>
  </si>
  <si>
    <t>Solar bollard lamp LED AURORA 6000K IP44 4-pack LED2B</t>
  </si>
  <si>
    <t>002231</t>
  </si>
  <si>
    <t>GARDEN LAMP SOLAR LED CANDELIO 2700K WH</t>
  </si>
  <si>
    <t>002233</t>
  </si>
  <si>
    <t>GARDEN LAMP SOLAR LED CANDELIO 2700K BL</t>
  </si>
  <si>
    <t>002234</t>
  </si>
  <si>
    <t>GARDEN LAMP SOLAR LED CANDELIO 2700K GO</t>
  </si>
  <si>
    <t>002235</t>
  </si>
  <si>
    <t>Solar bollard lamp LED ECLIPSE 6000K IP44 10-pack LED2B</t>
  </si>
  <si>
    <t>002236</t>
  </si>
  <si>
    <t>Solar bollard lamp LED FUSION 6500K IP44 12-pack LED2B</t>
  </si>
  <si>
    <t>002237</t>
  </si>
  <si>
    <t>Solar bollard lamp LED GLOBE 3000K IP44 5-pack LED2B</t>
  </si>
  <si>
    <t>002238</t>
  </si>
  <si>
    <t>Solar bollard lamp LED GLEAM 3000K IP44 5-pack LED2B</t>
  </si>
  <si>
    <t>002239</t>
  </si>
  <si>
    <t>Solar floodlight LED GLOW 6000K IP44 LED2B</t>
  </si>
  <si>
    <t>002240</t>
  </si>
  <si>
    <t>Solar garden lamp LED HARMONY 3000K IP44 LED2B</t>
  </si>
  <si>
    <t>002241</t>
  </si>
  <si>
    <t>Solar garden wall lamp LED LUMINA 6500K LED2B</t>
  </si>
  <si>
    <t>002244</t>
  </si>
  <si>
    <t>Solar lamp SOLAR 50 LED LUME RGB LED2B</t>
  </si>
  <si>
    <t>002245</t>
  </si>
  <si>
    <t>Bollard lamp solar LED LANCE 6000K IP44 LED2B</t>
  </si>
  <si>
    <t>002246</t>
  </si>
  <si>
    <t>Solar floodlight LED PRISM 6000K LED2B</t>
  </si>
  <si>
    <t>002303</t>
  </si>
  <si>
    <t>Solar floodlight LED PHOTON 3000K IP44 8-pack LED2B</t>
  </si>
  <si>
    <t>002304</t>
  </si>
  <si>
    <t>Solar garden lamp LED SPECTRA 2700K IP44 LED2B</t>
  </si>
  <si>
    <t>002310</t>
  </si>
  <si>
    <t>Solar bollard lamp LED SPIKE 6500K IP44 LED2B</t>
  </si>
  <si>
    <t>002311</t>
  </si>
  <si>
    <t>Solar bollard lamp LED SPHERE 6500K IP44 10-pack LED2B</t>
  </si>
  <si>
    <t>002312</t>
  </si>
  <si>
    <t>Solar garden lamp 300 LED SPARK 3000K IP44 LED2B</t>
  </si>
  <si>
    <t>002314</t>
  </si>
  <si>
    <t>Solar garden lamp SOLAR 10 LED STARLIGHT 6000K LED2B</t>
  </si>
  <si>
    <t>002315</t>
  </si>
  <si>
    <t>Solar garden lamp SOLAR 20 LED STARLIGHT 3000K LED2B</t>
  </si>
  <si>
    <t>002316</t>
  </si>
  <si>
    <t>Solar garden lamp SOLAR 30 LED STARLIGHT 3000K LED2B</t>
  </si>
  <si>
    <t>002317</t>
  </si>
  <si>
    <t>Solar garden lamp LED SWAY 6000K IP44 LED2B</t>
  </si>
  <si>
    <t>002318</t>
  </si>
  <si>
    <t>Solar bollard lamp LED ZEN 6000K IP44 10-pak LED2B</t>
  </si>
  <si>
    <t>002319</t>
  </si>
  <si>
    <t>Street light Solar LED URBI 8W 6500K IP54 LED2B</t>
  </si>
  <si>
    <t>003687</t>
  </si>
  <si>
    <t>Street light Solar LED URBI 11W 6500K IP54 LED2B</t>
  </si>
  <si>
    <t>003688</t>
  </si>
  <si>
    <t>Park light Solar LED LUVIA 15W 6500K IP54 LED2B</t>
  </si>
  <si>
    <t>003690</t>
  </si>
  <si>
    <t>Solar floodlight LED GLOW G2 2,5W 6000K LED2B</t>
  </si>
  <si>
    <t>003693</t>
  </si>
  <si>
    <t>Street light Solar LED SOLIT 11W 4000K IP54 Kobi</t>
  </si>
  <si>
    <t>003694</t>
  </si>
  <si>
    <t>Garden light Solar LED SPHERE 0,12W RGB LED2B 6x</t>
  </si>
  <si>
    <t>003695</t>
  </si>
  <si>
    <t>Garden lamp Solar LED GARDEN BALL 30cm 3000K+RGB Kobi Design</t>
  </si>
  <si>
    <t>003696</t>
  </si>
  <si>
    <t>Garden lamp Solar LED GARDEN BALL 40cm 3000K+RGB Kobi Design</t>
  </si>
  <si>
    <t>003697</t>
  </si>
  <si>
    <t>SENSORS</t>
  </si>
  <si>
    <t>Motion sensor LX01 160° PIR white Kobi Premium</t>
  </si>
  <si>
    <t>002334</t>
  </si>
  <si>
    <t>Motion sensor LX06 360° PIR Kobi Premium</t>
  </si>
  <si>
    <t>002335</t>
  </si>
  <si>
    <t>Motion sensor LX39 IP44 180° PIR white Kobi Premium</t>
  </si>
  <si>
    <t>002337</t>
  </si>
  <si>
    <t>Motion sensor LX39 IP44 180° PIR black Kobi Premium</t>
  </si>
  <si>
    <t>002338</t>
  </si>
  <si>
    <t>Motion sensor LX40 IP44 180° PIR white Kobi Premium</t>
  </si>
  <si>
    <t>002339</t>
  </si>
  <si>
    <t>Motion sensor LX40 IP44 180° PIR black Kobi Premium</t>
  </si>
  <si>
    <t>002340</t>
  </si>
  <si>
    <t>Motion sensor LX41 360° PIR white Kobi Premium</t>
  </si>
  <si>
    <t>002341</t>
  </si>
  <si>
    <t>Motion sensor LX42 360° PIR Kobi Premium</t>
  </si>
  <si>
    <t>002342</t>
  </si>
  <si>
    <t>Motion sensor LX701 360° MIC Kobi Pro</t>
  </si>
  <si>
    <t>002344</t>
  </si>
  <si>
    <t>002345</t>
  </si>
  <si>
    <t>002346</t>
  </si>
  <si>
    <t>002347</t>
  </si>
  <si>
    <t>MOTION SENSOR BLUETOOTH ZHAGA</t>
  </si>
  <si>
    <t>003778</t>
  </si>
  <si>
    <t>Dusk sensor LX501 Kobi</t>
  </si>
  <si>
    <t>002343</t>
  </si>
  <si>
    <t>Linear light ZEBRA 2x120 Kobi</t>
  </si>
  <si>
    <t>001884</t>
  </si>
  <si>
    <t>CONNECTING ITEMS</t>
  </si>
  <si>
    <t>Lamp holder K001 G5,3 Kobi</t>
  </si>
  <si>
    <t>002367</t>
  </si>
  <si>
    <t>Lamp holder K002 GU10 Kobi</t>
  </si>
  <si>
    <t>002368</t>
  </si>
  <si>
    <t>Lamp holder K003 E27 Kobi</t>
  </si>
  <si>
    <t>002369</t>
  </si>
  <si>
    <t>PLANT GROWTH</t>
  </si>
  <si>
    <t>Plant grow light LED BLOOM 20W 3500K Kobi Design</t>
  </si>
  <si>
    <t>001456</t>
  </si>
  <si>
    <t>Plant grow light LED VERDI 5W 3200K Kobi Design</t>
  </si>
  <si>
    <t>001457</t>
  </si>
  <si>
    <t>Plant grow light LED VERDI 10W 3200K Kobi Design</t>
  </si>
  <si>
    <t>001458</t>
  </si>
  <si>
    <t>LED grow bulb LED PLANTY W E27 9W E27 1200K Black Kobi Design</t>
  </si>
  <si>
    <t>001504</t>
  </si>
  <si>
    <t>LED grow bulb LED PLANTY B E27 9W E27 1200K White Kobi Desing</t>
  </si>
  <si>
    <t>001505</t>
  </si>
  <si>
    <t>Table lamp KOBI PLANTY CLIP W 1xE27 biała Kobi Design</t>
  </si>
  <si>
    <t>001506</t>
  </si>
  <si>
    <t>Table lamp KOBI PLANTY CLIP B 1xE27 czarna Kobi Design</t>
  </si>
  <si>
    <t>001507</t>
  </si>
  <si>
    <t>LED grow bulb LED PLANTY E27 24W Kobi Design</t>
  </si>
  <si>
    <t>001508</t>
  </si>
  <si>
    <t>LED grow bulb LED PLANTY E27 40W Kobi Design</t>
  </si>
  <si>
    <t>001509</t>
  </si>
  <si>
    <t>LED grow lamp LED GROWLY 15W Kobi Design</t>
  </si>
  <si>
    <t>001510</t>
  </si>
  <si>
    <t>Power cord with LED controller GROWLY PC 3M Kobi Design</t>
  </si>
  <si>
    <t>001511</t>
  </si>
  <si>
    <t>LED grow bulb LED PLANTY FGS 8W E27 1200K Kobi Design</t>
  </si>
  <si>
    <t>001512</t>
  </si>
  <si>
    <t>LED grow lamp LED VITARO 3 CLIP 10W Kobi Design</t>
  </si>
  <si>
    <t>001513</t>
  </si>
  <si>
    <t>LED grow lamp LED VITARO 4 CLIP 10W Kobi Design</t>
  </si>
  <si>
    <t>001514</t>
  </si>
  <si>
    <t>LED grow lamp LED VITARO 3 ST MINI 10W Kobi Design</t>
  </si>
  <si>
    <t>001515</t>
  </si>
  <si>
    <t>LED grow lamp LED VITARO 4 ST MINI 10W Kobi Design</t>
  </si>
  <si>
    <t>001516</t>
  </si>
  <si>
    <t>LED grow lamp LED VITARO 4 ST 30W Kobi Design</t>
  </si>
  <si>
    <t>001517</t>
  </si>
  <si>
    <t>FLASHLIGHT</t>
  </si>
  <si>
    <t>Flashlight LED X-MPR 5W 6000K IP54 LED2B</t>
  </si>
  <si>
    <t>001430</t>
  </si>
  <si>
    <t>Flashlight LED X-MPR MICRO CCT LED2B</t>
  </si>
  <si>
    <t>001431</t>
  </si>
  <si>
    <t>Floor lamp BOHO BONN ST 1xE27 Kobi Design</t>
  </si>
  <si>
    <t>001466</t>
  </si>
  <si>
    <t>Table lamp BOHO BONN MINI 1xE27 Kobi Design</t>
  </si>
  <si>
    <t>001467</t>
  </si>
  <si>
    <t>Table lamp BOHO BONN ST MINI 1xE27 Kobi Design</t>
  </si>
  <si>
    <t>001468</t>
  </si>
  <si>
    <t>Hanging lamp BOHO BONN RB 1xE27 Kobi Design</t>
  </si>
  <si>
    <t>001469</t>
  </si>
  <si>
    <t>Hanging lamp BOHO BONN RW 1xE27 Kobi Design</t>
  </si>
  <si>
    <t>001470</t>
  </si>
  <si>
    <t>Hanging lamp BOHO BRUGIA M RB 1xE27 Kobi Design</t>
  </si>
  <si>
    <t>001471</t>
  </si>
  <si>
    <t>Hanging lamp BOHO BRUGIA M RW 1xE27 Kobi Design</t>
  </si>
  <si>
    <t>001472</t>
  </si>
  <si>
    <t>Hanging lamp BOHO BRUGIA L RB 1xE27 Kobi Design</t>
  </si>
  <si>
    <t>001473</t>
  </si>
  <si>
    <t>Hanging lamp BOHO BRUGIA L RW 1xE27 Kobi Design</t>
  </si>
  <si>
    <t>001474</t>
  </si>
  <si>
    <t>Hanging lamp BOHO BAKU L 1xE27 Kobi Design</t>
  </si>
  <si>
    <t>001475</t>
  </si>
  <si>
    <t>Hanging lamp BOHO BERN M 1xE27 Kobi Design</t>
  </si>
  <si>
    <t>001476</t>
  </si>
  <si>
    <t>Hanging lamp BOHO BITAVIA S 1xE27 Kobi Design</t>
  </si>
  <si>
    <t>001477</t>
  </si>
  <si>
    <t>Hanging lamp BOHO BITAVIA M 1xE27 Kobi Design</t>
  </si>
  <si>
    <t>001478</t>
  </si>
  <si>
    <t>Table lamp BOHO BITAVIA MINI 1xE27 Kobi Design</t>
  </si>
  <si>
    <t>001479</t>
  </si>
  <si>
    <t>Hanging lamp BOHO BELMO 1xE27 Kobi Design</t>
  </si>
  <si>
    <t>001480</t>
  </si>
  <si>
    <t>Hanging lamp BOHO BOSU 1xE27 Kobi Design</t>
  </si>
  <si>
    <t>001481</t>
  </si>
  <si>
    <t>Hanging lamp BOHO BONTI 1xE27 Kobi Design</t>
  </si>
  <si>
    <t>001482</t>
  </si>
  <si>
    <t>Hanging lamp BOHO BINDUM 1xE27 Kobi Design</t>
  </si>
  <si>
    <t>001483</t>
  </si>
  <si>
    <t>Hanging lamp BOHO RENNI N 1xE27 Kobi Design</t>
  </si>
  <si>
    <t>001484</t>
  </si>
  <si>
    <t>Hanging lamp BOHO BAYOS 1xE27 Kobi Design</t>
  </si>
  <si>
    <t>001485</t>
  </si>
  <si>
    <t>Hanging lamp BOHO BANDIGO 1xE27 Kobi Design</t>
  </si>
  <si>
    <t>001486</t>
  </si>
  <si>
    <t>Hanging lamp BOHO BARSO 1xE27 Kobi Design</t>
  </si>
  <si>
    <t>001487</t>
  </si>
  <si>
    <t>Ceiling lamp BOHO BULI S 1xE27 Kobi Design</t>
  </si>
  <si>
    <t>001488</t>
  </si>
  <si>
    <t>Ceiling lamp BOHO BULI M 1xE27 Kobi Design</t>
  </si>
  <si>
    <t>001489</t>
  </si>
  <si>
    <t>Hanging lamp BOHO BEMIDI S 1xE27 Kobi Design</t>
  </si>
  <si>
    <t>001490</t>
  </si>
  <si>
    <t>Hanging lamp BOHO BEMIDI M 1xE27 Kobi Design</t>
  </si>
  <si>
    <t>001491</t>
  </si>
  <si>
    <t>Ceiling lamp BOHO ROVNO 1xE27 Kobi Design</t>
  </si>
  <si>
    <t>001492</t>
  </si>
  <si>
    <t>Ceiling lamp BOHO RENNI B 1xE27 Kobi Design</t>
  </si>
  <si>
    <t>001493</t>
  </si>
  <si>
    <t>Ceiling lamp REDDI 1xE27 Kobi Design</t>
  </si>
  <si>
    <t>001494</t>
  </si>
  <si>
    <t>Ceiling lamp BOHO SIBU LONG 1xE27 Kobi Design</t>
  </si>
  <si>
    <t>001495</t>
  </si>
  <si>
    <t>Wall lamp BOHO SIBU WALL 1xE27 Kobi Design</t>
  </si>
  <si>
    <t>001496</t>
  </si>
  <si>
    <t>Table lamp BOHO SIMBU HS 1xE27 Kobi Design</t>
  </si>
  <si>
    <t>001497</t>
  </si>
  <si>
    <t>Table lamp BOHO SIMBU LS 1xE27 Kobi Design</t>
  </si>
  <si>
    <t>001498</t>
  </si>
  <si>
    <t>Hanging lamp BOHO SILVON 1xE27 Kobi Design</t>
  </si>
  <si>
    <t>001499</t>
  </si>
  <si>
    <t>Table lamp BOHO SIBU ST 1xE27 Kobi Design</t>
  </si>
  <si>
    <t>001500</t>
  </si>
  <si>
    <t>Ceiling lamp BOHO FLOXEN ROUND 1xE27 Kobi Design</t>
  </si>
  <si>
    <t>001501</t>
  </si>
  <si>
    <t>Ceiling lamp BOHO FLOXEN SLANT 1xE27 Kobi Design</t>
  </si>
  <si>
    <t>001502</t>
  </si>
  <si>
    <t>Ceiling lamp BOHO SONTI 1xE27 Kobi Design</t>
  </si>
  <si>
    <t>001503</t>
  </si>
  <si>
    <t>OTHER</t>
  </si>
  <si>
    <t>Track spotlight LED NEXTRACK CORE 10W 3CCT 36° white Kobi Pro</t>
  </si>
  <si>
    <t>001720</t>
  </si>
  <si>
    <t>Track spotlight LED NEXTRACK CORE 10W 3CCT 36° black Kobi Pro</t>
  </si>
  <si>
    <t>001721</t>
  </si>
  <si>
    <t>Track spotlight LED NEXTRACK CORE 20W 3CCT 36° white Kobi Pro</t>
  </si>
  <si>
    <t>001722</t>
  </si>
  <si>
    <t>Track spotlight LED NEXTRACK CORE 20W 3CCT 36° black Kobi Pro</t>
  </si>
  <si>
    <t>001723</t>
  </si>
  <si>
    <t>Track spotlight LED NEXTRACK CORE 35W 3CCT 36° white Kobi Pro</t>
  </si>
  <si>
    <t>001724</t>
  </si>
  <si>
    <t>Track spotlight LED NEXTRACK CORE 35W 3CCT 36° black Kobi Pro</t>
  </si>
  <si>
    <t>001725</t>
  </si>
  <si>
    <t>Track spotlight LED NEXTRACK VISION 10W 3CCT 10-60° white Kobi Pro</t>
  </si>
  <si>
    <t>001824</t>
  </si>
  <si>
    <t>Track spotlight LED NEXTRACK VISION 10W 3CCT 10-60° black Kobi Pro</t>
  </si>
  <si>
    <t>001825</t>
  </si>
  <si>
    <t>Track spotlight LED NEXTRACK VISION 20W 3CCT 10-60° white Kobi Pro</t>
  </si>
  <si>
    <t>001826</t>
  </si>
  <si>
    <t>Track spotlight LED NEXTRACK VISION 20W 3CCT 10-60° black Kobi Pro</t>
  </si>
  <si>
    <t>001827</t>
  </si>
  <si>
    <t>Track spotlight LED NEXTRACK VISION 30W 3CCT 10-60° white Kobi Pro</t>
  </si>
  <si>
    <t>001828</t>
  </si>
  <si>
    <t>Track spotlight LED NEXTRACK VISION 30W 3CCT 10-60° black Kobi Pro</t>
  </si>
  <si>
    <t>001829</t>
  </si>
  <si>
    <t>Power meter KOBI PMM 1 white Kobi</t>
  </si>
  <si>
    <t>002352</t>
  </si>
  <si>
    <t>Power meter KOBI PMM 2 black Kobi</t>
  </si>
  <si>
    <t>002353</t>
  </si>
  <si>
    <t>Power meter KOBI PMM 3 white Kobi</t>
  </si>
  <si>
    <t>002354</t>
  </si>
  <si>
    <t>LED dimmer SC02DP 5-24V 12A with remote Kobi</t>
  </si>
  <si>
    <t>002387</t>
  </si>
  <si>
    <t>Straight connector for LED KOLINE K2 Kobi</t>
  </si>
  <si>
    <t>003721</t>
  </si>
  <si>
    <t>LED controller ST06FP 5-24V 6A with remote Kobi</t>
  </si>
  <si>
    <t>002403</t>
  </si>
  <si>
    <t>LED amplifier ST07F 5-24V 12A Kobi</t>
  </si>
  <si>
    <t>002404</t>
  </si>
  <si>
    <t>LED STARTERS</t>
  </si>
  <si>
    <t>002401</t>
  </si>
  <si>
    <t>LED bulb INSERT 5W 3000K milky Kobi</t>
  </si>
  <si>
    <t>001239</t>
  </si>
  <si>
    <t>LED bulb INSERT 5W 4000K milky Kobi</t>
  </si>
  <si>
    <t>001240</t>
  </si>
  <si>
    <t>LED bulb INSERT 5W 6000K milky Kobi</t>
  </si>
  <si>
    <t>001241</t>
  </si>
  <si>
    <t>LED bulb INSERT 6,5W 3000K milky Kobi</t>
  </si>
  <si>
    <t>001242</t>
  </si>
  <si>
    <t>LED bulb INSERT 6,5W 4000K milky Kobi</t>
  </si>
  <si>
    <t>001243</t>
  </si>
  <si>
    <t>LED bulb INSERT 6,5W 6000K milky Kobi</t>
  </si>
  <si>
    <t>001244</t>
  </si>
  <si>
    <t>Smarthome</t>
  </si>
  <si>
    <t>Smart LED bulb 14W E27 RGB CCT WIFI Kobi</t>
  </si>
  <si>
    <t>001170</t>
  </si>
  <si>
    <t>Wall lamp GLOBE ELEGANCE AMBER K 1xE14 Kobi Design</t>
  </si>
  <si>
    <t>001523</t>
  </si>
  <si>
    <t>Wall lamp GLOBE ELEGANCE SMOKE K 1xE14 Kobi Design</t>
  </si>
  <si>
    <t>001524</t>
  </si>
  <si>
    <t>Ceiling lamp GLOBE ELEGANCE AMBER S4 4xE14 Kobi Design</t>
  </si>
  <si>
    <t>001525</t>
  </si>
  <si>
    <t>Ceiling lamp GLOBE ELEGANCE SMOKE S4 4xE14 Kobi Design</t>
  </si>
  <si>
    <t>001526</t>
  </si>
  <si>
    <t>Ceiling lamp GLOBE ELEGANCE SMOKE S6 6xE14 Kobi Design</t>
  </si>
  <si>
    <t>001527</t>
  </si>
  <si>
    <t>Hanging lamp GLOBE ELEGANCE ASH S 1xG9 Kobi Design</t>
  </si>
  <si>
    <t>001528</t>
  </si>
  <si>
    <t>Wall lamp GLOBE ELGANCE ASH K 1xG9 Kobi Design</t>
  </si>
  <si>
    <t>001529</t>
  </si>
  <si>
    <t>Ceiling lamp GLOBE ELEGANCE ASH S3 3xG9 Kobi Design</t>
  </si>
  <si>
    <t>001530</t>
  </si>
  <si>
    <t>Ceiling lamp GLOBE ELEGANCE ASH S4 4xG9 Kobi Design</t>
  </si>
  <si>
    <t>001531</t>
  </si>
  <si>
    <t>Table lamp GLOBE ELEGANCE ASH ST 1xG9 Kobi Design</t>
  </si>
  <si>
    <t>001532</t>
  </si>
  <si>
    <t>Hanging lamp GLOBE ELEGANCE GOLD S5 5xG9 Kobi Design</t>
  </si>
  <si>
    <t>001533</t>
  </si>
  <si>
    <t>Table lamp GLOBE ELEGANCE GOLD ST 1xG9 Kobi Design</t>
  </si>
  <si>
    <t>001534</t>
  </si>
  <si>
    <t>Wall lamp GLOBE ELEGANCE GOLD K 1xG9 Kobi Design</t>
  </si>
  <si>
    <t>001535</t>
  </si>
  <si>
    <t>Wall lamp GLOBE ELEGANCE BL GOLD K 1xG9 Kobi Design</t>
  </si>
  <si>
    <t>001536</t>
  </si>
  <si>
    <t>Hanging lamp GLOBE ELEGANCE GOLD S 1xG9 Kobi  Design</t>
  </si>
  <si>
    <t>001537</t>
  </si>
  <si>
    <t>Hanging lamp GLOBE ELEGANCE GOLD S2 2xG9 Kobi  Design</t>
  </si>
  <si>
    <t>001538</t>
  </si>
  <si>
    <t>Table lamp GLOBE ELEGANCE GOLD ST MINI 1xG9 Kobi Design</t>
  </si>
  <si>
    <t>001539</t>
  </si>
  <si>
    <t>Hanging lamp ELIPSE ELEGANCE S 1xG9 Kobi  Design</t>
  </si>
  <si>
    <t>001540</t>
  </si>
  <si>
    <t>Wall lamp ELIPSE ELEGANCE K 2xG9 Kobi Design</t>
  </si>
  <si>
    <t>001541</t>
  </si>
  <si>
    <t>Ceiling lamp ELIPSE ELEGANCE S3 3xG9 Kobi Design</t>
  </si>
  <si>
    <t>001542</t>
  </si>
  <si>
    <t>Protective mesh for LED ANICA 100W Kobi</t>
  </si>
  <si>
    <t>003680</t>
  </si>
  <si>
    <t>Protective mesh for LED ANICA 150W Kobi</t>
  </si>
  <si>
    <t>003681</t>
  </si>
  <si>
    <t>Protective mesh for LED ANICA 200W Kobi</t>
  </si>
  <si>
    <t>003682</t>
  </si>
  <si>
    <t>Programmer PC24 Kobi</t>
  </si>
  <si>
    <t>002350</t>
  </si>
  <si>
    <t>Garden wall lamp LED QUERK 2x3W 3000K IP54 black LED2B</t>
  </si>
  <si>
    <t>003708</t>
  </si>
  <si>
    <t>Solar floodlight LED MHCS 30W 2CCT IP65 Kobi Premium</t>
  </si>
  <si>
    <t>003670</t>
  </si>
  <si>
    <t>001947</t>
  </si>
  <si>
    <t>001948</t>
  </si>
  <si>
    <t>001945</t>
  </si>
  <si>
    <t>001946</t>
  </si>
  <si>
    <t>001943</t>
  </si>
  <si>
    <t>001953</t>
  </si>
  <si>
    <t>SMART</t>
  </si>
  <si>
    <t>Programmer SMART SOCKET 16A WiFi Kobi</t>
  </si>
  <si>
    <t>002355</t>
  </si>
  <si>
    <t>002405</t>
  </si>
  <si>
    <t>002410</t>
  </si>
  <si>
    <t>002411</t>
  </si>
  <si>
    <t>002413</t>
  </si>
  <si>
    <t>002398</t>
  </si>
  <si>
    <t>002399</t>
  </si>
  <si>
    <t>002409</t>
  </si>
  <si>
    <t>002390</t>
  </si>
  <si>
    <t>002414</t>
  </si>
  <si>
    <t>002384</t>
  </si>
  <si>
    <t>002382</t>
  </si>
  <si>
    <t>002377</t>
  </si>
  <si>
    <t>002378</t>
  </si>
  <si>
    <t>002379</t>
  </si>
  <si>
    <t>002381</t>
  </si>
  <si>
    <t>001419</t>
  </si>
  <si>
    <t>002415</t>
  </si>
  <si>
    <t>002397</t>
  </si>
  <si>
    <t>002393</t>
  </si>
  <si>
    <t>002395</t>
  </si>
  <si>
    <t>002396</t>
  </si>
  <si>
    <t>002388</t>
  </si>
  <si>
    <t>002391</t>
  </si>
  <si>
    <t>002383</t>
  </si>
  <si>
    <t>002392</t>
  </si>
  <si>
    <t>002394</t>
  </si>
  <si>
    <t>002400</t>
  </si>
  <si>
    <t>F</t>
  </si>
  <si>
    <t>E</t>
  </si>
  <si>
    <t>C</t>
  </si>
  <si>
    <t>5902201396683</t>
  </si>
  <si>
    <t>5902201396690</t>
  </si>
  <si>
    <t>D</t>
  </si>
  <si>
    <t>5907178000809</t>
  </si>
  <si>
    <t>5902201396706</t>
  </si>
  <si>
    <t>5902201396713</t>
  </si>
  <si>
    <t>5902201396720</t>
  </si>
  <si>
    <t>5902201396737</t>
  </si>
  <si>
    <t>5900605097748</t>
  </si>
  <si>
    <t>G</t>
  </si>
  <si>
    <t>5902201394955</t>
  </si>
  <si>
    <t>5902201394962</t>
  </si>
  <si>
    <t>5902201394979</t>
  </si>
  <si>
    <t>nie dotyczy</t>
  </si>
  <si>
    <t>5902846018773</t>
  </si>
  <si>
    <t>5902846018780</t>
  </si>
  <si>
    <t>5902201387537</t>
  </si>
  <si>
    <t>5902201387544</t>
  </si>
  <si>
    <t>5902201364606</t>
  </si>
  <si>
    <t>5902201396324</t>
  </si>
  <si>
    <t>5902201396331</t>
  </si>
  <si>
    <t>5902201393491</t>
  </si>
  <si>
    <t>5902201393507</t>
  </si>
  <si>
    <t>5902201393477</t>
  </si>
  <si>
    <t>5902201393453</t>
  </si>
  <si>
    <t>5902201393460</t>
  </si>
  <si>
    <t>5902201393484</t>
  </si>
  <si>
    <t>5902201393514</t>
  </si>
  <si>
    <t>5902201393521</t>
  </si>
  <si>
    <t>5902201393538</t>
  </si>
  <si>
    <t>5902201393545</t>
  </si>
  <si>
    <t>5902846013983</t>
  </si>
  <si>
    <t>5902201303667</t>
  </si>
  <si>
    <t>5902201380729</t>
  </si>
  <si>
    <t>B</t>
  </si>
  <si>
    <t>5902201308358</t>
  </si>
  <si>
    <t>5900605098721</t>
  </si>
  <si>
    <t>5900605098745</t>
  </si>
  <si>
    <t>5902201382334</t>
  </si>
  <si>
    <t>5902201382327</t>
  </si>
  <si>
    <t>5900605094907</t>
  </si>
  <si>
    <t>5906340214983</t>
  </si>
  <si>
    <t>5902201382341</t>
  </si>
  <si>
    <t>5900605094921</t>
  </si>
  <si>
    <t>5900605094631</t>
  </si>
  <si>
    <t>5900605098387</t>
  </si>
  <si>
    <t>5900605098356</t>
  </si>
  <si>
    <t>5902846013211</t>
  </si>
  <si>
    <t>5902201391428</t>
  </si>
  <si>
    <t>5902201391435</t>
  </si>
  <si>
    <t>5902201391350</t>
  </si>
  <si>
    <t>5902201391367</t>
  </si>
  <si>
    <t>5902201391374</t>
  </si>
  <si>
    <t>5902201391381</t>
  </si>
  <si>
    <t>5902201391398</t>
  </si>
  <si>
    <t>5902201391404</t>
  </si>
  <si>
    <t>5902201391411</t>
  </si>
  <si>
    <t>5900605097380</t>
  </si>
  <si>
    <t>5900605097397</t>
  </si>
  <si>
    <t>5900605093634</t>
  </si>
  <si>
    <t>5900605094778</t>
  </si>
  <si>
    <t>5902846011385</t>
  </si>
  <si>
    <t>5900605095744</t>
  </si>
  <si>
    <t>4251292458741</t>
  </si>
  <si>
    <t>4260379589964</t>
  </si>
  <si>
    <t>4251292406766</t>
  </si>
  <si>
    <t>5902201389241</t>
  </si>
  <si>
    <t>5902201368642</t>
  </si>
  <si>
    <t>5902201368659</t>
  </si>
  <si>
    <t>5902201391343</t>
  </si>
  <si>
    <t>5902201390872</t>
  </si>
  <si>
    <t>5902201390896</t>
  </si>
  <si>
    <t>5902201390902</t>
  </si>
  <si>
    <t>5902201393583</t>
  </si>
  <si>
    <t>5902846010760</t>
  </si>
  <si>
    <t>5900605096987</t>
  </si>
  <si>
    <t>4260379586765</t>
  </si>
  <si>
    <t>5902201397888</t>
  </si>
  <si>
    <t>5902201384390</t>
  </si>
  <si>
    <t>5902201384406</t>
  </si>
  <si>
    <t>5902201389081</t>
  </si>
  <si>
    <t>5902201389104</t>
  </si>
  <si>
    <t>5902201389111</t>
  </si>
  <si>
    <t>5902201390858</t>
  </si>
  <si>
    <t>5902201390865</t>
  </si>
  <si>
    <t>5902201390889</t>
  </si>
  <si>
    <t>5902201390919</t>
  </si>
  <si>
    <t>5902201390926</t>
  </si>
  <si>
    <t>5902201390933</t>
  </si>
  <si>
    <t>5902201390940</t>
  </si>
  <si>
    <t>5902201390957</t>
  </si>
  <si>
    <t>5902201381443</t>
  </si>
  <si>
    <t>5902201381467</t>
  </si>
  <si>
    <t>5902201381474</t>
  </si>
  <si>
    <t>5902201381498</t>
  </si>
  <si>
    <t>5902201381504</t>
  </si>
  <si>
    <t>5902201381511</t>
  </si>
  <si>
    <t>5902201381528</t>
  </si>
  <si>
    <t>5902201381535</t>
  </si>
  <si>
    <t>5902201381542</t>
  </si>
  <si>
    <t>5902201381559</t>
  </si>
  <si>
    <t>5902201381566</t>
  </si>
  <si>
    <t>5902201381573</t>
  </si>
  <si>
    <t>5902201381580</t>
  </si>
  <si>
    <t>5902201381597</t>
  </si>
  <si>
    <t>5902201381610</t>
  </si>
  <si>
    <t>5902201381627</t>
  </si>
  <si>
    <t>5902201381634</t>
  </si>
  <si>
    <t>5902201381641</t>
  </si>
  <si>
    <t>5902201381658</t>
  </si>
  <si>
    <t>5902201381665</t>
  </si>
  <si>
    <t>5902201381672</t>
  </si>
  <si>
    <t>5902201381689</t>
  </si>
  <si>
    <t>5902201381696</t>
  </si>
  <si>
    <t>5902201381702</t>
  </si>
  <si>
    <t>5902201381719</t>
  </si>
  <si>
    <t>5902201381726</t>
  </si>
  <si>
    <t>5902201381733</t>
  </si>
  <si>
    <t>5902201381740</t>
  </si>
  <si>
    <t>5902201381757</t>
  </si>
  <si>
    <t>5902201381764</t>
  </si>
  <si>
    <t>5902201381771</t>
  </si>
  <si>
    <t>5902201381788</t>
  </si>
  <si>
    <t>5902201381795</t>
  </si>
  <si>
    <t>5902201381801</t>
  </si>
  <si>
    <t>5902201381818</t>
  </si>
  <si>
    <t>5902201381825</t>
  </si>
  <si>
    <t>5902201381849</t>
  </si>
  <si>
    <t>5902201381863</t>
  </si>
  <si>
    <t>5902201389128</t>
  </si>
  <si>
    <t>5902201389135</t>
  </si>
  <si>
    <t>5902201389142</t>
  </si>
  <si>
    <t>5902201389159</t>
  </si>
  <si>
    <t>5902201389166</t>
  </si>
  <si>
    <t>5902201389173</t>
  </si>
  <si>
    <t>5902201389180</t>
  </si>
  <si>
    <t>5902201389197</t>
  </si>
  <si>
    <t>5902201389203</t>
  </si>
  <si>
    <t>5902201389210</t>
  </si>
  <si>
    <t>5902201389227</t>
  </si>
  <si>
    <t>5902201389234</t>
  </si>
  <si>
    <t>5902201393576</t>
  </si>
  <si>
    <t>5902201389265</t>
  </si>
  <si>
    <t>5902201389272</t>
  </si>
  <si>
    <t>5902201389289</t>
  </si>
  <si>
    <t>5902201391442</t>
  </si>
  <si>
    <t>Band</t>
  </si>
  <si>
    <t>Index</t>
  </si>
  <si>
    <t>Group</t>
  </si>
  <si>
    <t>Barcode</t>
  </si>
  <si>
    <t>Unit of measure</t>
  </si>
  <si>
    <t>Pcs on master carton</t>
  </si>
  <si>
    <t>Pcs on a pallet</t>
  </si>
  <si>
    <t>pcs</t>
  </si>
  <si>
    <t>set</t>
  </si>
  <si>
    <t>Discount price €</t>
  </si>
  <si>
    <t>Link</t>
  </si>
  <si>
    <t>Warranty</t>
  </si>
  <si>
    <t>2 years</t>
  </si>
  <si>
    <t>3 years</t>
  </si>
  <si>
    <t>5 years</t>
  </si>
  <si>
    <t>7 years</t>
  </si>
  <si>
    <t>1 year</t>
  </si>
  <si>
    <t>Driver LF-GSD040YC DALI Lifud</t>
  </si>
  <si>
    <t>Linear fixture LED NEXLINE SLIM 42W 120cm 4000K Kobi Pro</t>
  </si>
  <si>
    <t>Wall lamp CURVE-36 1xR7s JVS</t>
  </si>
  <si>
    <t>Remote for ZHAGA motion sensor HD05R</t>
  </si>
  <si>
    <t>Motion and dusk sensor ZHAGA</t>
  </si>
  <si>
    <t>Motion sensor ZHAGA HD06VCRH7C</t>
  </si>
  <si>
    <t>Panel LED DAVRO 40W 60x60 4000K Kobi</t>
  </si>
  <si>
    <t>003826</t>
  </si>
  <si>
    <t>Panel LED NELIO G2 36W 60x60 4000K Kobi Pro</t>
  </si>
  <si>
    <t>003827</t>
  </si>
  <si>
    <t>Panel LED NELIO G2 25W 60x30 4000K Kobi Pro</t>
  </si>
  <si>
    <t>003829</t>
  </si>
  <si>
    <t>5902201396379</t>
  </si>
  <si>
    <t>5902201396386</t>
  </si>
  <si>
    <t>5902201396409</t>
  </si>
  <si>
    <t>Remarks</t>
  </si>
  <si>
    <t>until stocks run 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</si>
</sst>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\ [$€-1]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u/>
      <sz val="14"/>
      <color theme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u/>
      <sz val="10"/>
      <color rgb="FF0070C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D7D31"/>
        <bgColor rgb="FFFF8080"/>
      </patternFill>
    </fill>
    <fill>
      <patternFill patternType="solid">
        <fgColor rgb="FFFF9933"/>
        <bgColor indexed="64"/>
      </patternFill>
    </fill>
  </fills>
  <borders count="11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hair">
        <color theme="6" tint="0.39988402966399123"/>
      </left>
      <right style="hair">
        <color theme="6" tint="0.39988402966399123"/>
      </right>
      <top style="hair">
        <color theme="6" tint="0.39988402966399123"/>
      </top>
      <bottom style="hair">
        <color theme="6" tint="0.39988402966399123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41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14" fontId="2" fillId="2" borderId="0" xfId="0" applyNumberFormat="1" applyFont="1" applyFill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9" fontId="1" fillId="2" borderId="2" xfId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>
      <alignment horizontal="center" vertical="center"/>
    </xf>
    <xf numFmtId="9" fontId="1" fillId="2" borderId="3" xfId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>
      <alignment horizontal="center" vertical="center"/>
    </xf>
    <xf numFmtId="9" fontId="1" fillId="2" borderId="4" xfId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9" fontId="1" fillId="2" borderId="0" xfId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10" fillId="2" borderId="0" xfId="2" applyFont="1" applyFill="1" applyAlignment="1" applyProtection="1">
      <alignment horizontal="center"/>
    </xf>
    <xf numFmtId="0" fontId="8" fillId="2" borderId="0" xfId="0" applyFont="1" applyFill="1"/>
    <xf numFmtId="2" fontId="8" fillId="2" borderId="0" xfId="0" applyNumberFormat="1" applyFont="1" applyFill="1"/>
    <xf numFmtId="0" fontId="8" fillId="2" borderId="0" xfId="0" applyFont="1" applyFill="1" applyAlignment="1">
      <alignment horizontal="center"/>
    </xf>
    <xf numFmtId="0" fontId="12" fillId="2" borderId="0" xfId="2" applyFont="1" applyFill="1" applyAlignment="1" applyProtection="1">
      <alignment horizontal="center" vertical="center"/>
      <protection locked="0"/>
    </xf>
    <xf numFmtId="0" fontId="2" fillId="2" borderId="0" xfId="0" applyFont="1" applyFill="1" applyAlignment="1">
      <alignment horizontal="right" vertical="center"/>
    </xf>
    <xf numFmtId="164" fontId="2" fillId="2" borderId="0" xfId="0" applyNumberFormat="1" applyFont="1" applyFill="1" applyAlignment="1" applyProtection="1">
      <alignment horizontal="center"/>
      <protection locked="0"/>
    </xf>
    <xf numFmtId="0" fontId="11" fillId="4" borderId="5" xfId="0" applyFont="1" applyFill="1" applyBorder="1" applyAlignment="1">
      <alignment horizontal="center" vertical="center" wrapText="1"/>
    </xf>
    <xf numFmtId="4" fontId="11" fillId="4" borderId="5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5" xfId="0" applyFont="1" applyBorder="1"/>
    <xf numFmtId="0" fontId="8" fillId="2" borderId="5" xfId="0" applyFont="1" applyFill="1" applyBorder="1"/>
    <xf numFmtId="0" fontId="0" fillId="0" borderId="6" xfId="0" applyBorder="1"/>
    <xf numFmtId="0" fontId="0" fillId="0" borderId="7" xfId="0" applyBorder="1"/>
    <xf numFmtId="4" fontId="0" fillId="0" borderId="6" xfId="0" applyNumberFormat="1" applyBorder="1"/>
    <xf numFmtId="4" fontId="0" fillId="0" borderId="7" xfId="0" applyNumberFormat="1" applyBorder="1"/>
    <xf numFmtId="0" fontId="8" fillId="0" borderId="7" xfId="0" applyFont="1" applyBorder="1"/>
    <xf numFmtId="0" fontId="6" fillId="2" borderId="2" xfId="0" applyFont="1" applyFill="1" applyBorder="1" applyAlignment="1">
      <alignment horizontal="center" vertical="center" wrapText="1"/>
    </xf>
    <xf numFmtId="4" fontId="0" fillId="0" borderId="0" xfId="0" applyNumberFormat="1" applyProtection="1">
      <protection hidden="1"/>
    </xf>
    <xf numFmtId="0" fontId="3" fillId="0" borderId="0" xfId="2"/>
    <xf numFmtId="0" fontId="0" fillId="0" borderId="0" xfId="0" applyProtection="1">
      <protection hidden="1"/>
    </xf>
    <xf numFmtId="4" fontId="0" fillId="0" borderId="6" xfId="0" applyNumberFormat="1" applyBorder="1" applyProtection="1">
      <protection hidden="1"/>
    </xf>
    <xf numFmtId="4" fontId="0" fillId="0" borderId="7" xfId="0" applyNumberFormat="1" applyBorder="1" applyProtection="1">
      <protection hidden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</cellXfs>
  <cellStyles count="3">
    <cellStyle name="Hiperłącze" xfId="2" builtinId="8"/>
    <cellStyle name="Normalny" xfId="0" builtinId="0"/>
    <cellStyle name="Procentowy" xfId="1" builtinId="5"/>
  </cellStyles>
  <dxfs count="1">
    <dxf>
      <font>
        <b/>
        <i/>
        <color theme="2" tint="-0.74996185186315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180975</xdr:rowOff>
    </xdr:from>
    <xdr:to>
      <xdr:col>2</xdr:col>
      <xdr:colOff>1210151</xdr:colOff>
      <xdr:row>3</xdr:row>
      <xdr:rowOff>125849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8BE448CA-82C1-4BCC-B89B-141C7306CC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80975"/>
          <a:ext cx="1774031" cy="5144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0</xdr:rowOff>
    </xdr:from>
    <xdr:to>
      <xdr:col>1</xdr:col>
      <xdr:colOff>545097</xdr:colOff>
      <xdr:row>0</xdr:row>
      <xdr:rowOff>504309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97288B9E-D0E4-4321-A2DF-42B3A4043D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0"/>
          <a:ext cx="1774031" cy="5144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0" row="0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73CCC5C7-F0EA-4A3E-A35D-33AF09455EB2}">
  <we:reference id="wa200003696" version="1.3.0.0" store="pl-PL" storeType="OMEX"/>
  <we:alternateReferences>
    <we:reference id="wa200003696" version="1.3.0.0" store="" storeType="OMEX"/>
  </we:alternateReferences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  <a:ext xmlns:a="http://schemas.openxmlformats.org/drawingml/2006/main" uri="{7C84B067-C214-45C3-A712-C9D94CD141B2}">
      <we:customFunctionIdList>
        <we:customFunctionIds>_xldudf_LABS_GENERATIVEAI</we:customFunctionIds>
      </we:customFunctionIdList>
    </a:ext>
  </we:extLst>
</we:webextension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kobi.pl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kobi.p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D8014-B03B-4F8E-A2B9-90C2DA1FD850}">
  <sheetPr codeName="Arkusz1"/>
  <dimension ref="B3:E50"/>
  <sheetViews>
    <sheetView tabSelected="1" workbookViewId="0">
      <selection activeCell="H15" sqref="H15"/>
    </sheetView>
  </sheetViews>
  <sheetFormatPr defaultColWidth="9.109375" defaultRowHeight="14.4" x14ac:dyDescent="0.3"/>
  <cols>
    <col min="1" max="1" width="2" style="1" customWidth="1"/>
    <col min="2" max="2" width="9.109375" style="1"/>
    <col min="3" max="3" width="23.5546875" style="1" bestFit="1" customWidth="1"/>
    <col min="4" max="4" width="25" style="1" bestFit="1" customWidth="1"/>
    <col min="5" max="5" width="16.109375" style="1" customWidth="1"/>
    <col min="6" max="16384" width="9.109375" style="1"/>
  </cols>
  <sheetData>
    <row r="3" spans="3:5" x14ac:dyDescent="0.3">
      <c r="D3" s="2" t="s">
        <v>5</v>
      </c>
    </row>
    <row r="4" spans="3:5" x14ac:dyDescent="0.3">
      <c r="D4" s="2" t="s">
        <v>472</v>
      </c>
    </row>
    <row r="6" spans="3:5" x14ac:dyDescent="0.3">
      <c r="C6" s="2" t="s">
        <v>6</v>
      </c>
      <c r="D6" s="3">
        <v>45755</v>
      </c>
    </row>
    <row r="7" spans="3:5" x14ac:dyDescent="0.3">
      <c r="C7" s="2"/>
      <c r="D7" s="22"/>
    </row>
    <row r="9" spans="3:5" x14ac:dyDescent="0.3">
      <c r="C9" s="4"/>
      <c r="D9" s="5" t="s">
        <v>7</v>
      </c>
      <c r="E9" s="5" t="s">
        <v>8</v>
      </c>
    </row>
    <row r="10" spans="3:5" x14ac:dyDescent="0.3">
      <c r="C10" s="38" t="s">
        <v>9</v>
      </c>
      <c r="D10" s="6" t="s">
        <v>830</v>
      </c>
      <c r="E10" s="7">
        <v>0</v>
      </c>
    </row>
    <row r="11" spans="3:5" x14ac:dyDescent="0.3">
      <c r="C11" s="39"/>
      <c r="D11" s="8" t="s">
        <v>831</v>
      </c>
      <c r="E11" s="9">
        <v>0</v>
      </c>
    </row>
    <row r="12" spans="3:5" x14ac:dyDescent="0.3">
      <c r="C12" s="40"/>
      <c r="D12" s="8" t="s">
        <v>832</v>
      </c>
      <c r="E12" s="9">
        <v>0</v>
      </c>
    </row>
    <row r="13" spans="3:5" x14ac:dyDescent="0.3">
      <c r="C13" s="38" t="s">
        <v>10</v>
      </c>
      <c r="D13" s="6" t="s">
        <v>833</v>
      </c>
      <c r="E13" s="7">
        <v>0</v>
      </c>
    </row>
    <row r="14" spans="3:5" x14ac:dyDescent="0.3">
      <c r="C14" s="39"/>
      <c r="D14" s="8" t="s">
        <v>834</v>
      </c>
      <c r="E14" s="9">
        <v>0</v>
      </c>
    </row>
    <row r="15" spans="3:5" x14ac:dyDescent="0.3">
      <c r="C15" s="39"/>
      <c r="D15" s="8" t="s">
        <v>835</v>
      </c>
      <c r="E15" s="9">
        <v>0</v>
      </c>
    </row>
    <row r="16" spans="3:5" x14ac:dyDescent="0.3">
      <c r="C16" s="39"/>
      <c r="D16" s="10" t="s">
        <v>836</v>
      </c>
      <c r="E16" s="11">
        <v>0</v>
      </c>
    </row>
    <row r="17" spans="3:5" x14ac:dyDescent="0.3">
      <c r="C17" s="39"/>
      <c r="D17" s="6" t="s">
        <v>837</v>
      </c>
      <c r="E17" s="7">
        <v>0</v>
      </c>
    </row>
    <row r="18" spans="3:5" x14ac:dyDescent="0.3">
      <c r="C18" s="39"/>
      <c r="D18" s="8" t="s">
        <v>838</v>
      </c>
      <c r="E18" s="9">
        <v>0</v>
      </c>
    </row>
    <row r="19" spans="3:5" x14ac:dyDescent="0.3">
      <c r="C19" s="39"/>
      <c r="D19" s="8" t="s">
        <v>839</v>
      </c>
      <c r="E19" s="9">
        <v>0</v>
      </c>
    </row>
    <row r="20" spans="3:5" x14ac:dyDescent="0.3">
      <c r="C20" s="39"/>
      <c r="D20" s="8" t="s">
        <v>840</v>
      </c>
      <c r="E20" s="9">
        <v>0</v>
      </c>
    </row>
    <row r="21" spans="3:5" x14ac:dyDescent="0.3">
      <c r="C21" s="39"/>
      <c r="D21" s="8" t="s">
        <v>841</v>
      </c>
      <c r="E21" s="9">
        <v>0</v>
      </c>
    </row>
    <row r="22" spans="3:5" x14ac:dyDescent="0.3">
      <c r="C22" s="39"/>
      <c r="D22" s="8" t="s">
        <v>842</v>
      </c>
      <c r="E22" s="9">
        <v>0</v>
      </c>
    </row>
    <row r="23" spans="3:5" x14ac:dyDescent="0.3">
      <c r="C23" s="39"/>
      <c r="D23" s="8" t="s">
        <v>843</v>
      </c>
      <c r="E23" s="9">
        <v>0</v>
      </c>
    </row>
    <row r="24" spans="3:5" x14ac:dyDescent="0.3">
      <c r="C24" s="39"/>
      <c r="D24" s="8" t="s">
        <v>844</v>
      </c>
      <c r="E24" s="9">
        <v>0</v>
      </c>
    </row>
    <row r="25" spans="3:5" x14ac:dyDescent="0.3">
      <c r="C25" s="39"/>
      <c r="D25" s="10" t="s">
        <v>845</v>
      </c>
      <c r="E25" s="11">
        <v>0</v>
      </c>
    </row>
    <row r="26" spans="3:5" x14ac:dyDescent="0.3">
      <c r="C26" s="40"/>
      <c r="D26" s="6" t="s">
        <v>846</v>
      </c>
      <c r="E26" s="7">
        <v>0</v>
      </c>
    </row>
    <row r="27" spans="3:5" x14ac:dyDescent="0.3">
      <c r="C27" s="38" t="s">
        <v>11</v>
      </c>
      <c r="D27" s="8" t="s">
        <v>847</v>
      </c>
      <c r="E27" s="9">
        <v>0</v>
      </c>
    </row>
    <row r="28" spans="3:5" x14ac:dyDescent="0.3">
      <c r="C28" s="39"/>
      <c r="D28" s="8" t="s">
        <v>848</v>
      </c>
      <c r="E28" s="9">
        <v>0</v>
      </c>
    </row>
    <row r="29" spans="3:5" x14ac:dyDescent="0.3">
      <c r="C29" s="39"/>
      <c r="D29" s="8" t="s">
        <v>849</v>
      </c>
      <c r="E29" s="9">
        <v>0</v>
      </c>
    </row>
    <row r="30" spans="3:5" x14ac:dyDescent="0.3">
      <c r="C30" s="39"/>
      <c r="D30" s="8" t="s">
        <v>850</v>
      </c>
      <c r="E30" s="9">
        <v>0</v>
      </c>
    </row>
    <row r="31" spans="3:5" x14ac:dyDescent="0.3">
      <c r="C31" s="39"/>
      <c r="D31" s="10" t="s">
        <v>851</v>
      </c>
      <c r="E31" s="11">
        <v>0</v>
      </c>
    </row>
    <row r="32" spans="3:5" x14ac:dyDescent="0.3">
      <c r="C32" s="39"/>
      <c r="D32" s="8" t="s">
        <v>852</v>
      </c>
      <c r="E32" s="9">
        <v>0</v>
      </c>
    </row>
    <row r="33" spans="2:5" x14ac:dyDescent="0.3">
      <c r="C33" s="39"/>
      <c r="D33" s="8" t="s">
        <v>853</v>
      </c>
      <c r="E33" s="9">
        <v>0</v>
      </c>
    </row>
    <row r="34" spans="2:5" x14ac:dyDescent="0.3">
      <c r="C34" s="39"/>
      <c r="D34" s="6" t="s">
        <v>854</v>
      </c>
      <c r="E34" s="9">
        <v>0</v>
      </c>
    </row>
    <row r="35" spans="2:5" x14ac:dyDescent="0.3">
      <c r="C35" s="40"/>
      <c r="D35" s="8" t="s">
        <v>855</v>
      </c>
      <c r="E35" s="9">
        <v>0</v>
      </c>
    </row>
    <row r="36" spans="2:5" x14ac:dyDescent="0.3">
      <c r="C36" s="32" t="s">
        <v>12</v>
      </c>
      <c r="D36" s="10" t="s">
        <v>856</v>
      </c>
      <c r="E36" s="11">
        <v>0</v>
      </c>
    </row>
    <row r="42" spans="2:5" x14ac:dyDescent="0.3">
      <c r="C42" s="12"/>
      <c r="D42" s="13"/>
      <c r="E42" s="14"/>
    </row>
    <row r="43" spans="2:5" x14ac:dyDescent="0.3">
      <c r="C43" s="12"/>
      <c r="D43" s="13"/>
      <c r="E43" s="14"/>
    </row>
    <row r="44" spans="2:5" x14ac:dyDescent="0.3">
      <c r="B44" s="17" t="s">
        <v>13</v>
      </c>
      <c r="C44" s="12"/>
      <c r="D44" s="13"/>
      <c r="E44" s="14"/>
    </row>
    <row r="45" spans="2:5" x14ac:dyDescent="0.3">
      <c r="B45" s="17" t="s">
        <v>14</v>
      </c>
    </row>
    <row r="47" spans="2:5" x14ac:dyDescent="0.3">
      <c r="B47" s="15" t="s">
        <v>0</v>
      </c>
    </row>
    <row r="50" spans="4:4" ht="18" x14ac:dyDescent="0.35">
      <c r="D50" s="16" t="s">
        <v>1</v>
      </c>
    </row>
  </sheetData>
  <mergeCells count="3">
    <mergeCell ref="C10:C12"/>
    <mergeCell ref="C27:C35"/>
    <mergeCell ref="C13:C26"/>
  </mergeCells>
  <hyperlinks>
    <hyperlink ref="D50" r:id="rId1" xr:uid="{B265435F-4BA2-4C04-B34B-0CB16EA8E372}"/>
  </hyperlinks>
  <pageMargins left="0.7" right="0.7" top="0.75" bottom="0.75" header="0.3" footer="0.3"/>
  <pageSetup paperSize="9" orientation="portrait" horizontalDpi="4294967294" verticalDpi="4294967294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0C59C-CC81-4406-80CB-055CAA8011E0}">
  <sheetPr codeName="Arkusz2">
    <pageSetUpPr fitToPage="1"/>
  </sheetPr>
  <dimension ref="A1:R3000"/>
  <sheetViews>
    <sheetView showGridLines="0" zoomScale="90" zoomScaleNormal="90" workbookViewId="0">
      <pane ySplit="2" topLeftCell="A3" activePane="bottomLeft" state="frozen"/>
      <selection pane="bottomLeft" activeCell="Q1" sqref="Q1:Q1048576"/>
    </sheetView>
  </sheetViews>
  <sheetFormatPr defaultColWidth="9.109375" defaultRowHeight="13.8" x14ac:dyDescent="0.3"/>
  <cols>
    <col min="1" max="1" width="20.5546875" style="17" bestFit="1" customWidth="1"/>
    <col min="2" max="2" width="37.33203125" style="17" bestFit="1" customWidth="1"/>
    <col min="3" max="3" width="19.33203125" style="17" bestFit="1" customWidth="1"/>
    <col min="4" max="4" width="46.33203125" style="17" bestFit="1" customWidth="1"/>
    <col min="5" max="5" width="16.6640625" style="17" bestFit="1" customWidth="1"/>
    <col min="6" max="6" width="12" style="17" bestFit="1" customWidth="1"/>
    <col min="7" max="8" width="12.6640625" style="17" customWidth="1"/>
    <col min="9" max="9" width="8.5546875" style="17" bestFit="1" customWidth="1"/>
    <col min="10" max="10" width="15.6640625" style="17" bestFit="1" customWidth="1"/>
    <col min="11" max="14" width="12.6640625" style="17" customWidth="1"/>
    <col min="15" max="15" width="126.5546875" style="17" bestFit="1" customWidth="1"/>
    <col min="16" max="16" width="36.33203125" style="17" bestFit="1" customWidth="1"/>
    <col min="17" max="16384" width="9.109375" style="17"/>
  </cols>
  <sheetData>
    <row r="1" spans="1:17" ht="45" customHeight="1" x14ac:dyDescent="0.3">
      <c r="B1" s="21" t="s">
        <v>15</v>
      </c>
      <c r="C1" s="20" t="s">
        <v>1</v>
      </c>
      <c r="J1" s="18"/>
      <c r="N1" s="19"/>
    </row>
    <row r="2" spans="1:17" ht="27.6" x14ac:dyDescent="0.3">
      <c r="A2" s="23" t="s">
        <v>16</v>
      </c>
      <c r="B2" s="23" t="s">
        <v>17</v>
      </c>
      <c r="C2" s="23" t="s">
        <v>2742</v>
      </c>
      <c r="D2" s="23" t="s">
        <v>857</v>
      </c>
      <c r="E2" s="23" t="s">
        <v>2743</v>
      </c>
      <c r="F2" s="23" t="s">
        <v>2744</v>
      </c>
      <c r="G2" s="24" t="s">
        <v>858</v>
      </c>
      <c r="H2" s="24" t="s">
        <v>2751</v>
      </c>
      <c r="I2" s="23" t="s">
        <v>2</v>
      </c>
      <c r="J2" s="23" t="s">
        <v>2745</v>
      </c>
      <c r="K2" s="23" t="s">
        <v>2746</v>
      </c>
      <c r="L2" s="23" t="s">
        <v>2747</v>
      </c>
      <c r="M2" s="23" t="s">
        <v>2748</v>
      </c>
      <c r="N2" s="23" t="s">
        <v>2753</v>
      </c>
      <c r="O2" s="23" t="s">
        <v>2752</v>
      </c>
      <c r="P2" s="23" t="s">
        <v>338</v>
      </c>
      <c r="Q2" s="23" t="s">
        <v>2774</v>
      </c>
    </row>
    <row r="3" spans="1:17" ht="14.4" x14ac:dyDescent="0.3">
      <c r="A3" t="s">
        <v>9</v>
      </c>
      <c r="B3" t="s">
        <v>859</v>
      </c>
      <c r="C3" t="s">
        <v>860</v>
      </c>
      <c r="D3" t="s">
        <v>861</v>
      </c>
      <c r="E3" t="s">
        <v>862</v>
      </c>
      <c r="F3" t="s">
        <v>830</v>
      </c>
      <c r="G3" s="35">
        <v>2.46</v>
      </c>
      <c r="H3" s="33">
        <f>G3*(1-IFERROR(VLOOKUP(F3,'enter the discount'!$D$10:$E$40,2,FALSE),0))</f>
        <v>2.46</v>
      </c>
      <c r="I3" s="35" t="s">
        <v>2593</v>
      </c>
      <c r="J3" s="33" t="s">
        <v>503</v>
      </c>
      <c r="K3" s="33" t="s">
        <v>2749</v>
      </c>
      <c r="L3">
        <v>25</v>
      </c>
      <c r="M3">
        <v>2160</v>
      </c>
      <c r="N3" t="s">
        <v>2754</v>
      </c>
      <c r="O3" s="34" t="str">
        <f>HYPERLINK("https://b2b.kobi.pl/pl/product/12247,swietlowka-led-t8-9w-60cm-4000k-led2b-red?currency=PLN")</f>
        <v>https://b2b.kobi.pl/pl/product/12247,swietlowka-led-t8-9w-60cm-4000k-led2b-red?currency=PLN</v>
      </c>
      <c r="P3" s="34" t="str">
        <f>HYPERLINK("https://eprel.ec.europa.eu/qr/1694474")</f>
        <v>https://eprel.ec.europa.eu/qr/1694474</v>
      </c>
      <c r="Q3"/>
    </row>
    <row r="4" spans="1:17" ht="14.4" x14ac:dyDescent="0.3">
      <c r="A4" t="s">
        <v>9</v>
      </c>
      <c r="B4" t="s">
        <v>859</v>
      </c>
      <c r="C4" t="s">
        <v>860</v>
      </c>
      <c r="D4" t="s">
        <v>863</v>
      </c>
      <c r="E4" t="s">
        <v>864</v>
      </c>
      <c r="F4" t="s">
        <v>830</v>
      </c>
      <c r="G4" s="35">
        <v>2.46</v>
      </c>
      <c r="H4" s="33">
        <f>G4*(1-IFERROR(VLOOKUP(F4,'enter the discount'!$D$10:$E$40,2,FALSE),0))</f>
        <v>2.46</v>
      </c>
      <c r="I4" s="35" t="s">
        <v>2593</v>
      </c>
      <c r="J4" s="33" t="s">
        <v>504</v>
      </c>
      <c r="K4" s="33" t="s">
        <v>2749</v>
      </c>
      <c r="L4">
        <v>25</v>
      </c>
      <c r="M4">
        <v>2160</v>
      </c>
      <c r="N4" t="s">
        <v>2754</v>
      </c>
      <c r="O4" s="34" t="str">
        <f>HYPERLINK("https://b2b.kobi.pl/pl/product/12248,swietlowka-led-t8-9w-60cm-6500k-led2b-red?currency=PLN")</f>
        <v>https://b2b.kobi.pl/pl/product/12248,swietlowka-led-t8-9w-60cm-6500k-led2b-red?currency=PLN</v>
      </c>
      <c r="P4" s="34" t="str">
        <f>HYPERLINK("https://eprel.ec.europa.eu/qr/1694534")</f>
        <v>https://eprel.ec.europa.eu/qr/1694534</v>
      </c>
      <c r="Q4"/>
    </row>
    <row r="5" spans="1:17" ht="14.4" x14ac:dyDescent="0.3">
      <c r="A5" t="s">
        <v>9</v>
      </c>
      <c r="B5" t="s">
        <v>859</v>
      </c>
      <c r="C5" t="s">
        <v>860</v>
      </c>
      <c r="D5" t="s">
        <v>865</v>
      </c>
      <c r="E5" t="s">
        <v>866</v>
      </c>
      <c r="F5" t="s">
        <v>830</v>
      </c>
      <c r="G5" s="35">
        <v>3.22</v>
      </c>
      <c r="H5" s="33">
        <f>G5*(1-IFERROR(VLOOKUP(F5,'enter the discount'!$D$10:$E$40,2,FALSE),0))</f>
        <v>3.22</v>
      </c>
      <c r="I5" s="35" t="s">
        <v>2593</v>
      </c>
      <c r="J5" s="33" t="s">
        <v>498</v>
      </c>
      <c r="K5" s="33" t="s">
        <v>2749</v>
      </c>
      <c r="L5">
        <v>25</v>
      </c>
      <c r="M5">
        <v>1080</v>
      </c>
      <c r="N5" t="s">
        <v>2754</v>
      </c>
      <c r="O5" s="34" t="str">
        <f>HYPERLINK("https://b2b.kobi.pl/pl/product/12243,swietlowka-led-t8-18w-120cm-4000k-led2b-red?currency=PLN")</f>
        <v>https://b2b.kobi.pl/pl/product/12243,swietlowka-led-t8-18w-120cm-4000k-led2b-red?currency=PLN</v>
      </c>
      <c r="P5" s="34" t="str">
        <f>HYPERLINK("https://eprel.ec.europa.eu/qr/1694581")</f>
        <v>https://eprel.ec.europa.eu/qr/1694581</v>
      </c>
      <c r="Q5"/>
    </row>
    <row r="6" spans="1:17" ht="14.4" x14ac:dyDescent="0.3">
      <c r="A6" t="s">
        <v>9</v>
      </c>
      <c r="B6" t="s">
        <v>859</v>
      </c>
      <c r="C6" t="s">
        <v>860</v>
      </c>
      <c r="D6" t="s">
        <v>867</v>
      </c>
      <c r="E6" t="s">
        <v>868</v>
      </c>
      <c r="F6" t="s">
        <v>830</v>
      </c>
      <c r="G6" s="35">
        <v>3.22</v>
      </c>
      <c r="H6" s="33">
        <f>G6*(1-IFERROR(VLOOKUP(F6,'enter the discount'!$D$10:$E$40,2,FALSE),0))</f>
        <v>3.22</v>
      </c>
      <c r="I6" s="35" t="s">
        <v>2593</v>
      </c>
      <c r="J6" s="33" t="s">
        <v>500</v>
      </c>
      <c r="K6" s="33" t="s">
        <v>2749</v>
      </c>
      <c r="L6">
        <v>25</v>
      </c>
      <c r="M6">
        <v>1080</v>
      </c>
      <c r="N6" t="s">
        <v>2754</v>
      </c>
      <c r="O6" s="34" t="str">
        <f>HYPERLINK("https://b2b.kobi.pl/pl/product/12244,swietlowka-led-t8-18w-120cm-6500k-led2b-red?currency=PLN")</f>
        <v>https://b2b.kobi.pl/pl/product/12244,swietlowka-led-t8-18w-120cm-6500k-led2b-red?currency=PLN</v>
      </c>
      <c r="P6" s="34" t="str">
        <f>HYPERLINK("https://eprel.ec.europa.eu/qr/1694744")</f>
        <v>https://eprel.ec.europa.eu/qr/1694744</v>
      </c>
      <c r="Q6"/>
    </row>
    <row r="7" spans="1:17" ht="14.4" x14ac:dyDescent="0.3">
      <c r="A7" t="s">
        <v>9</v>
      </c>
      <c r="B7" t="s">
        <v>859</v>
      </c>
      <c r="C7" t="s">
        <v>860</v>
      </c>
      <c r="D7" t="s">
        <v>869</v>
      </c>
      <c r="E7" t="s">
        <v>870</v>
      </c>
      <c r="F7" t="s">
        <v>830</v>
      </c>
      <c r="G7" s="35">
        <v>4.1500000000000004</v>
      </c>
      <c r="H7" s="33">
        <f>G7*(1-IFERROR(VLOOKUP(F7,'enter the discount'!$D$10:$E$40,2,FALSE),0))</f>
        <v>4.1500000000000004</v>
      </c>
      <c r="I7" s="35" t="s">
        <v>2593</v>
      </c>
      <c r="J7" s="33" t="s">
        <v>501</v>
      </c>
      <c r="K7" s="33" t="s">
        <v>2749</v>
      </c>
      <c r="L7">
        <v>25</v>
      </c>
      <c r="M7">
        <v>840</v>
      </c>
      <c r="N7" t="s">
        <v>2754</v>
      </c>
      <c r="O7" s="34" t="str">
        <f>HYPERLINK("https://b2b.kobi.pl/pl/product/12245,swietlowka-led-t8-22w-150cm-4000k-led2b-red?currency=PLN")</f>
        <v>https://b2b.kobi.pl/pl/product/12245,swietlowka-led-t8-22w-150cm-4000k-led2b-red?currency=PLN</v>
      </c>
      <c r="P7" s="34" t="str">
        <f>HYPERLINK("https://eprel.ec.europa.eu/qr/1694757")</f>
        <v>https://eprel.ec.europa.eu/qr/1694757</v>
      </c>
      <c r="Q7"/>
    </row>
    <row r="8" spans="1:17" ht="14.4" x14ac:dyDescent="0.3">
      <c r="A8" t="s">
        <v>9</v>
      </c>
      <c r="B8" t="s">
        <v>859</v>
      </c>
      <c r="C8" t="s">
        <v>860</v>
      </c>
      <c r="D8" t="s">
        <v>871</v>
      </c>
      <c r="E8" t="s">
        <v>872</v>
      </c>
      <c r="F8" t="s">
        <v>830</v>
      </c>
      <c r="G8" s="35">
        <v>4.1500000000000004</v>
      </c>
      <c r="H8" s="33">
        <f>G8*(1-IFERROR(VLOOKUP(F8,'enter the discount'!$D$10:$E$40,2,FALSE),0))</f>
        <v>4.1500000000000004</v>
      </c>
      <c r="I8" s="35" t="s">
        <v>2593</v>
      </c>
      <c r="J8" s="33" t="s">
        <v>502</v>
      </c>
      <c r="K8" s="33" t="s">
        <v>2749</v>
      </c>
      <c r="L8">
        <v>25</v>
      </c>
      <c r="M8">
        <v>700</v>
      </c>
      <c r="N8" t="s">
        <v>2754</v>
      </c>
      <c r="O8" s="34" t="str">
        <f>HYPERLINK("https://b2b.kobi.pl/pl/product/12246,swietlowka-led-t8-22w-150cm-6500k-led2b-red?currency=PLN")</f>
        <v>https://b2b.kobi.pl/pl/product/12246,swietlowka-led-t8-22w-150cm-6500k-led2b-red?currency=PLN</v>
      </c>
      <c r="P8" s="34" t="str">
        <f>HYPERLINK("https://eprel.ec.europa.eu/qr/1694771")</f>
        <v>https://eprel.ec.europa.eu/qr/1694771</v>
      </c>
      <c r="Q8"/>
    </row>
    <row r="9" spans="1:17" ht="14.4" x14ac:dyDescent="0.3">
      <c r="A9" t="s">
        <v>9</v>
      </c>
      <c r="B9" t="s">
        <v>859</v>
      </c>
      <c r="C9" t="s">
        <v>30</v>
      </c>
      <c r="D9" t="s">
        <v>873</v>
      </c>
      <c r="E9" t="s">
        <v>874</v>
      </c>
      <c r="F9" t="s">
        <v>830</v>
      </c>
      <c r="G9" s="35">
        <v>3.55</v>
      </c>
      <c r="H9" s="33">
        <f>G9*(1-IFERROR(VLOOKUP(F9,'enter the discount'!$D$10:$E$40,2,FALSE),0))</f>
        <v>3.55</v>
      </c>
      <c r="I9" s="35" t="s">
        <v>2593</v>
      </c>
      <c r="J9" s="33" t="s">
        <v>444</v>
      </c>
      <c r="K9" s="33" t="s">
        <v>2749</v>
      </c>
      <c r="L9">
        <v>25</v>
      </c>
      <c r="M9">
        <v>1575</v>
      </c>
      <c r="N9" t="s">
        <v>2754</v>
      </c>
      <c r="O9" s="34" t="str">
        <f>HYPERLINK("https://b2b.kobi.pl/pl/product/9656,swietlowka-led-t8-9w-60cm-4000k-led2b?currency=PLN")</f>
        <v>https://b2b.kobi.pl/pl/product/9656,swietlowka-led-t8-9w-60cm-4000k-led2b?currency=PLN</v>
      </c>
      <c r="P9" s="34" t="str">
        <f>HYPERLINK("https://eprel.ec.europa.eu/qr/821844")</f>
        <v>https://eprel.ec.europa.eu/qr/821844</v>
      </c>
      <c r="Q9" t="s">
        <v>2775</v>
      </c>
    </row>
    <row r="10" spans="1:17" ht="14.4" x14ac:dyDescent="0.3">
      <c r="A10" t="s">
        <v>9</v>
      </c>
      <c r="B10" t="s">
        <v>859</v>
      </c>
      <c r="C10" t="s">
        <v>30</v>
      </c>
      <c r="D10" t="s">
        <v>875</v>
      </c>
      <c r="E10" t="s">
        <v>876</v>
      </c>
      <c r="F10" t="s">
        <v>830</v>
      </c>
      <c r="G10" s="35">
        <v>3.55</v>
      </c>
      <c r="H10" s="33">
        <f>G10*(1-IFERROR(VLOOKUP(F10,'enter the discount'!$D$10:$E$40,2,FALSE),0))</f>
        <v>3.55</v>
      </c>
      <c r="I10" s="35" t="s">
        <v>2593</v>
      </c>
      <c r="J10" s="33" t="s">
        <v>445</v>
      </c>
      <c r="K10" s="33" t="s">
        <v>2749</v>
      </c>
      <c r="L10">
        <v>25</v>
      </c>
      <c r="M10"/>
      <c r="N10" t="s">
        <v>2754</v>
      </c>
      <c r="O10" s="34" t="str">
        <f>HYPERLINK("https://b2b.kobi.pl/pl/product/9658,swietlowka-led-t8-9w-60cm-6500k-led2b?currency=PLN")</f>
        <v>https://b2b.kobi.pl/pl/product/9658,swietlowka-led-t8-9w-60cm-6500k-led2b?currency=PLN</v>
      </c>
      <c r="P10" s="34" t="str">
        <f>HYPERLINK("https://eprel.ec.europa.eu/qr/821851")</f>
        <v>https://eprel.ec.europa.eu/qr/821851</v>
      </c>
      <c r="Q10" t="s">
        <v>2775</v>
      </c>
    </row>
    <row r="11" spans="1:17" ht="14.4" x14ac:dyDescent="0.3">
      <c r="A11" t="s">
        <v>9</v>
      </c>
      <c r="B11" t="s">
        <v>859</v>
      </c>
      <c r="C11" t="s">
        <v>30</v>
      </c>
      <c r="D11" t="s">
        <v>877</v>
      </c>
      <c r="E11" t="s">
        <v>878</v>
      </c>
      <c r="F11" t="s">
        <v>830</v>
      </c>
      <c r="G11" s="35">
        <v>4.76</v>
      </c>
      <c r="H11" s="33">
        <f>G11*(1-IFERROR(VLOOKUP(F11,'enter the discount'!$D$10:$E$40,2,FALSE),0))</f>
        <v>4.76</v>
      </c>
      <c r="I11" s="35" t="s">
        <v>2593</v>
      </c>
      <c r="J11" s="33" t="s">
        <v>437</v>
      </c>
      <c r="K11" s="33" t="s">
        <v>2749</v>
      </c>
      <c r="L11">
        <v>25</v>
      </c>
      <c r="M11">
        <v>900</v>
      </c>
      <c r="N11" t="s">
        <v>2754</v>
      </c>
      <c r="O11" s="34" t="str">
        <f>HYPERLINK("https://b2b.kobi.pl/pl/product/9645,swietlowka-led-t8-18w-120cm-4000k-led2b?currency=PLN")</f>
        <v>https://b2b.kobi.pl/pl/product/9645,swietlowka-led-t8-18w-120cm-4000k-led2b?currency=PLN</v>
      </c>
      <c r="P11" s="34" t="str">
        <f>HYPERLINK("https://eprel.ec.europa.eu/qr/821866")</f>
        <v>https://eprel.ec.europa.eu/qr/821866</v>
      </c>
      <c r="Q11" t="s">
        <v>2775</v>
      </c>
    </row>
    <row r="12" spans="1:17" ht="14.4" x14ac:dyDescent="0.3">
      <c r="A12" t="s">
        <v>9</v>
      </c>
      <c r="B12" t="s">
        <v>859</v>
      </c>
      <c r="C12" t="s">
        <v>30</v>
      </c>
      <c r="D12" t="s">
        <v>879</v>
      </c>
      <c r="E12" t="s">
        <v>880</v>
      </c>
      <c r="F12" t="s">
        <v>830</v>
      </c>
      <c r="G12" s="35">
        <v>4.76</v>
      </c>
      <c r="H12" s="33">
        <f>G12*(1-IFERROR(VLOOKUP(F12,'enter the discount'!$D$10:$E$40,2,FALSE),0))</f>
        <v>4.76</v>
      </c>
      <c r="I12" s="35" t="s">
        <v>2593</v>
      </c>
      <c r="J12" s="33" t="s">
        <v>357</v>
      </c>
      <c r="K12" s="33" t="s">
        <v>2749</v>
      </c>
      <c r="L12">
        <v>25</v>
      </c>
      <c r="M12">
        <v>900</v>
      </c>
      <c r="N12" t="s">
        <v>2754</v>
      </c>
      <c r="O12" s="34" t="str">
        <f>HYPERLINK("https://b2b.kobi.pl/pl/product/9648,swietlowka-led-t8-18w-120cm-6500k-led2b?currency=PLN")</f>
        <v>https://b2b.kobi.pl/pl/product/9648,swietlowka-led-t8-18w-120cm-6500k-led2b?currency=PLN</v>
      </c>
      <c r="P12" s="34" t="str">
        <f>HYPERLINK("https://eprel.ec.europa.eu/qr/821876")</f>
        <v>https://eprel.ec.europa.eu/qr/821876</v>
      </c>
      <c r="Q12" t="s">
        <v>2775</v>
      </c>
    </row>
    <row r="13" spans="1:17" ht="14.4" x14ac:dyDescent="0.3">
      <c r="A13" t="s">
        <v>9</v>
      </c>
      <c r="B13" t="s">
        <v>859</v>
      </c>
      <c r="C13" t="s">
        <v>30</v>
      </c>
      <c r="D13" t="s">
        <v>881</v>
      </c>
      <c r="E13" t="s">
        <v>882</v>
      </c>
      <c r="F13" t="s">
        <v>830</v>
      </c>
      <c r="G13" s="35">
        <v>5.97</v>
      </c>
      <c r="H13" s="33">
        <f>G13*(1-IFERROR(VLOOKUP(F13,'enter the discount'!$D$10:$E$40,2,FALSE),0))</f>
        <v>5.97</v>
      </c>
      <c r="I13" s="35" t="s">
        <v>2593</v>
      </c>
      <c r="J13" s="33" t="s">
        <v>148</v>
      </c>
      <c r="K13" s="33" t="s">
        <v>2749</v>
      </c>
      <c r="L13">
        <v>25</v>
      </c>
      <c r="M13">
        <v>700</v>
      </c>
      <c r="N13" t="s">
        <v>2754</v>
      </c>
      <c r="O13" s="34" t="str">
        <f>HYPERLINK("https://b2b.kobi.pl/pl/product/9649,swietlowka-led-t8-22w-150cm-4000k-led2b?currency=PLN")</f>
        <v>https://b2b.kobi.pl/pl/product/9649,swietlowka-led-t8-22w-150cm-4000k-led2b?currency=PLN</v>
      </c>
      <c r="P13" s="34" t="str">
        <f>HYPERLINK("https://eprel.ec.europa.eu/qr/914694")</f>
        <v>https://eprel.ec.europa.eu/qr/914694</v>
      </c>
      <c r="Q13" t="s">
        <v>2775</v>
      </c>
    </row>
    <row r="14" spans="1:17" ht="14.4" x14ac:dyDescent="0.3">
      <c r="A14" t="s">
        <v>9</v>
      </c>
      <c r="B14" t="s">
        <v>859</v>
      </c>
      <c r="C14" t="s">
        <v>30</v>
      </c>
      <c r="D14" t="s">
        <v>883</v>
      </c>
      <c r="E14" t="s">
        <v>884</v>
      </c>
      <c r="F14" t="s">
        <v>830</v>
      </c>
      <c r="G14" s="35">
        <v>5.97</v>
      </c>
      <c r="H14" s="33">
        <f>G14*(1-IFERROR(VLOOKUP(F14,'enter the discount'!$D$10:$E$40,2,FALSE),0))</f>
        <v>5.97</v>
      </c>
      <c r="I14" s="35" t="s">
        <v>2593</v>
      </c>
      <c r="J14" s="33" t="s">
        <v>150</v>
      </c>
      <c r="K14" s="33" t="s">
        <v>2749</v>
      </c>
      <c r="L14">
        <v>25</v>
      </c>
      <c r="M14">
        <v>700</v>
      </c>
      <c r="N14" t="s">
        <v>2754</v>
      </c>
      <c r="O14" s="34" t="str">
        <f>HYPERLINK("https://b2b.kobi.pl/pl/product/9651,swietlowka-led-t8-22w-150cm-6500k-led2b?currency=PLN")</f>
        <v>https://b2b.kobi.pl/pl/product/9651,swietlowka-led-t8-22w-150cm-6500k-led2b?currency=PLN</v>
      </c>
      <c r="P14" s="34" t="str">
        <f>HYPERLINK("https://eprel.ec.europa.eu/qr/914714")</f>
        <v>https://eprel.ec.europa.eu/qr/914714</v>
      </c>
      <c r="Q14" t="s">
        <v>2775</v>
      </c>
    </row>
    <row r="15" spans="1:17" ht="14.4" x14ac:dyDescent="0.3">
      <c r="A15" t="s">
        <v>9</v>
      </c>
      <c r="B15" t="s">
        <v>859</v>
      </c>
      <c r="C15" t="s">
        <v>885</v>
      </c>
      <c r="D15" t="s">
        <v>886</v>
      </c>
      <c r="E15" t="s">
        <v>887</v>
      </c>
      <c r="F15" t="s">
        <v>830</v>
      </c>
      <c r="G15" s="35">
        <v>5.09</v>
      </c>
      <c r="H15" s="33">
        <f>G15*(1-IFERROR(VLOOKUP(F15,'enter the discount'!$D$10:$E$40,2,FALSE),0))</f>
        <v>5.09</v>
      </c>
      <c r="I15" s="35" t="s">
        <v>2594</v>
      </c>
      <c r="J15" s="33" t="s">
        <v>146</v>
      </c>
      <c r="K15" s="33" t="s">
        <v>2749</v>
      </c>
      <c r="L15">
        <v>25</v>
      </c>
      <c r="M15">
        <v>1600</v>
      </c>
      <c r="N15" t="s">
        <v>2755</v>
      </c>
      <c r="O15" s="34" t="str">
        <f>HYPERLINK("https://b2b.kobi.pl/pl/product/9723,swietlowka-led-t8-9w-60cm-6500k-kobi-premium?currency=PLN")</f>
        <v>https://b2b.kobi.pl/pl/product/9723,swietlowka-led-t8-9w-60cm-6500k-kobi-premium?currency=PLN</v>
      </c>
      <c r="P15" s="34" t="str">
        <f>HYPERLINK("https://eprel.ec.europa.eu/qr/660799")</f>
        <v>https://eprel.ec.europa.eu/qr/660799</v>
      </c>
      <c r="Q15" t="s">
        <v>2775</v>
      </c>
    </row>
    <row r="16" spans="1:17" ht="14.4" x14ac:dyDescent="0.3">
      <c r="A16" t="s">
        <v>9</v>
      </c>
      <c r="B16" t="s">
        <v>859</v>
      </c>
      <c r="C16" t="s">
        <v>885</v>
      </c>
      <c r="D16" t="s">
        <v>888</v>
      </c>
      <c r="E16" t="s">
        <v>889</v>
      </c>
      <c r="F16" t="s">
        <v>830</v>
      </c>
      <c r="G16" s="35">
        <v>4.28</v>
      </c>
      <c r="H16" s="33">
        <f>G16*(1-IFERROR(VLOOKUP(F16,'enter the discount'!$D$10:$E$40,2,FALSE),0))</f>
        <v>4.28</v>
      </c>
      <c r="I16" s="35" t="s">
        <v>2595</v>
      </c>
      <c r="J16" s="33" t="s">
        <v>2596</v>
      </c>
      <c r="K16" s="33" t="s">
        <v>2749</v>
      </c>
      <c r="L16">
        <v>25</v>
      </c>
      <c r="M16"/>
      <c r="N16" t="s">
        <v>2755</v>
      </c>
      <c r="O16" s="34" t="str">
        <f>HYPERLINK("https://b2b.kobi.pl/pl/product/12367,swietlowka-led-t8-g2-9w-60cm-4000k-kobi-premium?currency=PLN")</f>
        <v>https://b2b.kobi.pl/pl/product/12367,swietlowka-led-t8-g2-9w-60cm-4000k-kobi-premium?currency=PLN</v>
      </c>
      <c r="P16" s="34" t="str">
        <f>HYPERLINK("https://eprel.ec.europa.eu/qr/2219283")</f>
        <v>https://eprel.ec.europa.eu/qr/2219283</v>
      </c>
      <c r="Q16"/>
    </row>
    <row r="17" spans="1:17" ht="14.4" x14ac:dyDescent="0.3">
      <c r="A17" t="s">
        <v>9</v>
      </c>
      <c r="B17" t="s">
        <v>859</v>
      </c>
      <c r="C17" t="s">
        <v>885</v>
      </c>
      <c r="D17" t="s">
        <v>890</v>
      </c>
      <c r="E17" t="s">
        <v>891</v>
      </c>
      <c r="F17" t="s">
        <v>830</v>
      </c>
      <c r="G17" s="35">
        <v>4.28</v>
      </c>
      <c r="H17" s="33">
        <f>G17*(1-IFERROR(VLOOKUP(F17,'enter the discount'!$D$10:$E$40,2,FALSE),0))</f>
        <v>4.28</v>
      </c>
      <c r="I17" s="35" t="s">
        <v>2595</v>
      </c>
      <c r="J17" s="33" t="s">
        <v>2597</v>
      </c>
      <c r="K17" s="33" t="s">
        <v>2749</v>
      </c>
      <c r="L17">
        <v>25</v>
      </c>
      <c r="M17"/>
      <c r="N17" t="s">
        <v>2755</v>
      </c>
      <c r="O17" s="34" t="str">
        <f>HYPERLINK("https://b2b.kobi.pl/pl/product/12368,swietlowka-led-t8-g2-9w-60cm-6500k-kobi-premium?currency=PLN")</f>
        <v>https://b2b.kobi.pl/pl/product/12368,swietlowka-led-t8-g2-9w-60cm-6500k-kobi-premium?currency=PLN</v>
      </c>
      <c r="P17" s="34" t="str">
        <f>HYPERLINK("https://eprel.ec.europa.eu/qr/2219314")</f>
        <v>https://eprel.ec.europa.eu/qr/2219314</v>
      </c>
      <c r="Q17"/>
    </row>
    <row r="18" spans="1:17" ht="14.4" x14ac:dyDescent="0.3">
      <c r="A18" t="s">
        <v>9</v>
      </c>
      <c r="B18" t="s">
        <v>859</v>
      </c>
      <c r="C18" t="s">
        <v>885</v>
      </c>
      <c r="D18" t="s">
        <v>892</v>
      </c>
      <c r="E18" t="s">
        <v>893</v>
      </c>
      <c r="F18" t="s">
        <v>830</v>
      </c>
      <c r="G18" s="35">
        <v>7.18</v>
      </c>
      <c r="H18" s="33">
        <f>G18*(1-IFERROR(VLOOKUP(F18,'enter the discount'!$D$10:$E$40,2,FALSE),0))</f>
        <v>7.18</v>
      </c>
      <c r="I18" s="35" t="s">
        <v>2594</v>
      </c>
      <c r="J18" s="33" t="s">
        <v>568</v>
      </c>
      <c r="K18" s="33" t="s">
        <v>2749</v>
      </c>
      <c r="L18">
        <v>25</v>
      </c>
      <c r="M18">
        <v>900</v>
      </c>
      <c r="N18" t="s">
        <v>2755</v>
      </c>
      <c r="O18" s="34" t="str">
        <f>HYPERLINK("https://b2b.kobi.pl/pl/product/9717,swietlowka-led-t8-18w-120cm-3000k-kobi-premium?currency=PLN")</f>
        <v>https://b2b.kobi.pl/pl/product/9717,swietlowka-led-t8-18w-120cm-3000k-kobi-premium?currency=PLN</v>
      </c>
      <c r="P18" s="34" t="str">
        <f>HYPERLINK("https://eprel.ec.europa.eu/qr/1420718")</f>
        <v>https://eprel.ec.europa.eu/qr/1420718</v>
      </c>
      <c r="Q18" t="s">
        <v>2775</v>
      </c>
    </row>
    <row r="19" spans="1:17" ht="14.4" x14ac:dyDescent="0.3">
      <c r="A19" t="s">
        <v>9</v>
      </c>
      <c r="B19" t="s">
        <v>859</v>
      </c>
      <c r="C19" t="s">
        <v>885</v>
      </c>
      <c r="D19" t="s">
        <v>894</v>
      </c>
      <c r="E19" t="s">
        <v>895</v>
      </c>
      <c r="F19" t="s">
        <v>830</v>
      </c>
      <c r="G19" s="35">
        <v>5.78</v>
      </c>
      <c r="H19" s="33">
        <f>G19*(1-IFERROR(VLOOKUP(F19,'enter the discount'!$D$10:$E$40,2,FALSE),0))</f>
        <v>5.78</v>
      </c>
      <c r="I19" s="35" t="s">
        <v>2598</v>
      </c>
      <c r="J19" s="33" t="s">
        <v>2599</v>
      </c>
      <c r="K19" s="33" t="s">
        <v>2749</v>
      </c>
      <c r="L19">
        <v>25</v>
      </c>
      <c r="M19"/>
      <c r="N19" t="s">
        <v>2755</v>
      </c>
      <c r="O19" s="34" t="str">
        <f>HYPERLINK("https://b2b.kobi.pl/pl/product/12369,swietlowka-led-t8-g2-18w-120cm-3000k-kobi-premium?currency=PLN")</f>
        <v>https://b2b.kobi.pl/pl/product/12369,swietlowka-led-t8-g2-18w-120cm-3000k-kobi-premium?currency=PLN</v>
      </c>
      <c r="P19" s="34" t="str">
        <f>HYPERLINK("https://eprel.ec.europa.eu/qr/2214880")</f>
        <v>https://eprel.ec.europa.eu/qr/2214880</v>
      </c>
      <c r="Q19"/>
    </row>
    <row r="20" spans="1:17" ht="14.4" x14ac:dyDescent="0.3">
      <c r="A20" t="s">
        <v>9</v>
      </c>
      <c r="B20" t="s">
        <v>859</v>
      </c>
      <c r="C20" t="s">
        <v>885</v>
      </c>
      <c r="D20" t="s">
        <v>896</v>
      </c>
      <c r="E20" t="s">
        <v>897</v>
      </c>
      <c r="F20" t="s">
        <v>830</v>
      </c>
      <c r="G20" s="35">
        <v>7.18</v>
      </c>
      <c r="H20" s="33">
        <f>G20*(1-IFERROR(VLOOKUP(F20,'enter the discount'!$D$10:$E$40,2,FALSE),0))</f>
        <v>7.18</v>
      </c>
      <c r="I20" s="35" t="s">
        <v>2594</v>
      </c>
      <c r="J20" s="33" t="s">
        <v>147</v>
      </c>
      <c r="K20" s="33" t="s">
        <v>2749</v>
      </c>
      <c r="L20">
        <v>25</v>
      </c>
      <c r="M20">
        <v>900</v>
      </c>
      <c r="N20" t="s">
        <v>2755</v>
      </c>
      <c r="O20" s="34" t="str">
        <f>HYPERLINK("https://b2b.kobi.pl/pl/product/9718,swietlowka-led-t8-18w-120cm-4000k-kobi-premium?currency=PLN")</f>
        <v>https://b2b.kobi.pl/pl/product/9718,swietlowka-led-t8-18w-120cm-4000k-kobi-premium?currency=PLN</v>
      </c>
      <c r="P20" s="34" t="str">
        <f>HYPERLINK("https://eprel.ec.europa.eu/qr/792298")</f>
        <v>https://eprel.ec.europa.eu/qr/792298</v>
      </c>
      <c r="Q20" t="s">
        <v>2775</v>
      </c>
    </row>
    <row r="21" spans="1:17" ht="14.4" x14ac:dyDescent="0.3">
      <c r="A21" t="s">
        <v>9</v>
      </c>
      <c r="B21" t="s">
        <v>859</v>
      </c>
      <c r="C21" t="s">
        <v>885</v>
      </c>
      <c r="D21" t="s">
        <v>898</v>
      </c>
      <c r="E21" t="s">
        <v>899</v>
      </c>
      <c r="F21" t="s">
        <v>830</v>
      </c>
      <c r="G21" s="35">
        <v>5.78</v>
      </c>
      <c r="H21" s="33">
        <f>G21*(1-IFERROR(VLOOKUP(F21,'enter the discount'!$D$10:$E$40,2,FALSE),0))</f>
        <v>5.78</v>
      </c>
      <c r="I21" s="35" t="s">
        <v>2595</v>
      </c>
      <c r="J21" s="33" t="s">
        <v>2600</v>
      </c>
      <c r="K21" s="33" t="s">
        <v>2749</v>
      </c>
      <c r="L21">
        <v>25</v>
      </c>
      <c r="M21"/>
      <c r="N21" t="s">
        <v>2755</v>
      </c>
      <c r="O21" s="34" t="str">
        <f>HYPERLINK("https://b2b.kobi.pl/pl/product/12370,swietlowka-led-t8-g2-18w-120cm-4000k-kobi-premium?currency=PLN")</f>
        <v>https://b2b.kobi.pl/pl/product/12370,swietlowka-led-t8-g2-18w-120cm-4000k-kobi-premium?currency=PLN</v>
      </c>
      <c r="P21" s="34" t="str">
        <f>HYPERLINK("https://eprel.ec.europa.eu/qr/2214801")</f>
        <v>https://eprel.ec.europa.eu/qr/2214801</v>
      </c>
      <c r="Q21"/>
    </row>
    <row r="22" spans="1:17" ht="14.4" x14ac:dyDescent="0.3">
      <c r="A22" t="s">
        <v>9</v>
      </c>
      <c r="B22" t="s">
        <v>859</v>
      </c>
      <c r="C22" t="s">
        <v>885</v>
      </c>
      <c r="D22" t="s">
        <v>900</v>
      </c>
      <c r="E22" t="s">
        <v>901</v>
      </c>
      <c r="F22" t="s">
        <v>830</v>
      </c>
      <c r="G22" s="35">
        <v>5.78</v>
      </c>
      <c r="H22" s="33">
        <f>G22*(1-IFERROR(VLOOKUP(F22,'enter the discount'!$D$10:$E$40,2,FALSE),0))</f>
        <v>5.78</v>
      </c>
      <c r="I22" s="35" t="s">
        <v>2595</v>
      </c>
      <c r="J22" s="33" t="s">
        <v>2601</v>
      </c>
      <c r="K22" s="33" t="s">
        <v>2749</v>
      </c>
      <c r="L22">
        <v>25</v>
      </c>
      <c r="M22"/>
      <c r="N22" t="s">
        <v>2755</v>
      </c>
      <c r="O22" s="34" t="str">
        <f>HYPERLINK("https://b2b.kobi.pl/pl/product/12371,swietlowka-led-t8-g2-18w-120cm-6500k-kobi-premium?currency=PLN")</f>
        <v>https://b2b.kobi.pl/pl/product/12371,swietlowka-led-t8-g2-18w-120cm-6500k-kobi-premium?currency=PLN</v>
      </c>
      <c r="P22" s="34" t="str">
        <f>HYPERLINK("https://eprel.ec.europa.eu/qr/2214807")</f>
        <v>https://eprel.ec.europa.eu/qr/2214807</v>
      </c>
      <c r="Q22"/>
    </row>
    <row r="23" spans="1:17" ht="14.4" x14ac:dyDescent="0.3">
      <c r="A23" t="s">
        <v>9</v>
      </c>
      <c r="B23" t="s">
        <v>859</v>
      </c>
      <c r="C23" t="s">
        <v>885</v>
      </c>
      <c r="D23" t="s">
        <v>902</v>
      </c>
      <c r="E23" t="s">
        <v>903</v>
      </c>
      <c r="F23" t="s">
        <v>830</v>
      </c>
      <c r="G23" s="35">
        <v>8.8800000000000008</v>
      </c>
      <c r="H23" s="33">
        <f>G23*(1-IFERROR(VLOOKUP(F23,'enter the discount'!$D$10:$E$40,2,FALSE),0))</f>
        <v>8.8800000000000008</v>
      </c>
      <c r="I23" s="35" t="s">
        <v>2594</v>
      </c>
      <c r="J23" s="33" t="s">
        <v>149</v>
      </c>
      <c r="K23" s="33" t="s">
        <v>2749</v>
      </c>
      <c r="L23">
        <v>25</v>
      </c>
      <c r="M23">
        <v>700</v>
      </c>
      <c r="N23" t="s">
        <v>2755</v>
      </c>
      <c r="O23" s="34" t="str">
        <f>HYPERLINK("https://b2b.kobi.pl/pl/product/9720,swietlowka-led-t8-22w-150cm-4000k-kobi-premium?currency=PLN")</f>
        <v>https://b2b.kobi.pl/pl/product/9720,swietlowka-led-t8-22w-150cm-4000k-kobi-premium?currency=PLN</v>
      </c>
      <c r="P23" s="34" t="str">
        <f>HYPERLINK("https://eprel.ec.europa.eu/qr/660795")</f>
        <v>https://eprel.ec.europa.eu/qr/660795</v>
      </c>
      <c r="Q23" t="s">
        <v>2775</v>
      </c>
    </row>
    <row r="24" spans="1:17" ht="14.4" x14ac:dyDescent="0.3">
      <c r="A24" t="s">
        <v>9</v>
      </c>
      <c r="B24" t="s">
        <v>859</v>
      </c>
      <c r="C24" t="s">
        <v>885</v>
      </c>
      <c r="D24" t="s">
        <v>904</v>
      </c>
      <c r="E24" t="s">
        <v>905</v>
      </c>
      <c r="F24" t="s">
        <v>830</v>
      </c>
      <c r="G24" s="35">
        <v>7.93</v>
      </c>
      <c r="H24" s="33">
        <f>G24*(1-IFERROR(VLOOKUP(F24,'enter the discount'!$D$10:$E$40,2,FALSE),0))</f>
        <v>7.93</v>
      </c>
      <c r="I24" s="35" t="s">
        <v>2595</v>
      </c>
      <c r="J24" s="33" t="s">
        <v>2602</v>
      </c>
      <c r="K24" s="33" t="s">
        <v>2749</v>
      </c>
      <c r="L24">
        <v>25</v>
      </c>
      <c r="M24"/>
      <c r="N24" t="s">
        <v>2755</v>
      </c>
      <c r="O24" s="34" t="str">
        <f>HYPERLINK("https://b2b.kobi.pl/pl/product/12372,swietlowka-led-t8-g2-22w-150cm-4000k-kobi-premium?currency=PLN")</f>
        <v>https://b2b.kobi.pl/pl/product/12372,swietlowka-led-t8-g2-22w-150cm-4000k-kobi-premium?currency=PLN</v>
      </c>
      <c r="P24" s="34" t="str">
        <f>HYPERLINK("https://eprel.ec.europa.eu/qr/2214816")</f>
        <v>https://eprel.ec.europa.eu/qr/2214816</v>
      </c>
      <c r="Q24"/>
    </row>
    <row r="25" spans="1:17" ht="14.4" x14ac:dyDescent="0.3">
      <c r="A25" t="s">
        <v>9</v>
      </c>
      <c r="B25" t="s">
        <v>859</v>
      </c>
      <c r="C25" t="s">
        <v>885</v>
      </c>
      <c r="D25" t="s">
        <v>906</v>
      </c>
      <c r="E25" t="s">
        <v>907</v>
      </c>
      <c r="F25" t="s">
        <v>830</v>
      </c>
      <c r="G25" s="35">
        <v>8.8800000000000008</v>
      </c>
      <c r="H25" s="33">
        <f>G25*(1-IFERROR(VLOOKUP(F25,'enter the discount'!$D$10:$E$40,2,FALSE),0))</f>
        <v>8.8800000000000008</v>
      </c>
      <c r="I25" s="35" t="s">
        <v>2594</v>
      </c>
      <c r="J25" s="33" t="s">
        <v>151</v>
      </c>
      <c r="K25" s="33" t="s">
        <v>2749</v>
      </c>
      <c r="L25">
        <v>25</v>
      </c>
      <c r="M25">
        <v>700</v>
      </c>
      <c r="N25" t="s">
        <v>2755</v>
      </c>
      <c r="O25" s="34" t="str">
        <f>HYPERLINK("https://b2b.kobi.pl/pl/product/9721,swietlowka-led-t8-22w-150cm-6500k-kobi-premium?currency=PLN")</f>
        <v>https://b2b.kobi.pl/pl/product/9721,swietlowka-led-t8-22w-150cm-6500k-kobi-premium?currency=PLN</v>
      </c>
      <c r="P25" s="34" t="str">
        <f>HYPERLINK("https://eprel.ec.europa.eu/qr/660796")</f>
        <v>https://eprel.ec.europa.eu/qr/660796</v>
      </c>
      <c r="Q25" t="s">
        <v>2775</v>
      </c>
    </row>
    <row r="26" spans="1:17" ht="14.4" x14ac:dyDescent="0.3">
      <c r="A26" t="s">
        <v>9</v>
      </c>
      <c r="B26" t="s">
        <v>859</v>
      </c>
      <c r="C26" t="s">
        <v>885</v>
      </c>
      <c r="D26" t="s">
        <v>908</v>
      </c>
      <c r="E26" t="s">
        <v>909</v>
      </c>
      <c r="F26" t="s">
        <v>830</v>
      </c>
      <c r="G26" s="35">
        <v>7.93</v>
      </c>
      <c r="H26" s="33">
        <f>G26*(1-IFERROR(VLOOKUP(F26,'enter the discount'!$D$10:$E$40,2,FALSE),0))</f>
        <v>7.93</v>
      </c>
      <c r="I26" s="35" t="s">
        <v>2595</v>
      </c>
      <c r="J26" s="33" t="s">
        <v>2603</v>
      </c>
      <c r="K26" s="33" t="s">
        <v>2749</v>
      </c>
      <c r="L26">
        <v>25</v>
      </c>
      <c r="M26"/>
      <c r="N26" t="s">
        <v>2755</v>
      </c>
      <c r="O26" s="34" t="str">
        <f>HYPERLINK("https://b2b.kobi.pl/pl/product/12373,swietlowka-led-t8-g2-22w-150cm-6500k-kobi-premium?currency=PLN")</f>
        <v>https://b2b.kobi.pl/pl/product/12373,swietlowka-led-t8-g2-22w-150cm-6500k-kobi-premium?currency=PLN</v>
      </c>
      <c r="P26" s="34" t="str">
        <f>HYPERLINK("https://eprel.ec.europa.eu/qr/2214839")</f>
        <v>https://eprel.ec.europa.eu/qr/2214839</v>
      </c>
      <c r="Q26"/>
    </row>
    <row r="27" spans="1:17" ht="14.4" x14ac:dyDescent="0.3">
      <c r="A27" t="s">
        <v>9</v>
      </c>
      <c r="B27" t="s">
        <v>859</v>
      </c>
      <c r="C27" t="s">
        <v>910</v>
      </c>
      <c r="D27" t="s">
        <v>911</v>
      </c>
      <c r="E27" t="s">
        <v>912</v>
      </c>
      <c r="F27" t="s">
        <v>832</v>
      </c>
      <c r="G27" s="35">
        <v>2.0099999999999998</v>
      </c>
      <c r="H27" s="33">
        <f>G27*(1-IFERROR(VLOOKUP(F27,'enter the discount'!$D$10:$E$40,2,FALSE),0))</f>
        <v>2.0099999999999998</v>
      </c>
      <c r="I27" s="35" t="s">
        <v>2593</v>
      </c>
      <c r="J27" s="33" t="s">
        <v>71</v>
      </c>
      <c r="K27" s="33" t="s">
        <v>2749</v>
      </c>
      <c r="L27">
        <v>100</v>
      </c>
      <c r="M27">
        <v>6000</v>
      </c>
      <c r="N27" t="s">
        <v>2754</v>
      </c>
      <c r="O27" s="34" t="str">
        <f>HYPERLINK("https://b2b.kobi.pl/pl/product/9536,zarowka-led-gu10-1w-3000k-kobi?currency=PLN")</f>
        <v>https://b2b.kobi.pl/pl/product/9536,zarowka-led-gu10-1w-3000k-kobi?currency=PLN</v>
      </c>
      <c r="P27" s="34" t="str">
        <f>HYPERLINK("https://eprel.ec.europa.eu/qr/659854")</f>
        <v>https://eprel.ec.europa.eu/qr/659854</v>
      </c>
      <c r="Q27"/>
    </row>
    <row r="28" spans="1:17" ht="14.4" x14ac:dyDescent="0.3">
      <c r="A28" t="s">
        <v>9</v>
      </c>
      <c r="B28" t="s">
        <v>859</v>
      </c>
      <c r="C28" t="s">
        <v>910</v>
      </c>
      <c r="D28" t="s">
        <v>913</v>
      </c>
      <c r="E28" t="s">
        <v>914</v>
      </c>
      <c r="F28" t="s">
        <v>832</v>
      </c>
      <c r="G28" s="35">
        <v>2.0099999999999998</v>
      </c>
      <c r="H28" s="33">
        <f>G28*(1-IFERROR(VLOOKUP(F28,'enter the discount'!$D$10:$E$40,2,FALSE),0))</f>
        <v>2.0099999999999998</v>
      </c>
      <c r="I28" s="35" t="s">
        <v>2593</v>
      </c>
      <c r="J28" s="33" t="s">
        <v>72</v>
      </c>
      <c r="K28" s="33" t="s">
        <v>2749</v>
      </c>
      <c r="L28">
        <v>100</v>
      </c>
      <c r="M28">
        <v>6000</v>
      </c>
      <c r="N28" t="s">
        <v>2754</v>
      </c>
      <c r="O28" s="34" t="str">
        <f>HYPERLINK("https://b2b.kobi.pl/pl/product/9537,zarowka-led-gu10-1w-4000k-kobi?currency=PLN")</f>
        <v>https://b2b.kobi.pl/pl/product/9537,zarowka-led-gu10-1w-4000k-kobi?currency=PLN</v>
      </c>
      <c r="P28" s="34" t="str">
        <f>HYPERLINK("https://eprel.ec.europa.eu/qr/659856")</f>
        <v>https://eprel.ec.europa.eu/qr/659856</v>
      </c>
      <c r="Q28"/>
    </row>
    <row r="29" spans="1:17" ht="14.4" x14ac:dyDescent="0.3">
      <c r="A29" t="s">
        <v>9</v>
      </c>
      <c r="B29" t="s">
        <v>859</v>
      </c>
      <c r="C29" t="s">
        <v>910</v>
      </c>
      <c r="D29" t="s">
        <v>915</v>
      </c>
      <c r="E29" t="s">
        <v>916</v>
      </c>
      <c r="F29" t="s">
        <v>832</v>
      </c>
      <c r="G29" s="35">
        <v>2.0099999999999998</v>
      </c>
      <c r="H29" s="33">
        <f>G29*(1-IFERROR(VLOOKUP(F29,'enter the discount'!$D$10:$E$40,2,FALSE),0))</f>
        <v>2.0099999999999998</v>
      </c>
      <c r="I29" s="35" t="s">
        <v>2593</v>
      </c>
      <c r="J29" s="33" t="s">
        <v>73</v>
      </c>
      <c r="K29" s="33" t="s">
        <v>2749</v>
      </c>
      <c r="L29">
        <v>100</v>
      </c>
      <c r="M29">
        <v>6000</v>
      </c>
      <c r="N29" t="s">
        <v>2754</v>
      </c>
      <c r="O29" s="34" t="str">
        <f>HYPERLINK("https://b2b.kobi.pl/pl/product/9538,zarowka-led-gu10-1w-6000k-kobi?currency=PLN")</f>
        <v>https://b2b.kobi.pl/pl/product/9538,zarowka-led-gu10-1w-6000k-kobi?currency=PLN</v>
      </c>
      <c r="P29" s="34" t="str">
        <f>HYPERLINK("https://eprel.ec.europa.eu/qr/659858")</f>
        <v>https://eprel.ec.europa.eu/qr/659858</v>
      </c>
      <c r="Q29"/>
    </row>
    <row r="30" spans="1:17" ht="14.4" x14ac:dyDescent="0.3">
      <c r="A30" t="s">
        <v>9</v>
      </c>
      <c r="B30" t="s">
        <v>859</v>
      </c>
      <c r="C30" t="s">
        <v>885</v>
      </c>
      <c r="D30" t="s">
        <v>917</v>
      </c>
      <c r="E30" t="s">
        <v>918</v>
      </c>
      <c r="F30" t="s">
        <v>832</v>
      </c>
      <c r="G30" s="35">
        <v>4.18</v>
      </c>
      <c r="H30" s="33">
        <f>G30*(1-IFERROR(VLOOKUP(F30,'enter the discount'!$D$10:$E$40,2,FALSE),0))</f>
        <v>4.18</v>
      </c>
      <c r="I30" s="35" t="s">
        <v>2593</v>
      </c>
      <c r="J30" s="33" t="s">
        <v>2604</v>
      </c>
      <c r="K30" s="33" t="s">
        <v>2749</v>
      </c>
      <c r="L30">
        <v>160</v>
      </c>
      <c r="M30">
        <v>5120</v>
      </c>
      <c r="N30" t="s">
        <v>2755</v>
      </c>
      <c r="O30"/>
      <c r="P30" s="34" t="str">
        <f>HYPERLINK("https://eprel.ec.europa.eu/qr/659885")</f>
        <v>https://eprel.ec.europa.eu/qr/659885</v>
      </c>
      <c r="Q30" t="s">
        <v>2775</v>
      </c>
    </row>
    <row r="31" spans="1:17" ht="14.4" x14ac:dyDescent="0.3">
      <c r="A31" t="s">
        <v>9</v>
      </c>
      <c r="B31" t="s">
        <v>859</v>
      </c>
      <c r="C31" t="s">
        <v>910</v>
      </c>
      <c r="D31" t="s">
        <v>919</v>
      </c>
      <c r="E31" t="s">
        <v>920</v>
      </c>
      <c r="F31" t="s">
        <v>832</v>
      </c>
      <c r="G31" s="35">
        <v>2.15</v>
      </c>
      <c r="H31" s="33">
        <f>G31*(1-IFERROR(VLOOKUP(F31,'enter the discount'!$D$10:$E$40,2,FALSE),0))</f>
        <v>2.15</v>
      </c>
      <c r="I31" s="35" t="s">
        <v>2605</v>
      </c>
      <c r="J31" s="33" t="s">
        <v>77</v>
      </c>
      <c r="K31" s="33" t="s">
        <v>2749</v>
      </c>
      <c r="L31">
        <v>100</v>
      </c>
      <c r="M31">
        <v>6000</v>
      </c>
      <c r="N31" t="s">
        <v>2754</v>
      </c>
      <c r="O31" s="34" t="str">
        <f>HYPERLINK("https://b2b.kobi.pl/pl/product/9552,zarowka-led-gu10-5w-3000k-kobi?currency=PLN")</f>
        <v>https://b2b.kobi.pl/pl/product/9552,zarowka-led-gu10-5w-3000k-kobi?currency=PLN</v>
      </c>
      <c r="P31" s="34" t="str">
        <f>HYPERLINK("https://eprel.ec.europa.eu/qr/659894")</f>
        <v>https://eprel.ec.europa.eu/qr/659894</v>
      </c>
      <c r="Q31"/>
    </row>
    <row r="32" spans="1:17" ht="14.4" x14ac:dyDescent="0.3">
      <c r="A32" t="s">
        <v>9</v>
      </c>
      <c r="B32" t="s">
        <v>859</v>
      </c>
      <c r="C32" t="s">
        <v>910</v>
      </c>
      <c r="D32" t="s">
        <v>921</v>
      </c>
      <c r="E32" t="s">
        <v>922</v>
      </c>
      <c r="F32" t="s">
        <v>832</v>
      </c>
      <c r="G32" s="35">
        <v>2.15</v>
      </c>
      <c r="H32" s="33">
        <f>G32*(1-IFERROR(VLOOKUP(F32,'enter the discount'!$D$10:$E$40,2,FALSE),0))</f>
        <v>2.15</v>
      </c>
      <c r="I32" s="35" t="s">
        <v>2605</v>
      </c>
      <c r="J32" s="33" t="s">
        <v>79</v>
      </c>
      <c r="K32" s="33" t="s">
        <v>2749</v>
      </c>
      <c r="L32">
        <v>100</v>
      </c>
      <c r="M32">
        <v>6600</v>
      </c>
      <c r="N32" t="s">
        <v>2754</v>
      </c>
      <c r="O32" s="34" t="str">
        <f>HYPERLINK("https://b2b.kobi.pl/pl/product/9554,zarowka-led-gu10-5w-4000k-kobi?currency=PLN")</f>
        <v>https://b2b.kobi.pl/pl/product/9554,zarowka-led-gu10-5w-4000k-kobi?currency=PLN</v>
      </c>
      <c r="P32" s="34" t="str">
        <f>HYPERLINK("https://eprel.ec.europa.eu/qr/659904")</f>
        <v>https://eprel.ec.europa.eu/qr/659904</v>
      </c>
      <c r="Q32"/>
    </row>
    <row r="33" spans="1:17" ht="14.4" x14ac:dyDescent="0.3">
      <c r="A33" t="s">
        <v>9</v>
      </c>
      <c r="B33" t="s">
        <v>859</v>
      </c>
      <c r="C33" t="s">
        <v>910</v>
      </c>
      <c r="D33" t="s">
        <v>923</v>
      </c>
      <c r="E33" t="s">
        <v>924</v>
      </c>
      <c r="F33" t="s">
        <v>832</v>
      </c>
      <c r="G33" s="35">
        <v>2.15</v>
      </c>
      <c r="H33" s="33">
        <f>G33*(1-IFERROR(VLOOKUP(F33,'enter the discount'!$D$10:$E$40,2,FALSE),0))</f>
        <v>2.15</v>
      </c>
      <c r="I33" s="35" t="s">
        <v>2605</v>
      </c>
      <c r="J33" s="33" t="s">
        <v>81</v>
      </c>
      <c r="K33" s="33" t="s">
        <v>2749</v>
      </c>
      <c r="L33">
        <v>100</v>
      </c>
      <c r="M33">
        <v>6000</v>
      </c>
      <c r="N33" t="s">
        <v>2754</v>
      </c>
      <c r="O33" s="34" t="str">
        <f>HYPERLINK("https://b2b.kobi.pl/pl/product/9557,zarowka-led-gu10-5w-6000k-kobi?currency=PLN")</f>
        <v>https://b2b.kobi.pl/pl/product/9557,zarowka-led-gu10-5w-6000k-kobi?currency=PLN</v>
      </c>
      <c r="P33" s="34" t="str">
        <f>HYPERLINK("https://eprel.ec.europa.eu/qr/660091")</f>
        <v>https://eprel.ec.europa.eu/qr/660091</v>
      </c>
      <c r="Q33"/>
    </row>
    <row r="34" spans="1:17" ht="14.4" x14ac:dyDescent="0.3">
      <c r="A34" t="s">
        <v>9</v>
      </c>
      <c r="B34" t="s">
        <v>859</v>
      </c>
      <c r="C34" t="s">
        <v>910</v>
      </c>
      <c r="D34" t="s">
        <v>925</v>
      </c>
      <c r="E34" t="s">
        <v>926</v>
      </c>
      <c r="F34" t="s">
        <v>832</v>
      </c>
      <c r="G34" s="35">
        <v>2.86</v>
      </c>
      <c r="H34" s="33">
        <f>G34*(1-IFERROR(VLOOKUP(F34,'enter the discount'!$D$10:$E$40,2,FALSE),0))</f>
        <v>2.86</v>
      </c>
      <c r="I34" s="35" t="s">
        <v>2593</v>
      </c>
      <c r="J34" s="33" t="s">
        <v>83</v>
      </c>
      <c r="K34" s="33" t="s">
        <v>2749</v>
      </c>
      <c r="L34">
        <v>100</v>
      </c>
      <c r="M34">
        <v>6000</v>
      </c>
      <c r="N34" t="s">
        <v>2754</v>
      </c>
      <c r="O34" s="34" t="str">
        <f>HYPERLINK("https://b2b.kobi.pl/pl/product/9563,zarowka-led-gu10-7w-3000k-kobi?currency=PLN")</f>
        <v>https://b2b.kobi.pl/pl/product/9563,zarowka-led-gu10-7w-3000k-kobi?currency=PLN</v>
      </c>
      <c r="P34" s="34" t="str">
        <f>HYPERLINK("https://eprel.ec.europa.eu/qr/660097")</f>
        <v>https://eprel.ec.europa.eu/qr/660097</v>
      </c>
      <c r="Q34"/>
    </row>
    <row r="35" spans="1:17" ht="14.4" x14ac:dyDescent="0.3">
      <c r="A35" t="s">
        <v>9</v>
      </c>
      <c r="B35" t="s">
        <v>859</v>
      </c>
      <c r="C35" t="s">
        <v>910</v>
      </c>
      <c r="D35" t="s">
        <v>927</v>
      </c>
      <c r="E35" t="s">
        <v>928</v>
      </c>
      <c r="F35" t="s">
        <v>832</v>
      </c>
      <c r="G35" s="35">
        <v>2.86</v>
      </c>
      <c r="H35" s="33">
        <f>G35*(1-IFERROR(VLOOKUP(F35,'enter the discount'!$D$10:$E$40,2,FALSE),0))</f>
        <v>2.86</v>
      </c>
      <c r="I35" s="35" t="s">
        <v>2593</v>
      </c>
      <c r="J35" s="33" t="s">
        <v>85</v>
      </c>
      <c r="K35" s="33" t="s">
        <v>2749</v>
      </c>
      <c r="L35">
        <v>100</v>
      </c>
      <c r="M35">
        <v>6000</v>
      </c>
      <c r="N35" t="s">
        <v>2754</v>
      </c>
      <c r="O35" s="34" t="str">
        <f>HYPERLINK("https://b2b.kobi.pl/pl/product/9565,zarowka-led-gu10-7w-4000k-kobi?currency=PLN")</f>
        <v>https://b2b.kobi.pl/pl/product/9565,zarowka-led-gu10-7w-4000k-kobi?currency=PLN</v>
      </c>
      <c r="P35" s="34" t="str">
        <f>HYPERLINK("https://eprel.ec.europa.eu/qr/660103")</f>
        <v>https://eprel.ec.europa.eu/qr/660103</v>
      </c>
      <c r="Q35"/>
    </row>
    <row r="36" spans="1:17" ht="14.4" x14ac:dyDescent="0.3">
      <c r="A36" t="s">
        <v>9</v>
      </c>
      <c r="B36" t="s">
        <v>859</v>
      </c>
      <c r="C36" t="s">
        <v>910</v>
      </c>
      <c r="D36" t="s">
        <v>929</v>
      </c>
      <c r="E36" t="s">
        <v>930</v>
      </c>
      <c r="F36" t="s">
        <v>832</v>
      </c>
      <c r="G36" s="35">
        <v>2.86</v>
      </c>
      <c r="H36" s="33">
        <f>G36*(1-IFERROR(VLOOKUP(F36,'enter the discount'!$D$10:$E$40,2,FALSE),0))</f>
        <v>2.86</v>
      </c>
      <c r="I36" s="35" t="s">
        <v>2593</v>
      </c>
      <c r="J36" s="33" t="s">
        <v>87</v>
      </c>
      <c r="K36" s="33" t="s">
        <v>2749</v>
      </c>
      <c r="L36">
        <v>100</v>
      </c>
      <c r="M36">
        <v>6000</v>
      </c>
      <c r="N36" t="s">
        <v>2754</v>
      </c>
      <c r="O36" s="34" t="str">
        <f>HYPERLINK("https://b2b.kobi.pl/pl/product/9567,zarowka-led-gu10-7w-6000k-kobi?currency=PLN")</f>
        <v>https://b2b.kobi.pl/pl/product/9567,zarowka-led-gu10-7w-6000k-kobi?currency=PLN</v>
      </c>
      <c r="P36" s="34" t="str">
        <f>HYPERLINK("https://eprel.ec.europa.eu/qr/660110")</f>
        <v>https://eprel.ec.europa.eu/qr/660110</v>
      </c>
      <c r="Q36"/>
    </row>
    <row r="37" spans="1:17" ht="14.4" x14ac:dyDescent="0.3">
      <c r="A37" t="s">
        <v>9</v>
      </c>
      <c r="B37" t="s">
        <v>859</v>
      </c>
      <c r="C37" t="s">
        <v>885</v>
      </c>
      <c r="D37" t="s">
        <v>931</v>
      </c>
      <c r="E37" t="s">
        <v>932</v>
      </c>
      <c r="F37" t="s">
        <v>832</v>
      </c>
      <c r="G37" s="35">
        <v>2.72</v>
      </c>
      <c r="H37" s="33">
        <f>G37*(1-IFERROR(VLOOKUP(F37,'enter the discount'!$D$10:$E$40,2,FALSE),0))</f>
        <v>2.72</v>
      </c>
      <c r="I37" s="35" t="s">
        <v>2593</v>
      </c>
      <c r="J37" s="33" t="s">
        <v>74</v>
      </c>
      <c r="K37" s="33" t="s">
        <v>2749</v>
      </c>
      <c r="L37">
        <v>100</v>
      </c>
      <c r="M37">
        <v>7200</v>
      </c>
      <c r="N37" t="s">
        <v>2755</v>
      </c>
      <c r="O37" s="34" t="str">
        <f>HYPERLINK("https://b2b.kobi.pl/pl/product/9542,zarowka-led-gu10-3w-3000k-kobi-premium?currency=PLN")</f>
        <v>https://b2b.kobi.pl/pl/product/9542,zarowka-led-gu10-3w-3000k-kobi-premium?currency=PLN</v>
      </c>
      <c r="P37" s="34" t="str">
        <f>HYPERLINK("https://eprel.ec.europa.eu/qr/659875")</f>
        <v>https://eprel.ec.europa.eu/qr/659875</v>
      </c>
      <c r="Q37"/>
    </row>
    <row r="38" spans="1:17" ht="14.4" x14ac:dyDescent="0.3">
      <c r="A38" t="s">
        <v>9</v>
      </c>
      <c r="B38" t="s">
        <v>859</v>
      </c>
      <c r="C38" t="s">
        <v>885</v>
      </c>
      <c r="D38" t="s">
        <v>933</v>
      </c>
      <c r="E38" t="s">
        <v>934</v>
      </c>
      <c r="F38" t="s">
        <v>832</v>
      </c>
      <c r="G38" s="35">
        <v>2.72</v>
      </c>
      <c r="H38" s="33">
        <f>G38*(1-IFERROR(VLOOKUP(F38,'enter the discount'!$D$10:$E$40,2,FALSE),0))</f>
        <v>2.72</v>
      </c>
      <c r="I38" s="35" t="s">
        <v>2593</v>
      </c>
      <c r="J38" s="33" t="s">
        <v>75</v>
      </c>
      <c r="K38" s="33" t="s">
        <v>2749</v>
      </c>
      <c r="L38">
        <v>100</v>
      </c>
      <c r="M38">
        <v>7200</v>
      </c>
      <c r="N38" t="s">
        <v>2755</v>
      </c>
      <c r="O38" s="34" t="str">
        <f>HYPERLINK("https://b2b.kobi.pl/pl/product/9543,zarowka-led-gu10-3w-4000k-kobi-premium?currency=PLN")</f>
        <v>https://b2b.kobi.pl/pl/product/9543,zarowka-led-gu10-3w-4000k-kobi-premium?currency=PLN</v>
      </c>
      <c r="P38" s="34" t="str">
        <f>HYPERLINK("https://eprel.ec.europa.eu/qr/659878")</f>
        <v>https://eprel.ec.europa.eu/qr/659878</v>
      </c>
      <c r="Q38"/>
    </row>
    <row r="39" spans="1:17" ht="14.4" x14ac:dyDescent="0.3">
      <c r="A39" t="s">
        <v>9</v>
      </c>
      <c r="B39" t="s">
        <v>859</v>
      </c>
      <c r="C39" t="s">
        <v>885</v>
      </c>
      <c r="D39" t="s">
        <v>935</v>
      </c>
      <c r="E39" t="s">
        <v>936</v>
      </c>
      <c r="F39" t="s">
        <v>832</v>
      </c>
      <c r="G39" s="35">
        <v>2.72</v>
      </c>
      <c r="H39" s="33">
        <f>G39*(1-IFERROR(VLOOKUP(F39,'enter the discount'!$D$10:$E$40,2,FALSE),0))</f>
        <v>2.72</v>
      </c>
      <c r="I39" s="35" t="s">
        <v>2593</v>
      </c>
      <c r="J39" s="33" t="s">
        <v>76</v>
      </c>
      <c r="K39" s="33" t="s">
        <v>2749</v>
      </c>
      <c r="L39">
        <v>100</v>
      </c>
      <c r="M39">
        <v>7200</v>
      </c>
      <c r="N39" t="s">
        <v>2755</v>
      </c>
      <c r="O39" s="34" t="str">
        <f>HYPERLINK("https://b2b.kobi.pl/pl/product/9545,zarowka-led-gu10-3w-6200k-kobi-premium?currency=PLN")</f>
        <v>https://b2b.kobi.pl/pl/product/9545,zarowka-led-gu10-3w-6200k-kobi-premium?currency=PLN</v>
      </c>
      <c r="P39" s="34" t="str">
        <f>HYPERLINK("https://eprel.ec.europa.eu/qr/659881")</f>
        <v>https://eprel.ec.europa.eu/qr/659881</v>
      </c>
      <c r="Q39"/>
    </row>
    <row r="40" spans="1:17" ht="14.4" x14ac:dyDescent="0.3">
      <c r="A40" t="s">
        <v>9</v>
      </c>
      <c r="B40" t="s">
        <v>859</v>
      </c>
      <c r="C40" t="s">
        <v>885</v>
      </c>
      <c r="D40" t="s">
        <v>937</v>
      </c>
      <c r="E40" t="s">
        <v>938</v>
      </c>
      <c r="F40" t="s">
        <v>832</v>
      </c>
      <c r="G40" s="35">
        <v>2.77</v>
      </c>
      <c r="H40" s="33">
        <f>G40*(1-IFERROR(VLOOKUP(F40,'enter the discount'!$D$10:$E$40,2,FALSE),0))</f>
        <v>2.77</v>
      </c>
      <c r="I40" s="35" t="s">
        <v>2593</v>
      </c>
      <c r="J40" s="33" t="s">
        <v>78</v>
      </c>
      <c r="K40" s="33" t="s">
        <v>2749</v>
      </c>
      <c r="L40">
        <v>100</v>
      </c>
      <c r="M40">
        <v>7200</v>
      </c>
      <c r="N40" t="s">
        <v>2755</v>
      </c>
      <c r="O40" s="34" t="str">
        <f>HYPERLINK("https://b2b.kobi.pl/pl/product/9553,zarowka-led-gu10-5w-3000k-kobi-premium?currency=PLN")</f>
        <v>https://b2b.kobi.pl/pl/product/9553,zarowka-led-gu10-5w-3000k-kobi-premium?currency=PLN</v>
      </c>
      <c r="P40" s="34" t="str">
        <f>HYPERLINK("https://eprel.ec.europa.eu/qr/659902")</f>
        <v>https://eprel.ec.europa.eu/qr/659902</v>
      </c>
      <c r="Q40"/>
    </row>
    <row r="41" spans="1:17" ht="14.4" x14ac:dyDescent="0.3">
      <c r="A41" t="s">
        <v>9</v>
      </c>
      <c r="B41" t="s">
        <v>859</v>
      </c>
      <c r="C41" t="s">
        <v>885</v>
      </c>
      <c r="D41" t="s">
        <v>939</v>
      </c>
      <c r="E41" t="s">
        <v>940</v>
      </c>
      <c r="F41" t="s">
        <v>832</v>
      </c>
      <c r="G41" s="35">
        <v>2.77</v>
      </c>
      <c r="H41" s="33">
        <f>G41*(1-IFERROR(VLOOKUP(F41,'enter the discount'!$D$10:$E$40,2,FALSE),0))</f>
        <v>2.77</v>
      </c>
      <c r="I41" s="35" t="s">
        <v>2593</v>
      </c>
      <c r="J41" s="33" t="s">
        <v>80</v>
      </c>
      <c r="K41" s="33" t="s">
        <v>2749</v>
      </c>
      <c r="L41">
        <v>100</v>
      </c>
      <c r="M41">
        <v>7200</v>
      </c>
      <c r="N41" t="s">
        <v>2755</v>
      </c>
      <c r="O41" s="34" t="str">
        <f>HYPERLINK("https://b2b.kobi.pl/pl/product/9555,zarowka-led-gu10-5w-4000k-kobi-premium?currency=PLN")</f>
        <v>https://b2b.kobi.pl/pl/product/9555,zarowka-led-gu10-5w-4000k-kobi-premium?currency=PLN</v>
      </c>
      <c r="P41" s="34" t="str">
        <f>HYPERLINK("https://eprel.ec.europa.eu/qr/660087")</f>
        <v>https://eprel.ec.europa.eu/qr/660087</v>
      </c>
      <c r="Q41"/>
    </row>
    <row r="42" spans="1:17" ht="14.4" x14ac:dyDescent="0.3">
      <c r="A42" t="s">
        <v>9</v>
      </c>
      <c r="B42" t="s">
        <v>859</v>
      </c>
      <c r="C42" t="s">
        <v>885</v>
      </c>
      <c r="D42" t="s">
        <v>941</v>
      </c>
      <c r="E42" t="s">
        <v>942</v>
      </c>
      <c r="F42" t="s">
        <v>832</v>
      </c>
      <c r="G42" s="35">
        <v>2.77</v>
      </c>
      <c r="H42" s="33">
        <f>G42*(1-IFERROR(VLOOKUP(F42,'enter the discount'!$D$10:$E$40,2,FALSE),0))</f>
        <v>2.77</v>
      </c>
      <c r="I42" s="35" t="s">
        <v>2593</v>
      </c>
      <c r="J42" s="33" t="s">
        <v>82</v>
      </c>
      <c r="K42" s="33" t="s">
        <v>2749</v>
      </c>
      <c r="L42">
        <v>100</v>
      </c>
      <c r="M42">
        <v>7200</v>
      </c>
      <c r="N42" t="s">
        <v>2755</v>
      </c>
      <c r="O42" s="34" t="str">
        <f>HYPERLINK("https://b2b.kobi.pl/pl/product/9558,zarowka-led-gu10-5w-6500k-kobi-premium?currency=PLN")</f>
        <v>https://b2b.kobi.pl/pl/product/9558,zarowka-led-gu10-5w-6500k-kobi-premium?currency=PLN</v>
      </c>
      <c r="P42" s="34" t="str">
        <f>HYPERLINK("https://eprel.ec.europa.eu/qr/660096")</f>
        <v>https://eprel.ec.europa.eu/qr/660096</v>
      </c>
      <c r="Q42"/>
    </row>
    <row r="43" spans="1:17" ht="14.4" x14ac:dyDescent="0.3">
      <c r="A43" t="s">
        <v>9</v>
      </c>
      <c r="B43" t="s">
        <v>859</v>
      </c>
      <c r="C43" t="s">
        <v>885</v>
      </c>
      <c r="D43" t="s">
        <v>943</v>
      </c>
      <c r="E43" t="s">
        <v>944</v>
      </c>
      <c r="F43" t="s">
        <v>832</v>
      </c>
      <c r="G43" s="35">
        <v>3.59</v>
      </c>
      <c r="H43" s="33">
        <f>G43*(1-IFERROR(VLOOKUP(F43,'enter the discount'!$D$10:$E$40,2,FALSE),0))</f>
        <v>3.59</v>
      </c>
      <c r="I43" s="35" t="s">
        <v>2593</v>
      </c>
      <c r="J43" s="33" t="s">
        <v>84</v>
      </c>
      <c r="K43" s="33" t="s">
        <v>2749</v>
      </c>
      <c r="L43">
        <v>100</v>
      </c>
      <c r="M43">
        <v>7200</v>
      </c>
      <c r="N43" t="s">
        <v>2755</v>
      </c>
      <c r="O43" s="34" t="str">
        <f>HYPERLINK("https://b2b.kobi.pl/pl/product/9564,zarowka-led-gu10-7w-3000k-kobi-premium?currency=PLN")</f>
        <v>https://b2b.kobi.pl/pl/product/9564,zarowka-led-gu10-7w-3000k-kobi-premium?currency=PLN</v>
      </c>
      <c r="P43" s="34" t="str">
        <f>HYPERLINK("https://eprel.ec.europa.eu/qr/660099")</f>
        <v>https://eprel.ec.europa.eu/qr/660099</v>
      </c>
      <c r="Q43"/>
    </row>
    <row r="44" spans="1:17" ht="14.4" x14ac:dyDescent="0.3">
      <c r="A44" t="s">
        <v>9</v>
      </c>
      <c r="B44" t="s">
        <v>859</v>
      </c>
      <c r="C44" t="s">
        <v>885</v>
      </c>
      <c r="D44" t="s">
        <v>945</v>
      </c>
      <c r="E44" t="s">
        <v>946</v>
      </c>
      <c r="F44" t="s">
        <v>832</v>
      </c>
      <c r="G44" s="35">
        <v>3.59</v>
      </c>
      <c r="H44" s="33">
        <f>G44*(1-IFERROR(VLOOKUP(F44,'enter the discount'!$D$10:$E$40,2,FALSE),0))</f>
        <v>3.59</v>
      </c>
      <c r="I44" s="35" t="s">
        <v>2593</v>
      </c>
      <c r="J44" s="33" t="s">
        <v>86</v>
      </c>
      <c r="K44" s="33" t="s">
        <v>2749</v>
      </c>
      <c r="L44">
        <v>100</v>
      </c>
      <c r="M44">
        <v>7200</v>
      </c>
      <c r="N44" t="s">
        <v>2755</v>
      </c>
      <c r="O44" s="34" t="str">
        <f>HYPERLINK("https://b2b.kobi.pl/pl/product/9566,zarowka-led-gu10-7w-4000k-kobi-premium?currency=PLN")</f>
        <v>https://b2b.kobi.pl/pl/product/9566,zarowka-led-gu10-7w-4000k-kobi-premium?currency=PLN</v>
      </c>
      <c r="P44" s="34" t="str">
        <f>HYPERLINK("https://eprel.ec.europa.eu/qr/660106")</f>
        <v>https://eprel.ec.europa.eu/qr/660106</v>
      </c>
      <c r="Q44"/>
    </row>
    <row r="45" spans="1:17" ht="14.4" x14ac:dyDescent="0.3">
      <c r="A45" t="s">
        <v>9</v>
      </c>
      <c r="B45" t="s">
        <v>859</v>
      </c>
      <c r="C45" t="s">
        <v>885</v>
      </c>
      <c r="D45" t="s">
        <v>947</v>
      </c>
      <c r="E45" t="s">
        <v>948</v>
      </c>
      <c r="F45" t="s">
        <v>832</v>
      </c>
      <c r="G45" s="35">
        <v>3.59</v>
      </c>
      <c r="H45" s="33">
        <f>G45*(1-IFERROR(VLOOKUP(F45,'enter the discount'!$D$10:$E$40,2,FALSE),0))</f>
        <v>3.59</v>
      </c>
      <c r="I45" s="35" t="s">
        <v>2593</v>
      </c>
      <c r="J45" s="33" t="s">
        <v>88</v>
      </c>
      <c r="K45" s="33" t="s">
        <v>2749</v>
      </c>
      <c r="L45">
        <v>100</v>
      </c>
      <c r="M45">
        <v>7200</v>
      </c>
      <c r="N45" t="s">
        <v>2755</v>
      </c>
      <c r="O45" s="34" t="str">
        <f>HYPERLINK("https://b2b.kobi.pl/pl/product/9568,zarowka-led-gu10-7w-6500k-kobi-premium?currency=PLN")</f>
        <v>https://b2b.kobi.pl/pl/product/9568,zarowka-led-gu10-7w-6500k-kobi-premium?currency=PLN</v>
      </c>
      <c r="P45" s="34" t="str">
        <f>HYPERLINK("https://eprel.ec.europa.eu/qr/660149")</f>
        <v>https://eprel.ec.europa.eu/qr/660149</v>
      </c>
      <c r="Q45"/>
    </row>
    <row r="46" spans="1:17" ht="14.4" x14ac:dyDescent="0.3">
      <c r="A46" t="s">
        <v>9</v>
      </c>
      <c r="B46" t="s">
        <v>859</v>
      </c>
      <c r="C46" t="s">
        <v>885</v>
      </c>
      <c r="D46" t="s">
        <v>949</v>
      </c>
      <c r="E46" t="s">
        <v>950</v>
      </c>
      <c r="F46" t="s">
        <v>832</v>
      </c>
      <c r="G46" s="35">
        <v>5.81</v>
      </c>
      <c r="H46" s="33">
        <f>G46*(1-IFERROR(VLOOKUP(F46,'enter the discount'!$D$10:$E$40,2,FALSE),0))</f>
        <v>5.81</v>
      </c>
      <c r="I46" s="35" t="s">
        <v>2594</v>
      </c>
      <c r="J46" s="33" t="s">
        <v>356</v>
      </c>
      <c r="K46" s="33" t="s">
        <v>2749</v>
      </c>
      <c r="L46">
        <v>100</v>
      </c>
      <c r="M46">
        <v>6000</v>
      </c>
      <c r="N46" t="s">
        <v>2754</v>
      </c>
      <c r="O46" s="34" t="str">
        <f>HYPERLINK("https://b2b.kobi.pl/pl/product/9572,zarowka-led-gu10-9w-3000k-kobi-premium?currency=PLN")</f>
        <v>https://b2b.kobi.pl/pl/product/9572,zarowka-led-gu10-9w-3000k-kobi-premium?currency=PLN</v>
      </c>
      <c r="P46" s="34" t="str">
        <f>HYPERLINK("https://eprel.ec.europa.eu/qr/793979")</f>
        <v>https://eprel.ec.europa.eu/qr/793979</v>
      </c>
      <c r="Q46"/>
    </row>
    <row r="47" spans="1:17" ht="14.4" x14ac:dyDescent="0.3">
      <c r="A47" t="s">
        <v>9</v>
      </c>
      <c r="B47" t="s">
        <v>859</v>
      </c>
      <c r="C47" t="s">
        <v>885</v>
      </c>
      <c r="D47" t="s">
        <v>951</v>
      </c>
      <c r="E47" t="s">
        <v>952</v>
      </c>
      <c r="F47" t="s">
        <v>832</v>
      </c>
      <c r="G47" s="35">
        <v>5.81</v>
      </c>
      <c r="H47" s="33">
        <f>G47*(1-IFERROR(VLOOKUP(F47,'enter the discount'!$D$10:$E$40,2,FALSE),0))</f>
        <v>5.81</v>
      </c>
      <c r="I47" s="35" t="s">
        <v>2594</v>
      </c>
      <c r="J47" s="33" t="s">
        <v>355</v>
      </c>
      <c r="K47" s="33" t="s">
        <v>2749</v>
      </c>
      <c r="L47">
        <v>100</v>
      </c>
      <c r="M47">
        <v>6000</v>
      </c>
      <c r="N47" t="s">
        <v>2754</v>
      </c>
      <c r="O47" s="34" t="str">
        <f>HYPERLINK("https://b2b.kobi.pl/pl/product/9573,zarowka-led-gu10-9w-4000k-kobi-premium?currency=PLN")</f>
        <v>https://b2b.kobi.pl/pl/product/9573,zarowka-led-gu10-9w-4000k-kobi-premium?currency=PLN</v>
      </c>
      <c r="P47" s="34" t="str">
        <f>HYPERLINK("https://eprel.ec.europa.eu/qr/794019")</f>
        <v>https://eprel.ec.europa.eu/qr/794019</v>
      </c>
      <c r="Q47"/>
    </row>
    <row r="48" spans="1:17" ht="14.4" x14ac:dyDescent="0.3">
      <c r="A48" t="s">
        <v>9</v>
      </c>
      <c r="B48" t="s">
        <v>859</v>
      </c>
      <c r="C48" t="s">
        <v>885</v>
      </c>
      <c r="D48" t="s">
        <v>953</v>
      </c>
      <c r="E48" t="s">
        <v>954</v>
      </c>
      <c r="F48" t="s">
        <v>832</v>
      </c>
      <c r="G48" s="35">
        <v>5.81</v>
      </c>
      <c r="H48" s="33">
        <f>G48*(1-IFERROR(VLOOKUP(F48,'enter the discount'!$D$10:$E$40,2,FALSE),0))</f>
        <v>5.81</v>
      </c>
      <c r="I48" s="35" t="s">
        <v>2594</v>
      </c>
      <c r="J48" s="33" t="s">
        <v>361</v>
      </c>
      <c r="K48" s="33" t="s">
        <v>2749</v>
      </c>
      <c r="L48">
        <v>100</v>
      </c>
      <c r="M48">
        <v>6000</v>
      </c>
      <c r="N48" t="s">
        <v>2754</v>
      </c>
      <c r="O48" s="34" t="str">
        <f>HYPERLINK("https://b2b.kobi.pl/pl/product/9574,zarowka-led-gu10-9w-6000k-kobi-premium?currency=PLN")</f>
        <v>https://b2b.kobi.pl/pl/product/9574,zarowka-led-gu10-9w-6000k-kobi-premium?currency=PLN</v>
      </c>
      <c r="P48" s="34" t="str">
        <f>HYPERLINK("https://eprel.ec.europa.eu/qr/794024")</f>
        <v>https://eprel.ec.europa.eu/qr/794024</v>
      </c>
      <c r="Q48"/>
    </row>
    <row r="49" spans="1:17" ht="14.4" x14ac:dyDescent="0.3">
      <c r="A49" t="s">
        <v>9</v>
      </c>
      <c r="B49" t="s">
        <v>859</v>
      </c>
      <c r="C49" t="s">
        <v>30</v>
      </c>
      <c r="D49" t="s">
        <v>955</v>
      </c>
      <c r="E49" t="s">
        <v>956</v>
      </c>
      <c r="F49" t="s">
        <v>832</v>
      </c>
      <c r="G49" s="35">
        <v>2.2999999999999998</v>
      </c>
      <c r="H49" s="33">
        <f>G49*(1-IFERROR(VLOOKUP(F49,'enter the discount'!$D$10:$E$40,2,FALSE),0))</f>
        <v>2.2999999999999998</v>
      </c>
      <c r="I49" s="35" t="s">
        <v>2593</v>
      </c>
      <c r="J49" s="33" t="s">
        <v>2606</v>
      </c>
      <c r="K49" s="33" t="s">
        <v>2749</v>
      </c>
      <c r="L49">
        <v>100</v>
      </c>
      <c r="M49">
        <v>5000</v>
      </c>
      <c r="N49" t="s">
        <v>2754</v>
      </c>
      <c r="O49" s="34" t="str">
        <f>HYPERLINK("https://b2b.kobi.pl/pl/product/12253,zarowka-led-gu10-8-5w-3000k-led2b?currency=PLN")</f>
        <v>https://b2b.kobi.pl/pl/product/12253,zarowka-led-gu10-8-5w-3000k-led2b?currency=PLN</v>
      </c>
      <c r="P49" s="34" t="str">
        <f>HYPERLINK("https://eprel.ec.europa.eu/qr/2178052")</f>
        <v>https://eprel.ec.europa.eu/qr/2178052</v>
      </c>
      <c r="Q49"/>
    </row>
    <row r="50" spans="1:17" ht="14.4" x14ac:dyDescent="0.3">
      <c r="A50" t="s">
        <v>9</v>
      </c>
      <c r="B50" t="s">
        <v>859</v>
      </c>
      <c r="C50" t="s">
        <v>30</v>
      </c>
      <c r="D50" t="s">
        <v>957</v>
      </c>
      <c r="E50" t="s">
        <v>958</v>
      </c>
      <c r="F50" t="s">
        <v>832</v>
      </c>
      <c r="G50" s="35">
        <v>2.2999999999999998</v>
      </c>
      <c r="H50" s="33">
        <f>G50*(1-IFERROR(VLOOKUP(F50,'enter the discount'!$D$10:$E$40,2,FALSE),0))</f>
        <v>2.2999999999999998</v>
      </c>
      <c r="I50" s="35" t="s">
        <v>2593</v>
      </c>
      <c r="J50" s="33" t="s">
        <v>2607</v>
      </c>
      <c r="K50" s="33" t="s">
        <v>2749</v>
      </c>
      <c r="L50">
        <v>100</v>
      </c>
      <c r="M50">
        <v>5000</v>
      </c>
      <c r="N50" t="s">
        <v>2754</v>
      </c>
      <c r="O50" s="34" t="str">
        <f>HYPERLINK("https://b2b.kobi.pl/pl/product/12254,zarowka-led-gu10-8-5w-4000k-led2b?currency=PLN")</f>
        <v>https://b2b.kobi.pl/pl/product/12254,zarowka-led-gu10-8-5w-4000k-led2b?currency=PLN</v>
      </c>
      <c r="P50" s="34" t="str">
        <f>HYPERLINK("https://eprel.ec.europa.eu/qr/2178058")</f>
        <v>https://eprel.ec.europa.eu/qr/2178058</v>
      </c>
      <c r="Q50"/>
    </row>
    <row r="51" spans="1:17" ht="14.4" x14ac:dyDescent="0.3">
      <c r="A51" t="s">
        <v>9</v>
      </c>
      <c r="B51" t="s">
        <v>859</v>
      </c>
      <c r="C51" t="s">
        <v>30</v>
      </c>
      <c r="D51" t="s">
        <v>959</v>
      </c>
      <c r="E51" t="s">
        <v>960</v>
      </c>
      <c r="F51" t="s">
        <v>832</v>
      </c>
      <c r="G51" s="35">
        <v>2.2999999999999998</v>
      </c>
      <c r="H51" s="33">
        <f>G51*(1-IFERROR(VLOOKUP(F51,'enter the discount'!$D$10:$E$40,2,FALSE),0))</f>
        <v>2.2999999999999998</v>
      </c>
      <c r="I51" s="35" t="s">
        <v>2593</v>
      </c>
      <c r="J51" s="33" t="s">
        <v>2608</v>
      </c>
      <c r="K51" s="33" t="s">
        <v>2749</v>
      </c>
      <c r="L51">
        <v>100</v>
      </c>
      <c r="M51">
        <v>5000</v>
      </c>
      <c r="N51" t="s">
        <v>2754</v>
      </c>
      <c r="O51" s="34" t="str">
        <f>HYPERLINK("https://b2b.kobi.pl/pl/product/12255,zarowka-led-gu10-8-5w-6500k-led2b?currency=PLN")</f>
        <v>https://b2b.kobi.pl/pl/product/12255,zarowka-led-gu10-8-5w-6500k-led2b?currency=PLN</v>
      </c>
      <c r="P51" s="34" t="str">
        <f>HYPERLINK("https://eprel.ec.europa.eu/qr/2178065")</f>
        <v>https://eprel.ec.europa.eu/qr/2178065</v>
      </c>
      <c r="Q51"/>
    </row>
    <row r="52" spans="1:17" ht="14.4" x14ac:dyDescent="0.3">
      <c r="A52" t="s">
        <v>9</v>
      </c>
      <c r="B52" t="s">
        <v>859</v>
      </c>
      <c r="C52" t="s">
        <v>910</v>
      </c>
      <c r="D52" t="s">
        <v>961</v>
      </c>
      <c r="E52" t="s">
        <v>962</v>
      </c>
      <c r="F52" t="s">
        <v>832</v>
      </c>
      <c r="G52" s="35">
        <v>4.3600000000000003</v>
      </c>
      <c r="H52" s="33">
        <f>G52*(1-IFERROR(VLOOKUP(F52,'enter the discount'!$D$10:$E$40,2,FALSE),0))</f>
        <v>4.3600000000000003</v>
      </c>
      <c r="I52" s="35" t="s">
        <v>2594</v>
      </c>
      <c r="J52" s="33" t="s">
        <v>473</v>
      </c>
      <c r="K52" s="33" t="s">
        <v>2749</v>
      </c>
      <c r="L52">
        <v>500</v>
      </c>
      <c r="M52"/>
      <c r="N52" t="s">
        <v>2754</v>
      </c>
      <c r="O52" s="34" t="str">
        <f>HYPERLINK("https://b2b.kobi.pl/pl/product/9498,zarowka-led-g9-3w-3000k-kobi?currency=PLN")</f>
        <v>https://b2b.kobi.pl/pl/product/9498,zarowka-led-g9-3w-3000k-kobi?currency=PLN</v>
      </c>
      <c r="P52" s="34" t="str">
        <f>HYPERLINK("https://eprel.ec.europa.eu/qr/1682098")</f>
        <v>https://eprel.ec.europa.eu/qr/1682098</v>
      </c>
      <c r="Q52"/>
    </row>
    <row r="53" spans="1:17" ht="14.4" x14ac:dyDescent="0.3">
      <c r="A53" t="s">
        <v>9</v>
      </c>
      <c r="B53" t="s">
        <v>859</v>
      </c>
      <c r="C53" t="s">
        <v>910</v>
      </c>
      <c r="D53" t="s">
        <v>961</v>
      </c>
      <c r="E53" t="s">
        <v>963</v>
      </c>
      <c r="F53" t="s">
        <v>832</v>
      </c>
      <c r="G53" s="35">
        <v>4.3600000000000003</v>
      </c>
      <c r="H53" s="33">
        <f>G53*(1-IFERROR(VLOOKUP(F53,'enter the discount'!$D$10:$E$40,2,FALSE),0))</f>
        <v>4.3600000000000003</v>
      </c>
      <c r="I53" s="35" t="s">
        <v>2594</v>
      </c>
      <c r="J53" s="33" t="s">
        <v>474</v>
      </c>
      <c r="K53" s="33" t="s">
        <v>2749</v>
      </c>
      <c r="L53">
        <v>500</v>
      </c>
      <c r="M53"/>
      <c r="N53" t="s">
        <v>2754</v>
      </c>
      <c r="O53" s="34" t="str">
        <f>HYPERLINK("https://b2b.kobi.pl/pl/product/9499,zarowka-led-g9-3w-4000k-kobi?currency=PLN")</f>
        <v>https://b2b.kobi.pl/pl/product/9499,zarowka-led-g9-3w-4000k-kobi?currency=PLN</v>
      </c>
      <c r="P53" s="34" t="str">
        <f>HYPERLINK("https://eprel.ec.europa.eu/qr/1682160")</f>
        <v>https://eprel.ec.europa.eu/qr/1682160</v>
      </c>
      <c r="Q53"/>
    </row>
    <row r="54" spans="1:17" ht="14.4" x14ac:dyDescent="0.3">
      <c r="A54" t="s">
        <v>9</v>
      </c>
      <c r="B54" t="s">
        <v>859</v>
      </c>
      <c r="C54" t="s">
        <v>910</v>
      </c>
      <c r="D54" t="s">
        <v>964</v>
      </c>
      <c r="E54" t="s">
        <v>965</v>
      </c>
      <c r="F54" t="s">
        <v>832</v>
      </c>
      <c r="G54" s="35">
        <v>4.3600000000000003</v>
      </c>
      <c r="H54" s="33">
        <f>G54*(1-IFERROR(VLOOKUP(F54,'enter the discount'!$D$10:$E$40,2,FALSE),0))</f>
        <v>4.3600000000000003</v>
      </c>
      <c r="I54" s="35" t="s">
        <v>2594</v>
      </c>
      <c r="J54" s="33" t="s">
        <v>475</v>
      </c>
      <c r="K54" s="33" t="s">
        <v>2749</v>
      </c>
      <c r="L54">
        <v>500</v>
      </c>
      <c r="M54"/>
      <c r="N54" t="s">
        <v>2754</v>
      </c>
      <c r="O54" s="34" t="str">
        <f>HYPERLINK("https://b2b.kobi.pl/pl/product/9500,zarowka-led-g9-3w-6000k-kobi?currency=PLN")</f>
        <v>https://b2b.kobi.pl/pl/product/9500,zarowka-led-g9-3w-6000k-kobi?currency=PLN</v>
      </c>
      <c r="P54" s="34" t="str">
        <f>HYPERLINK("https://eprel.ec.europa.eu/qr/1682294")</f>
        <v>https://eprel.ec.europa.eu/qr/1682294</v>
      </c>
      <c r="Q54"/>
    </row>
    <row r="55" spans="1:17" ht="14.4" x14ac:dyDescent="0.3">
      <c r="A55" t="s">
        <v>9</v>
      </c>
      <c r="B55" t="s">
        <v>859</v>
      </c>
      <c r="C55" t="s">
        <v>910</v>
      </c>
      <c r="D55" t="s">
        <v>966</v>
      </c>
      <c r="E55" t="s">
        <v>967</v>
      </c>
      <c r="F55" t="s">
        <v>832</v>
      </c>
      <c r="G55" s="35">
        <v>3.9</v>
      </c>
      <c r="H55" s="33">
        <f>G55*(1-IFERROR(VLOOKUP(F55,'enter the discount'!$D$10:$E$40,2,FALSE),0))</f>
        <v>3.9</v>
      </c>
      <c r="I55" s="35" t="s">
        <v>2593</v>
      </c>
      <c r="J55" s="33" t="s">
        <v>42</v>
      </c>
      <c r="K55" s="33" t="s">
        <v>2749</v>
      </c>
      <c r="L55">
        <v>100</v>
      </c>
      <c r="M55">
        <v>6600</v>
      </c>
      <c r="N55" t="s">
        <v>2754</v>
      </c>
      <c r="O55" s="34" t="str">
        <f>HYPERLINK("https://b2b.kobi.pl/pl/product/9501,zarowka-led-g9-4w-3000k-kobi?currency=PLN")</f>
        <v>https://b2b.kobi.pl/pl/product/9501,zarowka-led-g9-4w-3000k-kobi?currency=PLN</v>
      </c>
      <c r="P55" s="34" t="str">
        <f>HYPERLINK("https://eprel.ec.europa.eu/qr/659766")</f>
        <v>https://eprel.ec.europa.eu/qr/659766</v>
      </c>
      <c r="Q55"/>
    </row>
    <row r="56" spans="1:17" ht="14.4" x14ac:dyDescent="0.3">
      <c r="A56" t="s">
        <v>9</v>
      </c>
      <c r="B56" t="s">
        <v>859</v>
      </c>
      <c r="C56" t="s">
        <v>910</v>
      </c>
      <c r="D56" t="s">
        <v>968</v>
      </c>
      <c r="E56" t="s">
        <v>969</v>
      </c>
      <c r="F56" t="s">
        <v>832</v>
      </c>
      <c r="G56" s="35">
        <v>3.9</v>
      </c>
      <c r="H56" s="33">
        <f>G56*(1-IFERROR(VLOOKUP(F56,'enter the discount'!$D$10:$E$40,2,FALSE),0))</f>
        <v>3.9</v>
      </c>
      <c r="I56" s="35" t="s">
        <v>2593</v>
      </c>
      <c r="J56" s="33" t="s">
        <v>43</v>
      </c>
      <c r="K56" s="33" t="s">
        <v>2749</v>
      </c>
      <c r="L56">
        <v>100</v>
      </c>
      <c r="M56">
        <v>6600</v>
      </c>
      <c r="N56" t="s">
        <v>2754</v>
      </c>
      <c r="O56" s="34" t="str">
        <f>HYPERLINK("https://b2b.kobi.pl/pl/product/9502,zarowka-led-g9-4w-4000k-kobi?currency=PLN")</f>
        <v>https://b2b.kobi.pl/pl/product/9502,zarowka-led-g9-4w-4000k-kobi?currency=PLN</v>
      </c>
      <c r="P56" s="34" t="str">
        <f>HYPERLINK("https://eprel.ec.europa.eu/qr/659773")</f>
        <v>https://eprel.ec.europa.eu/qr/659773</v>
      </c>
      <c r="Q56"/>
    </row>
    <row r="57" spans="1:17" ht="14.4" x14ac:dyDescent="0.3">
      <c r="A57" t="s">
        <v>9</v>
      </c>
      <c r="B57" t="s">
        <v>859</v>
      </c>
      <c r="C57" t="s">
        <v>910</v>
      </c>
      <c r="D57" t="s">
        <v>970</v>
      </c>
      <c r="E57" t="s">
        <v>971</v>
      </c>
      <c r="F57" t="s">
        <v>832</v>
      </c>
      <c r="G57" s="35">
        <v>3.9</v>
      </c>
      <c r="H57" s="33">
        <f>G57*(1-IFERROR(VLOOKUP(F57,'enter the discount'!$D$10:$E$40,2,FALSE),0))</f>
        <v>3.9</v>
      </c>
      <c r="I57" s="35" t="s">
        <v>2593</v>
      </c>
      <c r="J57" s="33" t="s">
        <v>44</v>
      </c>
      <c r="K57" s="33" t="s">
        <v>2749</v>
      </c>
      <c r="L57">
        <v>100</v>
      </c>
      <c r="M57">
        <v>3000</v>
      </c>
      <c r="N57" t="s">
        <v>2754</v>
      </c>
      <c r="O57" s="34" t="str">
        <f>HYPERLINK("https://b2b.kobi.pl/pl/product/9503,zarowka-led-g9-4w-6000k-kobi?currency=PLN")</f>
        <v>https://b2b.kobi.pl/pl/product/9503,zarowka-led-g9-4w-6000k-kobi?currency=PLN</v>
      </c>
      <c r="P57" s="34" t="str">
        <f>HYPERLINK("https://eprel.ec.europa.eu/qr/659777")</f>
        <v>https://eprel.ec.europa.eu/qr/659777</v>
      </c>
      <c r="Q57"/>
    </row>
    <row r="58" spans="1:17" ht="14.4" x14ac:dyDescent="0.3">
      <c r="A58" t="s">
        <v>9</v>
      </c>
      <c r="B58" t="s">
        <v>859</v>
      </c>
      <c r="C58" t="s">
        <v>910</v>
      </c>
      <c r="D58" t="s">
        <v>972</v>
      </c>
      <c r="E58" t="s">
        <v>973</v>
      </c>
      <c r="F58" t="s">
        <v>832</v>
      </c>
      <c r="G58" s="35">
        <v>5.3</v>
      </c>
      <c r="H58" s="33">
        <f>G58*(1-IFERROR(VLOOKUP(F58,'enter the discount'!$D$10:$E$40,2,FALSE),0))</f>
        <v>5.3</v>
      </c>
      <c r="I58" s="35" t="s">
        <v>2593</v>
      </c>
      <c r="J58" s="33" t="s">
        <v>45</v>
      </c>
      <c r="K58" s="33" t="s">
        <v>2749</v>
      </c>
      <c r="L58">
        <v>200</v>
      </c>
      <c r="M58"/>
      <c r="N58" t="s">
        <v>2754</v>
      </c>
      <c r="O58" s="34" t="str">
        <f>HYPERLINK("https://b2b.kobi.pl/pl/product/9504,zarowka-led-g9-6w-3000k-kobi?currency=PLN")</f>
        <v>https://b2b.kobi.pl/pl/product/9504,zarowka-led-g9-6w-3000k-kobi?currency=PLN</v>
      </c>
      <c r="P58" s="34" t="str">
        <f>HYPERLINK("https://eprel.ec.europa.eu/qr/659786")</f>
        <v>https://eprel.ec.europa.eu/qr/659786</v>
      </c>
      <c r="Q58"/>
    </row>
    <row r="59" spans="1:17" ht="14.4" x14ac:dyDescent="0.3">
      <c r="A59" t="s">
        <v>9</v>
      </c>
      <c r="B59" t="s">
        <v>859</v>
      </c>
      <c r="C59" t="s">
        <v>910</v>
      </c>
      <c r="D59" t="s">
        <v>974</v>
      </c>
      <c r="E59" t="s">
        <v>975</v>
      </c>
      <c r="F59" t="s">
        <v>832</v>
      </c>
      <c r="G59" s="35">
        <v>5.3</v>
      </c>
      <c r="H59" s="33">
        <f>G59*(1-IFERROR(VLOOKUP(F59,'enter the discount'!$D$10:$E$40,2,FALSE),0))</f>
        <v>5.3</v>
      </c>
      <c r="I59" s="35" t="s">
        <v>2593</v>
      </c>
      <c r="J59" s="33" t="s">
        <v>46</v>
      </c>
      <c r="K59" s="33" t="s">
        <v>2749</v>
      </c>
      <c r="L59">
        <v>200</v>
      </c>
      <c r="M59">
        <v>13200</v>
      </c>
      <c r="N59" t="s">
        <v>2754</v>
      </c>
      <c r="O59" s="34" t="str">
        <f>HYPERLINK("https://b2b.kobi.pl/pl/product/9505,zarowka-led-g9-6w-4000k-kobi?currency=PLN")</f>
        <v>https://b2b.kobi.pl/pl/product/9505,zarowka-led-g9-6w-4000k-kobi?currency=PLN</v>
      </c>
      <c r="P59" s="34" t="str">
        <f>HYPERLINK("https://eprel.ec.europa.eu/qr/659804")</f>
        <v>https://eprel.ec.europa.eu/qr/659804</v>
      </c>
      <c r="Q59"/>
    </row>
    <row r="60" spans="1:17" ht="14.4" x14ac:dyDescent="0.3">
      <c r="A60" t="s">
        <v>9</v>
      </c>
      <c r="B60" t="s">
        <v>859</v>
      </c>
      <c r="C60" t="s">
        <v>910</v>
      </c>
      <c r="D60" t="s">
        <v>976</v>
      </c>
      <c r="E60" t="s">
        <v>977</v>
      </c>
      <c r="F60" t="s">
        <v>832</v>
      </c>
      <c r="G60" s="35">
        <v>5.3</v>
      </c>
      <c r="H60" s="33">
        <f>G60*(1-IFERROR(VLOOKUP(F60,'enter the discount'!$D$10:$E$40,2,FALSE),0))</f>
        <v>5.3</v>
      </c>
      <c r="I60" s="35" t="s">
        <v>2593</v>
      </c>
      <c r="J60" s="33" t="s">
        <v>47</v>
      </c>
      <c r="K60" s="33" t="s">
        <v>2749</v>
      </c>
      <c r="L60">
        <v>200</v>
      </c>
      <c r="M60"/>
      <c r="N60" t="s">
        <v>2754</v>
      </c>
      <c r="O60" s="34" t="str">
        <f>HYPERLINK("https://b2b.kobi.pl/pl/product/9506,zarowka-led-g9-6w-6000k-kobi?currency=PLN")</f>
        <v>https://b2b.kobi.pl/pl/product/9506,zarowka-led-g9-6w-6000k-kobi?currency=PLN</v>
      </c>
      <c r="P60" s="34" t="str">
        <f>HYPERLINK("https://eprel.ec.europa.eu/qr/659806")</f>
        <v>https://eprel.ec.europa.eu/qr/659806</v>
      </c>
      <c r="Q60"/>
    </row>
    <row r="61" spans="1:17" ht="14.4" x14ac:dyDescent="0.3">
      <c r="A61" t="s">
        <v>9</v>
      </c>
      <c r="B61" t="s">
        <v>859</v>
      </c>
      <c r="C61" t="s">
        <v>910</v>
      </c>
      <c r="D61" t="s">
        <v>978</v>
      </c>
      <c r="E61" t="s">
        <v>979</v>
      </c>
      <c r="F61" t="s">
        <v>832</v>
      </c>
      <c r="G61" s="35">
        <v>3.68</v>
      </c>
      <c r="H61" s="33">
        <f>G61*(1-IFERROR(VLOOKUP(F61,'enter the discount'!$D$10:$E$40,2,FALSE),0))</f>
        <v>3.68</v>
      </c>
      <c r="I61" s="35" t="s">
        <v>2593</v>
      </c>
      <c r="J61" s="33" t="s">
        <v>443</v>
      </c>
      <c r="K61" s="33" t="s">
        <v>2749</v>
      </c>
      <c r="L61">
        <v>100</v>
      </c>
      <c r="M61"/>
      <c r="N61" t="s">
        <v>2754</v>
      </c>
      <c r="O61" s="34" t="str">
        <f>HYPERLINK("https://b2b.kobi.pl/pl/product/9489,zarowka-led-g4-1-5w-3000k-kobi?currency=PLN")</f>
        <v>https://b2b.kobi.pl/pl/product/9489,zarowka-led-g4-1-5w-3000k-kobi?currency=PLN</v>
      </c>
      <c r="P61" s="34" t="str">
        <f>HYPERLINK("https://eprel.ec.europa.eu/qr/996106")</f>
        <v>https://eprel.ec.europa.eu/qr/996106</v>
      </c>
      <c r="Q61"/>
    </row>
    <row r="62" spans="1:17" ht="14.4" x14ac:dyDescent="0.3">
      <c r="A62" t="s">
        <v>9</v>
      </c>
      <c r="B62" t="s">
        <v>859</v>
      </c>
      <c r="C62" t="s">
        <v>910</v>
      </c>
      <c r="D62" t="s">
        <v>980</v>
      </c>
      <c r="E62" t="s">
        <v>981</v>
      </c>
      <c r="F62" t="s">
        <v>832</v>
      </c>
      <c r="G62" s="35">
        <v>3.68</v>
      </c>
      <c r="H62" s="33">
        <f>G62*(1-IFERROR(VLOOKUP(F62,'enter the discount'!$D$10:$E$40,2,FALSE),0))</f>
        <v>3.68</v>
      </c>
      <c r="I62" s="35" t="s">
        <v>2593</v>
      </c>
      <c r="J62" s="33" t="s">
        <v>440</v>
      </c>
      <c r="K62" s="33" t="s">
        <v>2749</v>
      </c>
      <c r="L62">
        <v>100</v>
      </c>
      <c r="M62"/>
      <c r="N62" t="s">
        <v>2754</v>
      </c>
      <c r="O62" s="34" t="str">
        <f>HYPERLINK("https://b2b.kobi.pl/pl/product/9490,zarowka-led-g4-1-5w-4000k-kobi?currency=PLN")</f>
        <v>https://b2b.kobi.pl/pl/product/9490,zarowka-led-g4-1-5w-4000k-kobi?currency=PLN</v>
      </c>
      <c r="P62" s="34" t="str">
        <f>HYPERLINK("https://eprel.ec.europa.eu/qr/996107")</f>
        <v>https://eprel.ec.europa.eu/qr/996107</v>
      </c>
      <c r="Q62"/>
    </row>
    <row r="63" spans="1:17" ht="14.4" x14ac:dyDescent="0.3">
      <c r="A63" t="s">
        <v>9</v>
      </c>
      <c r="B63" t="s">
        <v>859</v>
      </c>
      <c r="C63" t="s">
        <v>910</v>
      </c>
      <c r="D63" t="s">
        <v>982</v>
      </c>
      <c r="E63" t="s">
        <v>983</v>
      </c>
      <c r="F63" t="s">
        <v>832</v>
      </c>
      <c r="G63" s="35">
        <v>4.1399999999999997</v>
      </c>
      <c r="H63" s="33">
        <f>G63*(1-IFERROR(VLOOKUP(F63,'enter the discount'!$D$10:$E$40,2,FALSE),0))</f>
        <v>4.1399999999999997</v>
      </c>
      <c r="I63" s="35" t="s">
        <v>2593</v>
      </c>
      <c r="J63" s="33" t="s">
        <v>390</v>
      </c>
      <c r="K63" s="33" t="s">
        <v>2749</v>
      </c>
      <c r="L63">
        <v>100</v>
      </c>
      <c r="M63"/>
      <c r="N63" t="s">
        <v>2754</v>
      </c>
      <c r="O63" s="34" t="str">
        <f>HYPERLINK("https://b2b.kobi.pl/pl/product/9495,zarowka-led-g4-2w-3000k-kobi?currency=PLN")</f>
        <v>https://b2b.kobi.pl/pl/product/9495,zarowka-led-g4-2w-3000k-kobi?currency=PLN</v>
      </c>
      <c r="P63" s="34" t="str">
        <f>HYPERLINK("https://eprel.ec.europa.eu/qr/816926")</f>
        <v>https://eprel.ec.europa.eu/qr/816926</v>
      </c>
      <c r="Q63"/>
    </row>
    <row r="64" spans="1:17" ht="14.4" x14ac:dyDescent="0.3">
      <c r="A64" t="s">
        <v>9</v>
      </c>
      <c r="B64" t="s">
        <v>859</v>
      </c>
      <c r="C64" t="s">
        <v>910</v>
      </c>
      <c r="D64" t="s">
        <v>984</v>
      </c>
      <c r="E64" t="s">
        <v>985</v>
      </c>
      <c r="F64" t="s">
        <v>832</v>
      </c>
      <c r="G64" s="35">
        <v>4.1399999999999997</v>
      </c>
      <c r="H64" s="33">
        <f>G64*(1-IFERROR(VLOOKUP(F64,'enter the discount'!$D$10:$E$40,2,FALSE),0))</f>
        <v>4.1399999999999997</v>
      </c>
      <c r="I64" s="35" t="s">
        <v>2593</v>
      </c>
      <c r="J64" s="33" t="s">
        <v>391</v>
      </c>
      <c r="K64" s="33" t="s">
        <v>2749</v>
      </c>
      <c r="L64">
        <v>100</v>
      </c>
      <c r="M64"/>
      <c r="N64" t="s">
        <v>2754</v>
      </c>
      <c r="O64" s="34" t="str">
        <f>HYPERLINK("https://b2b.kobi.pl/pl/product/9496,zarowka-led-g4-2w-4000k-kobi?currency=PLN")</f>
        <v>https://b2b.kobi.pl/pl/product/9496,zarowka-led-g4-2w-4000k-kobi?currency=PLN</v>
      </c>
      <c r="P64" s="34" t="str">
        <f>HYPERLINK("https://eprel.ec.europa.eu/qr/816995")</f>
        <v>https://eprel.ec.europa.eu/qr/816995</v>
      </c>
      <c r="Q64"/>
    </row>
    <row r="65" spans="1:17" ht="14.4" x14ac:dyDescent="0.3">
      <c r="A65" t="s">
        <v>9</v>
      </c>
      <c r="B65" t="s">
        <v>859</v>
      </c>
      <c r="C65" t="s">
        <v>910</v>
      </c>
      <c r="D65" t="s">
        <v>986</v>
      </c>
      <c r="E65" t="s">
        <v>987</v>
      </c>
      <c r="F65" t="s">
        <v>832</v>
      </c>
      <c r="G65" s="35">
        <v>4.2300000000000004</v>
      </c>
      <c r="H65" s="33">
        <f>G65*(1-IFERROR(VLOOKUP(F65,'enter the discount'!$D$10:$E$40,2,FALSE),0))</f>
        <v>4.2300000000000004</v>
      </c>
      <c r="I65" s="35" t="s">
        <v>2593</v>
      </c>
      <c r="J65" s="33" t="s">
        <v>113</v>
      </c>
      <c r="K65" s="33" t="s">
        <v>2749</v>
      </c>
      <c r="L65">
        <v>100</v>
      </c>
      <c r="M65"/>
      <c r="N65" t="s">
        <v>2754</v>
      </c>
      <c r="O65" s="34" t="str">
        <f>HYPERLINK("https://b2b.kobi.pl/pl/product/9659,zarowka-led-mr11-4w-gu10-3000k-kobi?currency=PLN")</f>
        <v>https://b2b.kobi.pl/pl/product/9659,zarowka-led-mr11-4w-gu10-3000k-kobi?currency=PLN</v>
      </c>
      <c r="P65" s="34" t="str">
        <f>HYPERLINK("https://eprel.ec.europa.eu/qr/660632")</f>
        <v>https://eprel.ec.europa.eu/qr/660632</v>
      </c>
      <c r="Q65"/>
    </row>
    <row r="66" spans="1:17" ht="14.4" x14ac:dyDescent="0.3">
      <c r="A66" t="s">
        <v>9</v>
      </c>
      <c r="B66" t="s">
        <v>859</v>
      </c>
      <c r="C66" t="s">
        <v>910</v>
      </c>
      <c r="D66" t="s">
        <v>988</v>
      </c>
      <c r="E66" t="s">
        <v>989</v>
      </c>
      <c r="F66" t="s">
        <v>832</v>
      </c>
      <c r="G66" s="35">
        <v>4.2300000000000004</v>
      </c>
      <c r="H66" s="33">
        <f>G66*(1-IFERROR(VLOOKUP(F66,'enter the discount'!$D$10:$E$40,2,FALSE),0))</f>
        <v>4.2300000000000004</v>
      </c>
      <c r="I66" s="35" t="s">
        <v>2593</v>
      </c>
      <c r="J66" s="33" t="s">
        <v>114</v>
      </c>
      <c r="K66" s="33" t="s">
        <v>2749</v>
      </c>
      <c r="L66">
        <v>100</v>
      </c>
      <c r="M66"/>
      <c r="N66" t="s">
        <v>2754</v>
      </c>
      <c r="O66" s="34" t="str">
        <f>HYPERLINK("https://b2b.kobi.pl/pl/product/9660,zarowka-led-mr11-4w-gu10-4000k-kobi?currency=PLN")</f>
        <v>https://b2b.kobi.pl/pl/product/9660,zarowka-led-mr11-4w-gu10-4000k-kobi?currency=PLN</v>
      </c>
      <c r="P66" s="34" t="str">
        <f>HYPERLINK("https://eprel.ec.europa.eu/qr/660634")</f>
        <v>https://eprel.ec.europa.eu/qr/660634</v>
      </c>
      <c r="Q66"/>
    </row>
    <row r="67" spans="1:17" ht="14.4" x14ac:dyDescent="0.3">
      <c r="A67" t="s">
        <v>9</v>
      </c>
      <c r="B67" t="s">
        <v>859</v>
      </c>
      <c r="C67" t="s">
        <v>910</v>
      </c>
      <c r="D67" t="s">
        <v>990</v>
      </c>
      <c r="E67" t="s">
        <v>991</v>
      </c>
      <c r="F67" t="s">
        <v>832</v>
      </c>
      <c r="G67" s="35">
        <v>4.2300000000000004</v>
      </c>
      <c r="H67" s="33">
        <f>G67*(1-IFERROR(VLOOKUP(F67,'enter the discount'!$D$10:$E$40,2,FALSE),0))</f>
        <v>4.2300000000000004</v>
      </c>
      <c r="I67" s="35" t="s">
        <v>2593</v>
      </c>
      <c r="J67" s="33" t="s">
        <v>115</v>
      </c>
      <c r="K67" s="33" t="s">
        <v>2749</v>
      </c>
      <c r="L67">
        <v>100</v>
      </c>
      <c r="M67"/>
      <c r="N67" t="s">
        <v>2754</v>
      </c>
      <c r="O67" s="34" t="str">
        <f>HYPERLINK("https://b2b.kobi.pl/pl/product/9661,zarowka-led-mr11-4w-gu10-6000k-kobi?currency=PLN")</f>
        <v>https://b2b.kobi.pl/pl/product/9661,zarowka-led-mr11-4w-gu10-6000k-kobi?currency=PLN</v>
      </c>
      <c r="P67" s="34" t="str">
        <f>HYPERLINK("https://eprel.ec.europa.eu/qr/660638")</f>
        <v>https://eprel.ec.europa.eu/qr/660638</v>
      </c>
      <c r="Q67"/>
    </row>
    <row r="68" spans="1:17" ht="14.4" x14ac:dyDescent="0.3">
      <c r="A68" t="s">
        <v>9</v>
      </c>
      <c r="B68" t="s">
        <v>859</v>
      </c>
      <c r="C68" t="s">
        <v>910</v>
      </c>
      <c r="D68" t="s">
        <v>992</v>
      </c>
      <c r="E68" t="s">
        <v>993</v>
      </c>
      <c r="F68" t="s">
        <v>832</v>
      </c>
      <c r="G68" s="35">
        <v>13.25</v>
      </c>
      <c r="H68" s="33">
        <f>G68*(1-IFERROR(VLOOKUP(F68,'enter the discount'!$D$10:$E$40,2,FALSE),0))</f>
        <v>13.25</v>
      </c>
      <c r="I68" s="35" t="s">
        <v>2594</v>
      </c>
      <c r="J68" s="33" t="s">
        <v>392</v>
      </c>
      <c r="K68" s="33" t="s">
        <v>2749</v>
      </c>
      <c r="L68">
        <v>24</v>
      </c>
      <c r="M68"/>
      <c r="N68" t="s">
        <v>2754</v>
      </c>
      <c r="O68" s="34" t="str">
        <f>HYPERLINK("https://b2b.kobi.pl/pl/product/9586,zarowka-led-j78-8w-r7s-3000k-kobi?currency=PLN")</f>
        <v>https://b2b.kobi.pl/pl/product/9586,zarowka-led-j78-8w-r7s-3000k-kobi?currency=PLN</v>
      </c>
      <c r="P68" s="34" t="str">
        <f>HYPERLINK("https://eprel.ec.europa.eu/qr/1243613")</f>
        <v>https://eprel.ec.europa.eu/qr/1243613</v>
      </c>
      <c r="Q68"/>
    </row>
    <row r="69" spans="1:17" ht="14.4" x14ac:dyDescent="0.3">
      <c r="A69" t="s">
        <v>9</v>
      </c>
      <c r="B69" t="s">
        <v>859</v>
      </c>
      <c r="C69" t="s">
        <v>910</v>
      </c>
      <c r="D69" t="s">
        <v>994</v>
      </c>
      <c r="E69" t="s">
        <v>995</v>
      </c>
      <c r="F69" t="s">
        <v>832</v>
      </c>
      <c r="G69" s="35">
        <v>13.25</v>
      </c>
      <c r="H69" s="33">
        <f>G69*(1-IFERROR(VLOOKUP(F69,'enter the discount'!$D$10:$E$40,2,FALSE),0))</f>
        <v>13.25</v>
      </c>
      <c r="I69" s="35" t="s">
        <v>2594</v>
      </c>
      <c r="J69" s="33" t="s">
        <v>393</v>
      </c>
      <c r="K69" s="33" t="s">
        <v>2749</v>
      </c>
      <c r="L69">
        <v>24</v>
      </c>
      <c r="M69"/>
      <c r="N69" t="s">
        <v>2754</v>
      </c>
      <c r="O69" s="34" t="str">
        <f>HYPERLINK("https://b2b.kobi.pl/pl/product/9587,zarowka-led-j78-8w-r7s-4000k-kobi?currency=PLN")</f>
        <v>https://b2b.kobi.pl/pl/product/9587,zarowka-led-j78-8w-r7s-4000k-kobi?currency=PLN</v>
      </c>
      <c r="P69" s="34" t="str">
        <f>HYPERLINK("https://eprel.ec.europa.eu/qr/1243615")</f>
        <v>https://eprel.ec.europa.eu/qr/1243615</v>
      </c>
      <c r="Q69"/>
    </row>
    <row r="70" spans="1:17" ht="14.4" x14ac:dyDescent="0.3">
      <c r="A70" t="s">
        <v>9</v>
      </c>
      <c r="B70" t="s">
        <v>859</v>
      </c>
      <c r="C70" t="s">
        <v>910</v>
      </c>
      <c r="D70" t="s">
        <v>996</v>
      </c>
      <c r="E70" t="s">
        <v>997</v>
      </c>
      <c r="F70" t="s">
        <v>832</v>
      </c>
      <c r="G70" s="35">
        <v>15.66</v>
      </c>
      <c r="H70" s="33">
        <f>G70*(1-IFERROR(VLOOKUP(F70,'enter the discount'!$D$10:$E$40,2,FALSE),0))</f>
        <v>15.66</v>
      </c>
      <c r="I70" s="35" t="s">
        <v>2594</v>
      </c>
      <c r="J70" s="33" t="s">
        <v>394</v>
      </c>
      <c r="K70" s="33" t="s">
        <v>2749</v>
      </c>
      <c r="L70">
        <v>24</v>
      </c>
      <c r="M70"/>
      <c r="N70" t="s">
        <v>2754</v>
      </c>
      <c r="O70" s="34" t="str">
        <f>HYPERLINK("https://b2b.kobi.pl/pl/product/9583,zarowka-led-j118-15w-r7s-3000k-kobi?currency=PLN")</f>
        <v>https://b2b.kobi.pl/pl/product/9583,zarowka-led-j118-15w-r7s-3000k-kobi?currency=PLN</v>
      </c>
      <c r="P70" s="34" t="str">
        <f>HYPERLINK("https://eprel.ec.europa.eu/qr/1243616")</f>
        <v>https://eprel.ec.europa.eu/qr/1243616</v>
      </c>
      <c r="Q70"/>
    </row>
    <row r="71" spans="1:17" ht="14.4" x14ac:dyDescent="0.3">
      <c r="A71" t="s">
        <v>9</v>
      </c>
      <c r="B71" t="s">
        <v>859</v>
      </c>
      <c r="C71" t="s">
        <v>910</v>
      </c>
      <c r="D71" t="s">
        <v>998</v>
      </c>
      <c r="E71" t="s">
        <v>999</v>
      </c>
      <c r="F71" t="s">
        <v>832</v>
      </c>
      <c r="G71" s="35">
        <v>15.66</v>
      </c>
      <c r="H71" s="33">
        <f>G71*(1-IFERROR(VLOOKUP(F71,'enter the discount'!$D$10:$E$40,2,FALSE),0))</f>
        <v>15.66</v>
      </c>
      <c r="I71" s="35" t="s">
        <v>2594</v>
      </c>
      <c r="J71" s="33" t="s">
        <v>395</v>
      </c>
      <c r="K71" s="33" t="s">
        <v>2749</v>
      </c>
      <c r="L71">
        <v>24</v>
      </c>
      <c r="M71"/>
      <c r="N71" t="s">
        <v>2754</v>
      </c>
      <c r="O71" s="34" t="str">
        <f>HYPERLINK("https://b2b.kobi.pl/pl/product/9584,zarowka-led-j118-15w-r7s-4000k-kobi?currency=PLN")</f>
        <v>https://b2b.kobi.pl/pl/product/9584,zarowka-led-j118-15w-r7s-4000k-kobi?currency=PLN</v>
      </c>
      <c r="P71" s="34" t="str">
        <f>HYPERLINK("https://eprel.ec.europa.eu/qr/1243618")</f>
        <v>https://eprel.ec.europa.eu/qr/1243618</v>
      </c>
      <c r="Q71"/>
    </row>
    <row r="72" spans="1:17" ht="14.4" x14ac:dyDescent="0.3">
      <c r="A72" t="s">
        <v>9</v>
      </c>
      <c r="B72" t="s">
        <v>859</v>
      </c>
      <c r="C72" t="s">
        <v>910</v>
      </c>
      <c r="D72" t="s">
        <v>1000</v>
      </c>
      <c r="E72" t="s">
        <v>1001</v>
      </c>
      <c r="F72" t="s">
        <v>832</v>
      </c>
      <c r="G72" s="35">
        <v>13.49</v>
      </c>
      <c r="H72" s="33">
        <f>G72*(1-IFERROR(VLOOKUP(F72,'enter the discount'!$D$10:$E$40,2,FALSE),0))</f>
        <v>13.49</v>
      </c>
      <c r="I72" s="35" t="s">
        <v>2593</v>
      </c>
      <c r="J72" s="33" t="s">
        <v>31</v>
      </c>
      <c r="K72" s="33" t="s">
        <v>2749</v>
      </c>
      <c r="L72">
        <v>100</v>
      </c>
      <c r="M72"/>
      <c r="N72" t="s">
        <v>2754</v>
      </c>
      <c r="O72" s="34" t="str">
        <f>HYPERLINK("https://b2b.kobi.pl/pl/product/9470,zarowka-led-es111-15w-gu10-4000k-kobi?currency=PLN")</f>
        <v>https://b2b.kobi.pl/pl/product/9470,zarowka-led-es111-15w-gu10-4000k-kobi?currency=PLN</v>
      </c>
      <c r="P72" s="34" t="str">
        <f>HYPERLINK("https://eprel.ec.europa.eu/qr/659606")</f>
        <v>https://eprel.ec.europa.eu/qr/659606</v>
      </c>
      <c r="Q72"/>
    </row>
    <row r="73" spans="1:17" ht="14.4" x14ac:dyDescent="0.3">
      <c r="A73" t="s">
        <v>9</v>
      </c>
      <c r="B73" t="s">
        <v>859</v>
      </c>
      <c r="C73" t="s">
        <v>910</v>
      </c>
      <c r="D73" t="s">
        <v>1002</v>
      </c>
      <c r="E73" t="s">
        <v>1003</v>
      </c>
      <c r="F73" t="s">
        <v>832</v>
      </c>
      <c r="G73" s="35">
        <v>2.17</v>
      </c>
      <c r="H73" s="33">
        <f>G73*(1-IFERROR(VLOOKUP(F73,'enter the discount'!$D$10:$E$40,2,FALSE),0))</f>
        <v>2.17</v>
      </c>
      <c r="I73" s="35" t="s">
        <v>2593</v>
      </c>
      <c r="J73" s="33" t="s">
        <v>50</v>
      </c>
      <c r="K73" s="33" t="s">
        <v>2749</v>
      </c>
      <c r="L73">
        <v>100</v>
      </c>
      <c r="M73">
        <v>2500</v>
      </c>
      <c r="N73" t="s">
        <v>2754</v>
      </c>
      <c r="O73" s="34" t="str">
        <f>HYPERLINK("https://b2b.kobi.pl/pl/product/9527,zarowka-led-gs-7w-e27-3000k-kobi?currency=PLN")</f>
        <v>https://b2b.kobi.pl/pl/product/9527,zarowka-led-gs-7w-e27-3000k-kobi?currency=PLN</v>
      </c>
      <c r="P73" s="34" t="str">
        <f>HYPERLINK("https://eprel.ec.europa.eu/qr/659843")</f>
        <v>https://eprel.ec.europa.eu/qr/659843</v>
      </c>
      <c r="Q73"/>
    </row>
    <row r="74" spans="1:17" ht="14.4" x14ac:dyDescent="0.3">
      <c r="A74" t="s">
        <v>9</v>
      </c>
      <c r="B74" t="s">
        <v>859</v>
      </c>
      <c r="C74" t="s">
        <v>910</v>
      </c>
      <c r="D74" t="s">
        <v>1004</v>
      </c>
      <c r="E74" t="s">
        <v>1005</v>
      </c>
      <c r="F74" t="s">
        <v>832</v>
      </c>
      <c r="G74" s="35">
        <v>2.17</v>
      </c>
      <c r="H74" s="33">
        <f>G74*(1-IFERROR(VLOOKUP(F74,'enter the discount'!$D$10:$E$40,2,FALSE),0))</f>
        <v>2.17</v>
      </c>
      <c r="I74" s="35" t="s">
        <v>2593</v>
      </c>
      <c r="J74" s="33" t="s">
        <v>52</v>
      </c>
      <c r="K74" s="33" t="s">
        <v>2749</v>
      </c>
      <c r="L74">
        <v>100</v>
      </c>
      <c r="M74">
        <v>2500</v>
      </c>
      <c r="N74" t="s">
        <v>2754</v>
      </c>
      <c r="O74" s="34" t="str">
        <f>HYPERLINK("https://b2b.kobi.pl/pl/product/9528,zarowka-led-gs-7w-e27-4000k-kobi?currency=PLN")</f>
        <v>https://b2b.kobi.pl/pl/product/9528,zarowka-led-gs-7w-e27-4000k-kobi?currency=PLN</v>
      </c>
      <c r="P74" s="34" t="str">
        <f>HYPERLINK("https://eprel.ec.europa.eu/qr/659844")</f>
        <v>https://eprel.ec.europa.eu/qr/659844</v>
      </c>
      <c r="Q74"/>
    </row>
    <row r="75" spans="1:17" ht="14.4" x14ac:dyDescent="0.3">
      <c r="A75" t="s">
        <v>9</v>
      </c>
      <c r="B75" t="s">
        <v>859</v>
      </c>
      <c r="C75" t="s">
        <v>910</v>
      </c>
      <c r="D75" t="s">
        <v>1006</v>
      </c>
      <c r="E75" t="s">
        <v>1007</v>
      </c>
      <c r="F75" t="s">
        <v>832</v>
      </c>
      <c r="G75" s="35">
        <v>2.17</v>
      </c>
      <c r="H75" s="33">
        <f>G75*(1-IFERROR(VLOOKUP(F75,'enter the discount'!$D$10:$E$40,2,FALSE),0))</f>
        <v>2.17</v>
      </c>
      <c r="I75" s="35" t="s">
        <v>2593</v>
      </c>
      <c r="J75" s="33" t="s">
        <v>54</v>
      </c>
      <c r="K75" s="33" t="s">
        <v>2749</v>
      </c>
      <c r="L75">
        <v>100</v>
      </c>
      <c r="M75">
        <v>2500</v>
      </c>
      <c r="N75" t="s">
        <v>2754</v>
      </c>
      <c r="O75" s="34" t="str">
        <f>HYPERLINK("https://b2b.kobi.pl/pl/product/9529,zarowka-led-gs-7w-e27-6000k-kobi?currency=PLN")</f>
        <v>https://b2b.kobi.pl/pl/product/9529,zarowka-led-gs-7w-e27-6000k-kobi?currency=PLN</v>
      </c>
      <c r="P75" s="34" t="str">
        <f>HYPERLINK("https://eprel.ec.europa.eu/qr/659846")</f>
        <v>https://eprel.ec.europa.eu/qr/659846</v>
      </c>
      <c r="Q75"/>
    </row>
    <row r="76" spans="1:17" ht="14.4" x14ac:dyDescent="0.3">
      <c r="A76" t="s">
        <v>9</v>
      </c>
      <c r="B76" t="s">
        <v>859</v>
      </c>
      <c r="C76" t="s">
        <v>910</v>
      </c>
      <c r="D76" t="s">
        <v>1008</v>
      </c>
      <c r="E76" t="s">
        <v>1009</v>
      </c>
      <c r="F76" t="s">
        <v>832</v>
      </c>
      <c r="G76" s="35">
        <v>2.36</v>
      </c>
      <c r="H76" s="33">
        <f>G76*(1-IFERROR(VLOOKUP(F76,'enter the discount'!$D$10:$E$40,2,FALSE),0))</f>
        <v>2.36</v>
      </c>
      <c r="I76" s="35" t="s">
        <v>2593</v>
      </c>
      <c r="J76" s="33" t="s">
        <v>59</v>
      </c>
      <c r="K76" s="33" t="s">
        <v>2749</v>
      </c>
      <c r="L76">
        <v>100</v>
      </c>
      <c r="M76">
        <v>2500</v>
      </c>
      <c r="N76" t="s">
        <v>2754</v>
      </c>
      <c r="O76" s="34" t="str">
        <f>HYPERLINK("https://b2b.kobi.pl/pl/product/9508,zarowka-led-gs-10w-e27-3000k-kobi?currency=PLN")</f>
        <v>https://b2b.kobi.pl/pl/product/9508,zarowka-led-gs-10w-e27-3000k-kobi?currency=PLN</v>
      </c>
      <c r="P76" s="34" t="str">
        <f>HYPERLINK("https://eprel.ec.europa.eu/qr/659813")</f>
        <v>https://eprel.ec.europa.eu/qr/659813</v>
      </c>
      <c r="Q76"/>
    </row>
    <row r="77" spans="1:17" ht="14.4" x14ac:dyDescent="0.3">
      <c r="A77" t="s">
        <v>9</v>
      </c>
      <c r="B77" t="s">
        <v>859</v>
      </c>
      <c r="C77" t="s">
        <v>910</v>
      </c>
      <c r="D77" t="s">
        <v>1010</v>
      </c>
      <c r="E77" t="s">
        <v>1011</v>
      </c>
      <c r="F77" t="s">
        <v>832</v>
      </c>
      <c r="G77" s="35">
        <v>2.36</v>
      </c>
      <c r="H77" s="33">
        <f>G77*(1-IFERROR(VLOOKUP(F77,'enter the discount'!$D$10:$E$40,2,FALSE),0))</f>
        <v>2.36</v>
      </c>
      <c r="I77" s="35" t="s">
        <v>2593</v>
      </c>
      <c r="J77" s="33" t="s">
        <v>60</v>
      </c>
      <c r="K77" s="33" t="s">
        <v>2749</v>
      </c>
      <c r="L77">
        <v>100</v>
      </c>
      <c r="M77">
        <v>2500</v>
      </c>
      <c r="N77" t="s">
        <v>2754</v>
      </c>
      <c r="O77" s="34" t="str">
        <f>HYPERLINK("https://b2b.kobi.pl/pl/product/9509,zarowka-led-gs-10w-e27-4000k-kobi?currency=PLN")</f>
        <v>https://b2b.kobi.pl/pl/product/9509,zarowka-led-gs-10w-e27-4000k-kobi?currency=PLN</v>
      </c>
      <c r="P77" s="34" t="str">
        <f>HYPERLINK("https://eprel.ec.europa.eu/qr/659817")</f>
        <v>https://eprel.ec.europa.eu/qr/659817</v>
      </c>
      <c r="Q77"/>
    </row>
    <row r="78" spans="1:17" ht="14.4" x14ac:dyDescent="0.3">
      <c r="A78" t="s">
        <v>9</v>
      </c>
      <c r="B78" t="s">
        <v>859</v>
      </c>
      <c r="C78" t="s">
        <v>910</v>
      </c>
      <c r="D78" t="s">
        <v>1012</v>
      </c>
      <c r="E78" t="s">
        <v>1013</v>
      </c>
      <c r="F78" t="s">
        <v>832</v>
      </c>
      <c r="G78" s="35">
        <v>2.36</v>
      </c>
      <c r="H78" s="33">
        <f>G78*(1-IFERROR(VLOOKUP(F78,'enter the discount'!$D$10:$E$40,2,FALSE),0))</f>
        <v>2.36</v>
      </c>
      <c r="I78" s="35" t="s">
        <v>2593</v>
      </c>
      <c r="J78" s="33" t="s">
        <v>61</v>
      </c>
      <c r="K78" s="33" t="s">
        <v>2749</v>
      </c>
      <c r="L78">
        <v>100</v>
      </c>
      <c r="M78">
        <v>2500</v>
      </c>
      <c r="N78" t="s">
        <v>2754</v>
      </c>
      <c r="O78" s="34" t="str">
        <f>HYPERLINK("https://b2b.kobi.pl/pl/product/9510,zarowka-led-gs-10w-e27-6000k-kobi?currency=PLN")</f>
        <v>https://b2b.kobi.pl/pl/product/9510,zarowka-led-gs-10w-e27-6000k-kobi?currency=PLN</v>
      </c>
      <c r="P78" s="34" t="str">
        <f>HYPERLINK("https://eprel.ec.europa.eu/qr/659818")</f>
        <v>https://eprel.ec.europa.eu/qr/659818</v>
      </c>
      <c r="Q78"/>
    </row>
    <row r="79" spans="1:17" ht="14.4" x14ac:dyDescent="0.3">
      <c r="A79" t="s">
        <v>9</v>
      </c>
      <c r="B79" t="s">
        <v>859</v>
      </c>
      <c r="C79" t="s">
        <v>910</v>
      </c>
      <c r="D79" t="s">
        <v>1014</v>
      </c>
      <c r="E79" t="s">
        <v>1015</v>
      </c>
      <c r="F79" t="s">
        <v>832</v>
      </c>
      <c r="G79" s="35">
        <v>2.69</v>
      </c>
      <c r="H79" s="33">
        <f>G79*(1-IFERROR(VLOOKUP(F79,'enter the discount'!$D$10:$E$40,2,FALSE),0))</f>
        <v>2.69</v>
      </c>
      <c r="I79" s="35" t="s">
        <v>2593</v>
      </c>
      <c r="J79" s="33" t="s">
        <v>62</v>
      </c>
      <c r="K79" s="33" t="s">
        <v>2749</v>
      </c>
      <c r="L79">
        <v>100</v>
      </c>
      <c r="M79">
        <v>2500</v>
      </c>
      <c r="N79" t="s">
        <v>2754</v>
      </c>
      <c r="O79" s="34" t="str">
        <f>HYPERLINK("https://b2b.kobi.pl/pl/product/9515,zarowka-led-gs-13w-e27-3000k-kobi?currency=PLN")</f>
        <v>https://b2b.kobi.pl/pl/product/9515,zarowka-led-gs-13w-e27-3000k-kobi?currency=PLN</v>
      </c>
      <c r="P79" s="34" t="str">
        <f>HYPERLINK("https://eprel.ec.europa.eu/qr/659821")</f>
        <v>https://eprel.ec.europa.eu/qr/659821</v>
      </c>
      <c r="Q79"/>
    </row>
    <row r="80" spans="1:17" ht="14.4" x14ac:dyDescent="0.3">
      <c r="A80" t="s">
        <v>9</v>
      </c>
      <c r="B80" t="s">
        <v>859</v>
      </c>
      <c r="C80" t="s">
        <v>910</v>
      </c>
      <c r="D80" t="s">
        <v>1016</v>
      </c>
      <c r="E80" t="s">
        <v>1017</v>
      </c>
      <c r="F80" t="s">
        <v>832</v>
      </c>
      <c r="G80" s="35">
        <v>2.69</v>
      </c>
      <c r="H80" s="33">
        <f>G80*(1-IFERROR(VLOOKUP(F80,'enter the discount'!$D$10:$E$40,2,FALSE),0))</f>
        <v>2.69</v>
      </c>
      <c r="I80" s="35" t="s">
        <v>2593</v>
      </c>
      <c r="J80" s="33" t="s">
        <v>63</v>
      </c>
      <c r="K80" s="33" t="s">
        <v>2749</v>
      </c>
      <c r="L80">
        <v>100</v>
      </c>
      <c r="M80">
        <v>2500</v>
      </c>
      <c r="N80" t="s">
        <v>2754</v>
      </c>
      <c r="O80" s="34" t="str">
        <f>HYPERLINK("https://b2b.kobi.pl/pl/product/9517,zarowka-led-gs-13w-e27-4000k-kobi?currency=PLN")</f>
        <v>https://b2b.kobi.pl/pl/product/9517,zarowka-led-gs-13w-e27-4000k-kobi?currency=PLN</v>
      </c>
      <c r="P80" s="34" t="str">
        <f>HYPERLINK("https://eprel.ec.europa.eu/qr/659826")</f>
        <v>https://eprel.ec.europa.eu/qr/659826</v>
      </c>
      <c r="Q80"/>
    </row>
    <row r="81" spans="1:17" ht="14.4" x14ac:dyDescent="0.3">
      <c r="A81" t="s">
        <v>9</v>
      </c>
      <c r="B81" t="s">
        <v>859</v>
      </c>
      <c r="C81" t="s">
        <v>910</v>
      </c>
      <c r="D81" t="s">
        <v>1018</v>
      </c>
      <c r="E81" t="s">
        <v>1019</v>
      </c>
      <c r="F81" t="s">
        <v>832</v>
      </c>
      <c r="G81" s="35">
        <v>2.69</v>
      </c>
      <c r="H81" s="33">
        <f>G81*(1-IFERROR(VLOOKUP(F81,'enter the discount'!$D$10:$E$40,2,FALSE),0))</f>
        <v>2.69</v>
      </c>
      <c r="I81" s="35" t="s">
        <v>2593</v>
      </c>
      <c r="J81" s="33" t="s">
        <v>64</v>
      </c>
      <c r="K81" s="33" t="s">
        <v>2749</v>
      </c>
      <c r="L81">
        <v>100</v>
      </c>
      <c r="M81">
        <v>2500</v>
      </c>
      <c r="N81" t="s">
        <v>2754</v>
      </c>
      <c r="O81" s="34" t="str">
        <f>HYPERLINK("https://b2b.kobi.pl/pl/product/9518,zarowka-led-gs-13w-e27-6000k-kobi?currency=PLN")</f>
        <v>https://b2b.kobi.pl/pl/product/9518,zarowka-led-gs-13w-e27-6000k-kobi?currency=PLN</v>
      </c>
      <c r="P81" s="34" t="str">
        <f>HYPERLINK("https://eprel.ec.europa.eu/qr/659831")</f>
        <v>https://eprel.ec.europa.eu/qr/659831</v>
      </c>
      <c r="Q81"/>
    </row>
    <row r="82" spans="1:17" ht="14.4" x14ac:dyDescent="0.3">
      <c r="A82" t="s">
        <v>9</v>
      </c>
      <c r="B82" t="s">
        <v>859</v>
      </c>
      <c r="C82" t="s">
        <v>910</v>
      </c>
      <c r="D82" t="s">
        <v>1020</v>
      </c>
      <c r="E82" t="s">
        <v>1021</v>
      </c>
      <c r="F82" t="s">
        <v>832</v>
      </c>
      <c r="G82" s="35">
        <v>3.68</v>
      </c>
      <c r="H82" s="33">
        <f>G82*(1-IFERROR(VLOOKUP(F82,'enter the discount'!$D$10:$E$40,2,FALSE),0))</f>
        <v>3.68</v>
      </c>
      <c r="I82" s="35" t="s">
        <v>2593</v>
      </c>
      <c r="J82" s="33" t="s">
        <v>65</v>
      </c>
      <c r="K82" s="33" t="s">
        <v>2749</v>
      </c>
      <c r="L82">
        <v>100</v>
      </c>
      <c r="M82">
        <v>1500</v>
      </c>
      <c r="N82" t="s">
        <v>2754</v>
      </c>
      <c r="O82" s="34" t="str">
        <f>HYPERLINK("https://b2b.kobi.pl/pl/product/9519,zarowka-led-gs-15w-e27-3000k-kobi?currency=PLN")</f>
        <v>https://b2b.kobi.pl/pl/product/9519,zarowka-led-gs-15w-e27-3000k-kobi?currency=PLN</v>
      </c>
      <c r="P82" s="34" t="str">
        <f>HYPERLINK("https://eprel.ec.europa.eu/qr/659833")</f>
        <v>https://eprel.ec.europa.eu/qr/659833</v>
      </c>
      <c r="Q82"/>
    </row>
    <row r="83" spans="1:17" ht="14.4" x14ac:dyDescent="0.3">
      <c r="A83" t="s">
        <v>9</v>
      </c>
      <c r="B83" t="s">
        <v>859</v>
      </c>
      <c r="C83" t="s">
        <v>910</v>
      </c>
      <c r="D83" t="s">
        <v>1022</v>
      </c>
      <c r="E83" t="s">
        <v>1023</v>
      </c>
      <c r="F83" t="s">
        <v>832</v>
      </c>
      <c r="G83" s="35">
        <v>3.68</v>
      </c>
      <c r="H83" s="33">
        <f>G83*(1-IFERROR(VLOOKUP(F83,'enter the discount'!$D$10:$E$40,2,FALSE),0))</f>
        <v>3.68</v>
      </c>
      <c r="I83" s="35" t="s">
        <v>2593</v>
      </c>
      <c r="J83" s="33" t="s">
        <v>66</v>
      </c>
      <c r="K83" s="33" t="s">
        <v>2749</v>
      </c>
      <c r="L83">
        <v>100</v>
      </c>
      <c r="M83">
        <v>1500</v>
      </c>
      <c r="N83" t="s">
        <v>2754</v>
      </c>
      <c r="O83" s="34" t="str">
        <f>HYPERLINK("https://b2b.kobi.pl/pl/product/9521,zarowka-led-gs-15w-e27-4000k-kobi?currency=PLN")</f>
        <v>https://b2b.kobi.pl/pl/product/9521,zarowka-led-gs-15w-e27-4000k-kobi?currency=PLN</v>
      </c>
      <c r="P83" s="34" t="str">
        <f>HYPERLINK("https://eprel.ec.europa.eu/qr/659834")</f>
        <v>https://eprel.ec.europa.eu/qr/659834</v>
      </c>
      <c r="Q83"/>
    </row>
    <row r="84" spans="1:17" ht="14.4" x14ac:dyDescent="0.3">
      <c r="A84" t="s">
        <v>9</v>
      </c>
      <c r="B84" t="s">
        <v>859</v>
      </c>
      <c r="C84" t="s">
        <v>910</v>
      </c>
      <c r="D84" t="s">
        <v>1024</v>
      </c>
      <c r="E84" t="s">
        <v>1025</v>
      </c>
      <c r="F84" t="s">
        <v>832</v>
      </c>
      <c r="G84" s="35">
        <v>3.68</v>
      </c>
      <c r="H84" s="33">
        <f>G84*(1-IFERROR(VLOOKUP(F84,'enter the discount'!$D$10:$E$40,2,FALSE),0))</f>
        <v>3.68</v>
      </c>
      <c r="I84" s="35" t="s">
        <v>2593</v>
      </c>
      <c r="J84" s="33" t="s">
        <v>67</v>
      </c>
      <c r="K84" s="33" t="s">
        <v>2749</v>
      </c>
      <c r="L84">
        <v>100</v>
      </c>
      <c r="M84">
        <v>1500</v>
      </c>
      <c r="N84" t="s">
        <v>2754</v>
      </c>
      <c r="O84" s="34" t="str">
        <f>HYPERLINK("https://b2b.kobi.pl/pl/product/9523,zarowka-led-gs-15w-e27-6000k-kobi?currency=PLN")</f>
        <v>https://b2b.kobi.pl/pl/product/9523,zarowka-led-gs-15w-e27-6000k-kobi?currency=PLN</v>
      </c>
      <c r="P84" s="34" t="str">
        <f>HYPERLINK("https://eprel.ec.europa.eu/qr/659835")</f>
        <v>https://eprel.ec.europa.eu/qr/659835</v>
      </c>
      <c r="Q84"/>
    </row>
    <row r="85" spans="1:17" ht="14.4" x14ac:dyDescent="0.3">
      <c r="A85" t="s">
        <v>9</v>
      </c>
      <c r="B85" t="s">
        <v>859</v>
      </c>
      <c r="C85" t="s">
        <v>910</v>
      </c>
      <c r="D85" t="s">
        <v>1026</v>
      </c>
      <c r="E85" t="s">
        <v>1027</v>
      </c>
      <c r="F85" t="s">
        <v>832</v>
      </c>
      <c r="G85" s="35">
        <v>5.34</v>
      </c>
      <c r="H85" s="33">
        <f>G85*(1-IFERROR(VLOOKUP(F85,'enter the discount'!$D$10:$E$40,2,FALSE),0))</f>
        <v>5.34</v>
      </c>
      <c r="I85" s="35" t="s">
        <v>2594</v>
      </c>
      <c r="J85" s="33" t="s">
        <v>68</v>
      </c>
      <c r="K85" s="33" t="s">
        <v>2749</v>
      </c>
      <c r="L85">
        <v>100</v>
      </c>
      <c r="M85">
        <v>1500</v>
      </c>
      <c r="N85" t="s">
        <v>2754</v>
      </c>
      <c r="O85" s="34" t="str">
        <f>HYPERLINK("https://b2b.kobi.pl/pl/product/9524,zarowka-led-gs-18w-e27-3000k-kobi?currency=PLN")</f>
        <v>https://b2b.kobi.pl/pl/product/9524,zarowka-led-gs-18w-e27-3000k-kobi?currency=PLN</v>
      </c>
      <c r="P85" s="34" t="str">
        <f>HYPERLINK("https://eprel.ec.europa.eu/qr/659839")</f>
        <v>https://eprel.ec.europa.eu/qr/659839</v>
      </c>
      <c r="Q85"/>
    </row>
    <row r="86" spans="1:17" ht="14.4" x14ac:dyDescent="0.3">
      <c r="A86" t="s">
        <v>9</v>
      </c>
      <c r="B86" t="s">
        <v>859</v>
      </c>
      <c r="C86" t="s">
        <v>910</v>
      </c>
      <c r="D86" t="s">
        <v>1028</v>
      </c>
      <c r="E86" t="s">
        <v>1029</v>
      </c>
      <c r="F86" t="s">
        <v>832</v>
      </c>
      <c r="G86" s="35">
        <v>5.34</v>
      </c>
      <c r="H86" s="33">
        <f>G86*(1-IFERROR(VLOOKUP(F86,'enter the discount'!$D$10:$E$40,2,FALSE),0))</f>
        <v>5.34</v>
      </c>
      <c r="I86" s="35" t="s">
        <v>2594</v>
      </c>
      <c r="J86" s="33" t="s">
        <v>69</v>
      </c>
      <c r="K86" s="33" t="s">
        <v>2749</v>
      </c>
      <c r="L86">
        <v>100</v>
      </c>
      <c r="M86">
        <v>1500</v>
      </c>
      <c r="N86" t="s">
        <v>2754</v>
      </c>
      <c r="O86" s="34" t="str">
        <f>HYPERLINK("https://b2b.kobi.pl/pl/product/9525,zarowka-led-gs-18w-e27-4000k-kobi?currency=PLN")</f>
        <v>https://b2b.kobi.pl/pl/product/9525,zarowka-led-gs-18w-e27-4000k-kobi?currency=PLN</v>
      </c>
      <c r="P86" s="34" t="str">
        <f>HYPERLINK("https://eprel.ec.europa.eu/qr/659840")</f>
        <v>https://eprel.ec.europa.eu/qr/659840</v>
      </c>
      <c r="Q86"/>
    </row>
    <row r="87" spans="1:17" ht="14.4" x14ac:dyDescent="0.3">
      <c r="A87" t="s">
        <v>9</v>
      </c>
      <c r="B87" t="s">
        <v>859</v>
      </c>
      <c r="C87" t="s">
        <v>910</v>
      </c>
      <c r="D87" t="s">
        <v>1030</v>
      </c>
      <c r="E87" t="s">
        <v>1031</v>
      </c>
      <c r="F87" t="s">
        <v>832</v>
      </c>
      <c r="G87" s="35">
        <v>5.34</v>
      </c>
      <c r="H87" s="33">
        <f>G87*(1-IFERROR(VLOOKUP(F87,'enter the discount'!$D$10:$E$40,2,FALSE),0))</f>
        <v>5.34</v>
      </c>
      <c r="I87" s="35" t="s">
        <v>2594</v>
      </c>
      <c r="J87" s="33" t="s">
        <v>70</v>
      </c>
      <c r="K87" s="33" t="s">
        <v>2749</v>
      </c>
      <c r="L87">
        <v>100</v>
      </c>
      <c r="M87">
        <v>1500</v>
      </c>
      <c r="N87" t="s">
        <v>2754</v>
      </c>
      <c r="O87" s="34" t="str">
        <f>HYPERLINK("https://b2b.kobi.pl/pl/product/9526,zarowka-led-gs-18w-e27-6000k-kobi?currency=PLN")</f>
        <v>https://b2b.kobi.pl/pl/product/9526,zarowka-led-gs-18w-e27-6000k-kobi?currency=PLN</v>
      </c>
      <c r="P87" s="34" t="str">
        <f>HYPERLINK("https://eprel.ec.europa.eu/qr/659841")</f>
        <v>https://eprel.ec.europa.eu/qr/659841</v>
      </c>
      <c r="Q87"/>
    </row>
    <row r="88" spans="1:17" ht="14.4" x14ac:dyDescent="0.3">
      <c r="A88" t="s">
        <v>9</v>
      </c>
      <c r="B88" t="s">
        <v>859</v>
      </c>
      <c r="C88" t="s">
        <v>30</v>
      </c>
      <c r="D88" t="s">
        <v>1032</v>
      </c>
      <c r="E88" t="s">
        <v>1033</v>
      </c>
      <c r="F88" t="s">
        <v>832</v>
      </c>
      <c r="G88" s="35">
        <v>1.2</v>
      </c>
      <c r="H88" s="33">
        <f>G88*(1-IFERROR(VLOOKUP(F88,'enter the discount'!$D$10:$E$40,2,FALSE),0))</f>
        <v>1.2</v>
      </c>
      <c r="I88" s="35" t="s">
        <v>2593</v>
      </c>
      <c r="J88" s="33" t="s">
        <v>51</v>
      </c>
      <c r="K88" s="33" t="s">
        <v>2749</v>
      </c>
      <c r="L88">
        <v>100</v>
      </c>
      <c r="M88">
        <v>2500</v>
      </c>
      <c r="N88" t="s">
        <v>2754</v>
      </c>
      <c r="O88" s="34" t="str">
        <f>HYPERLINK("https://b2b.kobi.pl/pl/product/9605,zarowka-led-gs-7w-e27-3000k-led2b?currency=PLN")</f>
        <v>https://b2b.kobi.pl/pl/product/9605,zarowka-led-gs-7w-e27-3000k-led2b?currency=PLN</v>
      </c>
      <c r="P88" s="34" t="str">
        <f>HYPERLINK("https://eprel.ec.europa.eu/qr/660288")</f>
        <v>https://eprel.ec.europa.eu/qr/660288</v>
      </c>
      <c r="Q88" t="s">
        <v>2775</v>
      </c>
    </row>
    <row r="89" spans="1:17" ht="14.4" x14ac:dyDescent="0.3">
      <c r="A89" t="s">
        <v>9</v>
      </c>
      <c r="B89" t="s">
        <v>859</v>
      </c>
      <c r="C89" t="s">
        <v>30</v>
      </c>
      <c r="D89" t="s">
        <v>1034</v>
      </c>
      <c r="E89" t="s">
        <v>1035</v>
      </c>
      <c r="F89" t="s">
        <v>832</v>
      </c>
      <c r="G89" s="35">
        <v>1.2</v>
      </c>
      <c r="H89" s="33">
        <f>G89*(1-IFERROR(VLOOKUP(F89,'enter the discount'!$D$10:$E$40,2,FALSE),0))</f>
        <v>1.2</v>
      </c>
      <c r="I89" s="35" t="s">
        <v>2593</v>
      </c>
      <c r="J89" s="33" t="s">
        <v>53</v>
      </c>
      <c r="K89" s="33" t="s">
        <v>2749</v>
      </c>
      <c r="L89">
        <v>100</v>
      </c>
      <c r="M89">
        <v>3000</v>
      </c>
      <c r="N89" t="s">
        <v>2754</v>
      </c>
      <c r="O89" s="34" t="str">
        <f>HYPERLINK("https://b2b.kobi.pl/pl/product/9606,zarowka-led-gs-7w-e27-4000k-led2b?currency=PLN")</f>
        <v>https://b2b.kobi.pl/pl/product/9606,zarowka-led-gs-7w-e27-4000k-led2b?currency=PLN</v>
      </c>
      <c r="P89" s="34" t="str">
        <f>HYPERLINK("https://eprel.ec.europa.eu/qr/660289")</f>
        <v>https://eprel.ec.europa.eu/qr/660289</v>
      </c>
      <c r="Q89" t="s">
        <v>2775</v>
      </c>
    </row>
    <row r="90" spans="1:17" ht="14.4" x14ac:dyDescent="0.3">
      <c r="A90" t="s">
        <v>9</v>
      </c>
      <c r="B90" t="s">
        <v>859</v>
      </c>
      <c r="C90" t="s">
        <v>30</v>
      </c>
      <c r="D90" t="s">
        <v>1036</v>
      </c>
      <c r="E90" t="s">
        <v>1037</v>
      </c>
      <c r="F90" t="s">
        <v>832</v>
      </c>
      <c r="G90" s="35">
        <v>1.2</v>
      </c>
      <c r="H90" s="33">
        <f>G90*(1-IFERROR(VLOOKUP(F90,'enter the discount'!$D$10:$E$40,2,FALSE),0))</f>
        <v>1.2</v>
      </c>
      <c r="I90" s="35" t="s">
        <v>2593</v>
      </c>
      <c r="J90" s="33" t="s">
        <v>55</v>
      </c>
      <c r="K90" s="33" t="s">
        <v>2749</v>
      </c>
      <c r="L90">
        <v>100</v>
      </c>
      <c r="M90">
        <v>2500</v>
      </c>
      <c r="N90" t="s">
        <v>2754</v>
      </c>
      <c r="O90" s="34" t="str">
        <f>HYPERLINK("https://b2b.kobi.pl/pl/product/9607,zarowka-led-gs-7w-e27-6500k-led2b?currency=PLN")</f>
        <v>https://b2b.kobi.pl/pl/product/9607,zarowka-led-gs-7w-e27-6500k-led2b?currency=PLN</v>
      </c>
      <c r="P90" s="34" t="str">
        <f>HYPERLINK("https://eprel.ec.europa.eu/qr/660290")</f>
        <v>https://eprel.ec.europa.eu/qr/660290</v>
      </c>
      <c r="Q90" t="s">
        <v>2775</v>
      </c>
    </row>
    <row r="91" spans="1:17" ht="14.4" x14ac:dyDescent="0.3">
      <c r="A91" t="s">
        <v>9</v>
      </c>
      <c r="B91" t="s">
        <v>859</v>
      </c>
      <c r="C91" t="s">
        <v>30</v>
      </c>
      <c r="D91" t="s">
        <v>1038</v>
      </c>
      <c r="E91" t="s">
        <v>1039</v>
      </c>
      <c r="F91" t="s">
        <v>832</v>
      </c>
      <c r="G91" s="35">
        <v>1.25</v>
      </c>
      <c r="H91" s="33">
        <f>G91*(1-IFERROR(VLOOKUP(F91,'enter the discount'!$D$10:$E$40,2,FALSE),0))</f>
        <v>1.25</v>
      </c>
      <c r="I91" s="35" t="s">
        <v>2593</v>
      </c>
      <c r="J91" s="33" t="s">
        <v>483</v>
      </c>
      <c r="K91" s="33" t="s">
        <v>2749</v>
      </c>
      <c r="L91">
        <v>100</v>
      </c>
      <c r="M91">
        <v>3000</v>
      </c>
      <c r="N91" t="s">
        <v>2754</v>
      </c>
      <c r="O91" s="34" t="str">
        <f>HYPERLINK("https://b2b.kobi.pl/pl/product/9608,zarowka-led-gs-8-5w-e27-3000k-led2b?currency=PLN")</f>
        <v>https://b2b.kobi.pl/pl/product/9608,zarowka-led-gs-8-5w-e27-3000k-led2b?currency=PLN</v>
      </c>
      <c r="P91" s="34" t="str">
        <f>HYPERLINK("https://eprel.ec.europa.eu/qr/1543370")</f>
        <v>https://eprel.ec.europa.eu/qr/1543370</v>
      </c>
      <c r="Q91"/>
    </row>
    <row r="92" spans="1:17" ht="14.4" x14ac:dyDescent="0.3">
      <c r="A92" t="s">
        <v>9</v>
      </c>
      <c r="B92" t="s">
        <v>859</v>
      </c>
      <c r="C92" t="s">
        <v>30</v>
      </c>
      <c r="D92" t="s">
        <v>1040</v>
      </c>
      <c r="E92" t="s">
        <v>1041</v>
      </c>
      <c r="F92" t="s">
        <v>832</v>
      </c>
      <c r="G92" s="35">
        <v>1.25</v>
      </c>
      <c r="H92" s="33">
        <f>G92*(1-IFERROR(VLOOKUP(F92,'enter the discount'!$D$10:$E$40,2,FALSE),0))</f>
        <v>1.25</v>
      </c>
      <c r="I92" s="35" t="s">
        <v>2593</v>
      </c>
      <c r="J92" s="33" t="s">
        <v>484</v>
      </c>
      <c r="K92" s="33" t="s">
        <v>2749</v>
      </c>
      <c r="L92">
        <v>100</v>
      </c>
      <c r="M92">
        <v>3000</v>
      </c>
      <c r="N92" t="s">
        <v>2754</v>
      </c>
      <c r="O92" s="34" t="str">
        <f>HYPERLINK("https://b2b.kobi.pl/pl/product/9609,zarowka-led-gs-8-5w-e27-4000k-led2b?currency=PLN")</f>
        <v>https://b2b.kobi.pl/pl/product/9609,zarowka-led-gs-8-5w-e27-4000k-led2b?currency=PLN</v>
      </c>
      <c r="P92" s="34" t="str">
        <f>HYPERLINK("https://eprel.ec.europa.eu/qr/1543382")</f>
        <v>https://eprel.ec.europa.eu/qr/1543382</v>
      </c>
      <c r="Q92"/>
    </row>
    <row r="93" spans="1:17" ht="14.4" x14ac:dyDescent="0.3">
      <c r="A93" t="s">
        <v>9</v>
      </c>
      <c r="B93" t="s">
        <v>859</v>
      </c>
      <c r="C93" t="s">
        <v>30</v>
      </c>
      <c r="D93" t="s">
        <v>1042</v>
      </c>
      <c r="E93" t="s">
        <v>1043</v>
      </c>
      <c r="F93" t="s">
        <v>832</v>
      </c>
      <c r="G93" s="35">
        <v>1.25</v>
      </c>
      <c r="H93" s="33">
        <f>G93*(1-IFERROR(VLOOKUP(F93,'enter the discount'!$D$10:$E$40,2,FALSE),0))</f>
        <v>1.25</v>
      </c>
      <c r="I93" s="35" t="s">
        <v>2593</v>
      </c>
      <c r="J93" s="33" t="s">
        <v>485</v>
      </c>
      <c r="K93" s="33" t="s">
        <v>2749</v>
      </c>
      <c r="L93">
        <v>100</v>
      </c>
      <c r="M93"/>
      <c r="N93" t="s">
        <v>2754</v>
      </c>
      <c r="O93" s="34" t="str">
        <f>HYPERLINK("https://b2b.kobi.pl/pl/product/9610,zarowka-led-gs-8-5w-e27-6500k-led2b?currency=PLN")</f>
        <v>https://b2b.kobi.pl/pl/product/9610,zarowka-led-gs-8-5w-e27-6500k-led2b?currency=PLN</v>
      </c>
      <c r="P93" s="34" t="str">
        <f>HYPERLINK("https://eprel.ec.europa.eu/qr/1621200")</f>
        <v>https://eprel.ec.europa.eu/qr/1621200</v>
      </c>
      <c r="Q93"/>
    </row>
    <row r="94" spans="1:17" ht="14.4" x14ac:dyDescent="0.3">
      <c r="A94" t="s">
        <v>9</v>
      </c>
      <c r="B94" t="s">
        <v>859</v>
      </c>
      <c r="C94" t="s">
        <v>30</v>
      </c>
      <c r="D94" t="s">
        <v>1044</v>
      </c>
      <c r="E94" t="s">
        <v>1045</v>
      </c>
      <c r="F94" t="s">
        <v>832</v>
      </c>
      <c r="G94" s="35">
        <v>2.17</v>
      </c>
      <c r="H94" s="33">
        <f>G94*(1-IFERROR(VLOOKUP(F94,'enter the discount'!$D$10:$E$40,2,FALSE),0))</f>
        <v>2.17</v>
      </c>
      <c r="I94" s="35" t="s">
        <v>2609</v>
      </c>
      <c r="J94" s="33" t="s">
        <v>2610</v>
      </c>
      <c r="K94" s="33" t="s">
        <v>2749</v>
      </c>
      <c r="L94">
        <v>100</v>
      </c>
      <c r="M94">
        <v>2500</v>
      </c>
      <c r="N94" t="s">
        <v>2754</v>
      </c>
      <c r="O94"/>
      <c r="P94" s="34" t="str">
        <f>HYPERLINK("https://eprel.ec.europa.eu/qr/908977")</f>
        <v>https://eprel.ec.europa.eu/qr/908977</v>
      </c>
      <c r="Q94" t="s">
        <v>2775</v>
      </c>
    </row>
    <row r="95" spans="1:17" ht="14.4" x14ac:dyDescent="0.3">
      <c r="A95" t="s">
        <v>9</v>
      </c>
      <c r="B95" t="s">
        <v>859</v>
      </c>
      <c r="C95" t="s">
        <v>30</v>
      </c>
      <c r="D95" t="s">
        <v>806</v>
      </c>
      <c r="E95" t="s">
        <v>1046</v>
      </c>
      <c r="F95" t="s">
        <v>832</v>
      </c>
      <c r="G95" s="35">
        <v>1.9</v>
      </c>
      <c r="H95" s="33">
        <f>G95*(1-IFERROR(VLOOKUP(F95,'enter the discount'!$D$10:$E$40,2,FALSE),0))</f>
        <v>1.9</v>
      </c>
      <c r="I95" s="35" t="s">
        <v>2593</v>
      </c>
      <c r="J95" s="33" t="s">
        <v>808</v>
      </c>
      <c r="K95" s="33" t="s">
        <v>2749</v>
      </c>
      <c r="L95">
        <v>100</v>
      </c>
      <c r="M95"/>
      <c r="N95" t="s">
        <v>2754</v>
      </c>
      <c r="O95" s="34" t="str">
        <f>HYPERLINK("https://b2b.kobi.pl/pl/product/9591,zarowka-led-gs-10-5w-e27-3000k-led2b?currency=PLN")</f>
        <v>https://b2b.kobi.pl/pl/product/9591,zarowka-led-gs-10-5w-e27-3000k-led2b?currency=PLN</v>
      </c>
      <c r="P95" s="34" t="str">
        <f>HYPERLINK("https://eprel.ec.europa.eu/qr/2087443")</f>
        <v>https://eprel.ec.europa.eu/qr/2087443</v>
      </c>
      <c r="Q95"/>
    </row>
    <row r="96" spans="1:17" ht="14.4" x14ac:dyDescent="0.3">
      <c r="A96" t="s">
        <v>9</v>
      </c>
      <c r="B96" t="s">
        <v>859</v>
      </c>
      <c r="C96" t="s">
        <v>30</v>
      </c>
      <c r="D96" t="s">
        <v>807</v>
      </c>
      <c r="E96" t="s">
        <v>1047</v>
      </c>
      <c r="F96" t="s">
        <v>832</v>
      </c>
      <c r="G96" s="35">
        <v>1.9</v>
      </c>
      <c r="H96" s="33">
        <f>G96*(1-IFERROR(VLOOKUP(F96,'enter the discount'!$D$10:$E$40,2,FALSE),0))</f>
        <v>1.9</v>
      </c>
      <c r="I96" s="35" t="s">
        <v>2593</v>
      </c>
      <c r="J96" s="33" t="s">
        <v>809</v>
      </c>
      <c r="K96" s="33" t="s">
        <v>2749</v>
      </c>
      <c r="L96">
        <v>100</v>
      </c>
      <c r="M96"/>
      <c r="N96" t="s">
        <v>2754</v>
      </c>
      <c r="O96" s="34" t="str">
        <f>HYPERLINK("https://b2b.kobi.pl/pl/product/9592,zarowka-led-gs-10-5w-e27-4000k-led2b?currency=PLN")</f>
        <v>https://b2b.kobi.pl/pl/product/9592,zarowka-led-gs-10-5w-e27-4000k-led2b?currency=PLN</v>
      </c>
      <c r="P96" s="34" t="str">
        <f>HYPERLINK("https://eprel.ec.europa.eu/qr/2087413")</f>
        <v>https://eprel.ec.europa.eu/qr/2087413</v>
      </c>
      <c r="Q96"/>
    </row>
    <row r="97" spans="1:17" ht="14.4" x14ac:dyDescent="0.3">
      <c r="A97" t="s">
        <v>9</v>
      </c>
      <c r="B97" t="s">
        <v>859</v>
      </c>
      <c r="C97" t="s">
        <v>30</v>
      </c>
      <c r="D97" t="s">
        <v>1048</v>
      </c>
      <c r="E97" t="s">
        <v>1049</v>
      </c>
      <c r="F97" t="s">
        <v>832</v>
      </c>
      <c r="G97" s="35">
        <v>1.9</v>
      </c>
      <c r="H97" s="33">
        <f>G97*(1-IFERROR(VLOOKUP(F97,'enter the discount'!$D$10:$E$40,2,FALSE),0))</f>
        <v>1.9</v>
      </c>
      <c r="I97" s="35" t="s">
        <v>2593</v>
      </c>
      <c r="J97" s="33" t="s">
        <v>716</v>
      </c>
      <c r="K97" s="33" t="s">
        <v>2749</v>
      </c>
      <c r="L97">
        <v>100</v>
      </c>
      <c r="M97"/>
      <c r="N97" t="s">
        <v>2754</v>
      </c>
      <c r="O97" s="34" t="str">
        <f>HYPERLINK("https://b2b.kobi.pl/pl/product/9593,zarowka-led-gs-10-5w-e27-6500k-led2b?currency=PLN")</f>
        <v>https://b2b.kobi.pl/pl/product/9593,zarowka-led-gs-10-5w-e27-6500k-led2b?currency=PLN</v>
      </c>
      <c r="P97" s="34" t="str">
        <f>HYPERLINK("https://eprel.ec.europa.eu/qr/2044294")</f>
        <v>https://eprel.ec.europa.eu/qr/2044294</v>
      </c>
      <c r="Q97"/>
    </row>
    <row r="98" spans="1:17" ht="14.4" x14ac:dyDescent="0.3">
      <c r="A98" t="s">
        <v>9</v>
      </c>
      <c r="B98" t="s">
        <v>859</v>
      </c>
      <c r="C98" t="s">
        <v>30</v>
      </c>
      <c r="D98" t="s">
        <v>1050</v>
      </c>
      <c r="E98" t="s">
        <v>1051</v>
      </c>
      <c r="F98" t="s">
        <v>832</v>
      </c>
      <c r="G98" s="35">
        <v>1.93</v>
      </c>
      <c r="H98" s="33">
        <f>G98*(1-IFERROR(VLOOKUP(F98,'enter the discount'!$D$10:$E$40,2,FALSE),0))</f>
        <v>1.93</v>
      </c>
      <c r="I98" s="35" t="s">
        <v>2609</v>
      </c>
      <c r="J98" s="33" t="s">
        <v>442</v>
      </c>
      <c r="K98" s="33" t="s">
        <v>2749</v>
      </c>
      <c r="L98">
        <v>100</v>
      </c>
      <c r="M98">
        <v>2500</v>
      </c>
      <c r="N98" t="s">
        <v>2754</v>
      </c>
      <c r="O98" s="34" t="str">
        <f>HYPERLINK("https://b2b.kobi.pl/pl/product/9599,zarowka-led-gs-11w-e27-3000k-led2b?currency=PLN")</f>
        <v>https://b2b.kobi.pl/pl/product/9599,zarowka-led-gs-11w-e27-3000k-led2b?currency=PLN</v>
      </c>
      <c r="P98" s="34" t="str">
        <f>HYPERLINK("https://eprel.ec.europa.eu/qr/758824")</f>
        <v>https://eprel.ec.europa.eu/qr/758824</v>
      </c>
      <c r="Q98" t="s">
        <v>2775</v>
      </c>
    </row>
    <row r="99" spans="1:17" ht="14.4" x14ac:dyDescent="0.3">
      <c r="A99" t="s">
        <v>9</v>
      </c>
      <c r="B99" t="s">
        <v>859</v>
      </c>
      <c r="C99" t="s">
        <v>30</v>
      </c>
      <c r="D99" t="s">
        <v>1052</v>
      </c>
      <c r="E99" t="s">
        <v>1053</v>
      </c>
      <c r="F99" t="s">
        <v>832</v>
      </c>
      <c r="G99" s="35">
        <v>2.6</v>
      </c>
      <c r="H99" s="33">
        <f>G99*(1-IFERROR(VLOOKUP(F99,'enter the discount'!$D$10:$E$40,2,FALSE),0))</f>
        <v>2.6</v>
      </c>
      <c r="I99" s="35" t="s">
        <v>2609</v>
      </c>
      <c r="J99" s="33" t="s">
        <v>2611</v>
      </c>
      <c r="K99" s="33" t="s">
        <v>2749</v>
      </c>
      <c r="L99">
        <v>100</v>
      </c>
      <c r="M99">
        <v>2500</v>
      </c>
      <c r="N99" t="s">
        <v>2754</v>
      </c>
      <c r="O99" s="34" t="str">
        <f>HYPERLINK("https://b2b.kobi.pl/pl/product/9604,zarowka-led-gs-12w-e27-6000k-led2b?currency=PLN")</f>
        <v>https://b2b.kobi.pl/pl/product/9604,zarowka-led-gs-12w-e27-6000k-led2b?currency=PLN</v>
      </c>
      <c r="P99" s="34" t="str">
        <f>HYPERLINK("https://eprel.ec.europa.eu/qr/909402")</f>
        <v>https://eprel.ec.europa.eu/qr/909402</v>
      </c>
      <c r="Q99" t="s">
        <v>2775</v>
      </c>
    </row>
    <row r="100" spans="1:17" ht="14.4" x14ac:dyDescent="0.3">
      <c r="A100" t="s">
        <v>9</v>
      </c>
      <c r="B100" t="s">
        <v>859</v>
      </c>
      <c r="C100" t="s">
        <v>885</v>
      </c>
      <c r="D100" t="s">
        <v>1054</v>
      </c>
      <c r="E100" t="s">
        <v>1055</v>
      </c>
      <c r="F100" t="s">
        <v>832</v>
      </c>
      <c r="G100" s="35">
        <v>7.95</v>
      </c>
      <c r="H100" s="33">
        <f>G100*(1-IFERROR(VLOOKUP(F100,'enter the discount'!$D$10:$E$40,2,FALSE),0))</f>
        <v>7.95</v>
      </c>
      <c r="I100" s="35" t="s">
        <v>2593</v>
      </c>
      <c r="J100" s="33" t="s">
        <v>58</v>
      </c>
      <c r="K100" s="33" t="s">
        <v>2749</v>
      </c>
      <c r="L100">
        <v>100</v>
      </c>
      <c r="M100">
        <v>2500</v>
      </c>
      <c r="N100" t="s">
        <v>2755</v>
      </c>
      <c r="O100" s="34" t="str">
        <f>HYPERLINK("https://b2b.kobi.pl/pl/product/9535,zarowka-z-czujnikiem-ruchu-led-gs-9w-e27-6500k-lx-kobi-premium?currency=PLN")</f>
        <v>https://b2b.kobi.pl/pl/product/9535,zarowka-z-czujnikiem-ruchu-led-gs-9w-e27-6500k-lx-kobi-premium?currency=PLN</v>
      </c>
      <c r="P100" s="34" t="str">
        <f>HYPERLINK("https://eprel.ec.europa.eu/qr/763786")</f>
        <v>https://eprel.ec.europa.eu/qr/763786</v>
      </c>
      <c r="Q100"/>
    </row>
    <row r="101" spans="1:17" ht="14.4" x14ac:dyDescent="0.3">
      <c r="A101" t="s">
        <v>9</v>
      </c>
      <c r="B101" t="s">
        <v>859</v>
      </c>
      <c r="C101" t="s">
        <v>885</v>
      </c>
      <c r="D101" t="s">
        <v>1056</v>
      </c>
      <c r="E101" t="s">
        <v>1057</v>
      </c>
      <c r="F101" t="s">
        <v>832</v>
      </c>
      <c r="G101" s="35">
        <v>7.95</v>
      </c>
      <c r="H101" s="33">
        <f>G101*(1-IFERROR(VLOOKUP(F101,'enter the discount'!$D$10:$E$40,2,FALSE),0))</f>
        <v>7.95</v>
      </c>
      <c r="I101" s="35" t="s">
        <v>2593</v>
      </c>
      <c r="J101" s="33" t="s">
        <v>56</v>
      </c>
      <c r="K101" s="33" t="s">
        <v>2749</v>
      </c>
      <c r="L101">
        <v>100</v>
      </c>
      <c r="M101">
        <v>2500</v>
      </c>
      <c r="N101" t="s">
        <v>2755</v>
      </c>
      <c r="O101" s="34" t="str">
        <f>HYPERLINK("https://b2b.kobi.pl/pl/product/9532,zarowka-z-czujnikiem-ruchu-led-gs-9w-e27-3000k-lx-kobi-premium?currency=PLN")</f>
        <v>https://b2b.kobi.pl/pl/product/9532,zarowka-z-czujnikiem-ruchu-led-gs-9w-e27-3000k-lx-kobi-premium?currency=PLN</v>
      </c>
      <c r="P101" s="34" t="str">
        <f>HYPERLINK("https://eprel.ec.europa.eu/qr/659853")</f>
        <v>https://eprel.ec.europa.eu/qr/659853</v>
      </c>
      <c r="Q101"/>
    </row>
    <row r="102" spans="1:17" ht="14.4" x14ac:dyDescent="0.3">
      <c r="A102" t="s">
        <v>9</v>
      </c>
      <c r="B102" t="s">
        <v>859</v>
      </c>
      <c r="C102" t="s">
        <v>885</v>
      </c>
      <c r="D102" t="s">
        <v>1058</v>
      </c>
      <c r="E102" t="s">
        <v>1059</v>
      </c>
      <c r="F102" t="s">
        <v>832</v>
      </c>
      <c r="G102" s="35">
        <v>7.95</v>
      </c>
      <c r="H102" s="33">
        <f>G102*(1-IFERROR(VLOOKUP(F102,'enter the discount'!$D$10:$E$40,2,FALSE),0))</f>
        <v>7.95</v>
      </c>
      <c r="I102" s="35" t="s">
        <v>2593</v>
      </c>
      <c r="J102" s="33" t="s">
        <v>57</v>
      </c>
      <c r="K102" s="33" t="s">
        <v>2749</v>
      </c>
      <c r="L102">
        <v>100</v>
      </c>
      <c r="M102">
        <v>2500</v>
      </c>
      <c r="N102" t="s">
        <v>2755</v>
      </c>
      <c r="O102" s="34" t="str">
        <f>HYPERLINK("https://b2b.kobi.pl/pl/product/9534,zarowka-z-czujnikiem-ruchu-led-gs-9w-e27-4000k-lx-kobi-premium?currency=PLN")</f>
        <v>https://b2b.kobi.pl/pl/product/9534,zarowka-z-czujnikiem-ruchu-led-gs-9w-e27-4000k-lx-kobi-premium?currency=PLN</v>
      </c>
      <c r="P102" s="34" t="str">
        <f>HYPERLINK("https://eprel.ec.europa.eu/qr/763782")</f>
        <v>https://eprel.ec.europa.eu/qr/763782</v>
      </c>
      <c r="Q102"/>
    </row>
    <row r="103" spans="1:17" ht="14.4" x14ac:dyDescent="0.3">
      <c r="A103" t="s">
        <v>9</v>
      </c>
      <c r="B103" t="s">
        <v>859</v>
      </c>
      <c r="C103" t="s">
        <v>910</v>
      </c>
      <c r="D103" t="s">
        <v>1060</v>
      </c>
      <c r="E103" t="s">
        <v>1061</v>
      </c>
      <c r="F103" t="s">
        <v>832</v>
      </c>
      <c r="G103" s="35">
        <v>2.25</v>
      </c>
      <c r="H103" s="33">
        <f>G103*(1-IFERROR(VLOOKUP(F103,'enter the discount'!$D$10:$E$40,2,FALSE),0))</f>
        <v>2.25</v>
      </c>
      <c r="I103" s="35" t="s">
        <v>2593</v>
      </c>
      <c r="J103" s="33" t="s">
        <v>89</v>
      </c>
      <c r="K103" s="33" t="s">
        <v>2749</v>
      </c>
      <c r="L103">
        <v>100</v>
      </c>
      <c r="M103">
        <v>4800</v>
      </c>
      <c r="N103" t="s">
        <v>2754</v>
      </c>
      <c r="O103" s="34" t="str">
        <f>HYPERLINK("https://b2b.kobi.pl/pl/product/9662,zarowka-led-mb-4-5w-e14-3000k-kobi?currency=PLN")</f>
        <v>https://b2b.kobi.pl/pl/product/9662,zarowka-led-mb-4-5w-e14-3000k-kobi?currency=PLN</v>
      </c>
      <c r="P103" s="34" t="str">
        <f>HYPERLINK("https://eprel.ec.europa.eu/qr/660644")</f>
        <v>https://eprel.ec.europa.eu/qr/660644</v>
      </c>
      <c r="Q103"/>
    </row>
    <row r="104" spans="1:17" ht="14.4" x14ac:dyDescent="0.3">
      <c r="A104" t="s">
        <v>9</v>
      </c>
      <c r="B104" t="s">
        <v>859</v>
      </c>
      <c r="C104" t="s">
        <v>910</v>
      </c>
      <c r="D104" t="s">
        <v>1062</v>
      </c>
      <c r="E104" t="s">
        <v>1063</v>
      </c>
      <c r="F104" t="s">
        <v>832</v>
      </c>
      <c r="G104" s="35">
        <v>2.25</v>
      </c>
      <c r="H104" s="33">
        <f>G104*(1-IFERROR(VLOOKUP(F104,'enter the discount'!$D$10:$E$40,2,FALSE),0))</f>
        <v>2.25</v>
      </c>
      <c r="I104" s="35" t="s">
        <v>2593</v>
      </c>
      <c r="J104" s="33" t="s">
        <v>90</v>
      </c>
      <c r="K104" s="33" t="s">
        <v>2749</v>
      </c>
      <c r="L104">
        <v>100</v>
      </c>
      <c r="M104">
        <v>4800</v>
      </c>
      <c r="N104" t="s">
        <v>2754</v>
      </c>
      <c r="O104" s="34" t="str">
        <f>HYPERLINK("https://b2b.kobi.pl/pl/product/9663,zarowka-led-mb-4-5w-e14-4000k-kobi?currency=PLN")</f>
        <v>https://b2b.kobi.pl/pl/product/9663,zarowka-led-mb-4-5w-e14-4000k-kobi?currency=PLN</v>
      </c>
      <c r="P104" s="34" t="str">
        <f>HYPERLINK("https://eprel.ec.europa.eu/qr/660645")</f>
        <v>https://eprel.ec.europa.eu/qr/660645</v>
      </c>
      <c r="Q104"/>
    </row>
    <row r="105" spans="1:17" ht="14.4" x14ac:dyDescent="0.3">
      <c r="A105" t="s">
        <v>9</v>
      </c>
      <c r="B105" t="s">
        <v>859</v>
      </c>
      <c r="C105" t="s">
        <v>910</v>
      </c>
      <c r="D105" t="s">
        <v>1064</v>
      </c>
      <c r="E105" t="s">
        <v>1065</v>
      </c>
      <c r="F105" t="s">
        <v>832</v>
      </c>
      <c r="G105" s="35">
        <v>2.25</v>
      </c>
      <c r="H105" s="33">
        <f>G105*(1-IFERROR(VLOOKUP(F105,'enter the discount'!$D$10:$E$40,2,FALSE),0))</f>
        <v>2.25</v>
      </c>
      <c r="I105" s="35" t="s">
        <v>2593</v>
      </c>
      <c r="J105" s="33" t="s">
        <v>91</v>
      </c>
      <c r="K105" s="33" t="s">
        <v>2749</v>
      </c>
      <c r="L105">
        <v>100</v>
      </c>
      <c r="M105">
        <v>4800</v>
      </c>
      <c r="N105" t="s">
        <v>2754</v>
      </c>
      <c r="O105" s="34" t="str">
        <f>HYPERLINK("https://b2b.kobi.pl/pl/product/9664,zarowka-led-mb-4-5w-e14-6000k-kobi?currency=PLN")</f>
        <v>https://b2b.kobi.pl/pl/product/9664,zarowka-led-mb-4-5w-e14-6000k-kobi?currency=PLN</v>
      </c>
      <c r="P105" s="34" t="str">
        <f>HYPERLINK("https://eprel.ec.europa.eu/qr/660647")</f>
        <v>https://eprel.ec.europa.eu/qr/660647</v>
      </c>
      <c r="Q105"/>
    </row>
    <row r="106" spans="1:17" ht="14.4" x14ac:dyDescent="0.3">
      <c r="A106" t="s">
        <v>9</v>
      </c>
      <c r="B106" t="s">
        <v>859</v>
      </c>
      <c r="C106" t="s">
        <v>910</v>
      </c>
      <c r="D106" t="s">
        <v>1066</v>
      </c>
      <c r="E106" t="s">
        <v>1067</v>
      </c>
      <c r="F106" t="s">
        <v>832</v>
      </c>
      <c r="G106" s="35">
        <v>2.25</v>
      </c>
      <c r="H106" s="33">
        <f>G106*(1-IFERROR(VLOOKUP(F106,'enter the discount'!$D$10:$E$40,2,FALSE),0))</f>
        <v>2.25</v>
      </c>
      <c r="I106" s="35" t="s">
        <v>2593</v>
      </c>
      <c r="J106" s="33" t="s">
        <v>101</v>
      </c>
      <c r="K106" s="33" t="s">
        <v>2749</v>
      </c>
      <c r="L106">
        <v>100</v>
      </c>
      <c r="M106">
        <v>4800</v>
      </c>
      <c r="N106" t="s">
        <v>2754</v>
      </c>
      <c r="O106" s="34" t="str">
        <f>HYPERLINK("https://b2b.kobi.pl/pl/product/9671,zarowka-led-mb-4-5w-e27-3000k-kobi?currency=PLN")</f>
        <v>https://b2b.kobi.pl/pl/product/9671,zarowka-led-mb-4-5w-e27-3000k-kobi?currency=PLN</v>
      </c>
      <c r="P106" s="34" t="str">
        <f>HYPERLINK("https://eprel.ec.europa.eu/qr/660665")</f>
        <v>https://eprel.ec.europa.eu/qr/660665</v>
      </c>
      <c r="Q106"/>
    </row>
    <row r="107" spans="1:17" ht="14.4" x14ac:dyDescent="0.3">
      <c r="A107" t="s">
        <v>9</v>
      </c>
      <c r="B107" t="s">
        <v>859</v>
      </c>
      <c r="C107" t="s">
        <v>910</v>
      </c>
      <c r="D107" t="s">
        <v>1068</v>
      </c>
      <c r="E107" t="s">
        <v>1069</v>
      </c>
      <c r="F107" t="s">
        <v>832</v>
      </c>
      <c r="G107" s="35">
        <v>2.25</v>
      </c>
      <c r="H107" s="33">
        <f>G107*(1-IFERROR(VLOOKUP(F107,'enter the discount'!$D$10:$E$40,2,FALSE),0))</f>
        <v>2.25</v>
      </c>
      <c r="I107" s="35" t="s">
        <v>2593</v>
      </c>
      <c r="J107" s="33" t="s">
        <v>102</v>
      </c>
      <c r="K107" s="33" t="s">
        <v>2749</v>
      </c>
      <c r="L107">
        <v>100</v>
      </c>
      <c r="M107">
        <v>4800</v>
      </c>
      <c r="N107" t="s">
        <v>2754</v>
      </c>
      <c r="O107" s="34" t="str">
        <f>HYPERLINK("https://b2b.kobi.pl/pl/product/9672,zarowka-led-mb-4-5w-e27-4000k-kobi?currency=PLN")</f>
        <v>https://b2b.kobi.pl/pl/product/9672,zarowka-led-mb-4-5w-e27-4000k-kobi?currency=PLN</v>
      </c>
      <c r="P107" s="34" t="str">
        <f>HYPERLINK("https://eprel.ec.europa.eu/qr/660667")</f>
        <v>https://eprel.ec.europa.eu/qr/660667</v>
      </c>
      <c r="Q107"/>
    </row>
    <row r="108" spans="1:17" ht="14.4" x14ac:dyDescent="0.3">
      <c r="A108" t="s">
        <v>9</v>
      </c>
      <c r="B108" t="s">
        <v>859</v>
      </c>
      <c r="C108" t="s">
        <v>910</v>
      </c>
      <c r="D108" t="s">
        <v>1070</v>
      </c>
      <c r="E108" t="s">
        <v>1071</v>
      </c>
      <c r="F108" t="s">
        <v>832</v>
      </c>
      <c r="G108" s="35">
        <v>2.25</v>
      </c>
      <c r="H108" s="33">
        <f>G108*(1-IFERROR(VLOOKUP(F108,'enter the discount'!$D$10:$E$40,2,FALSE),0))</f>
        <v>2.25</v>
      </c>
      <c r="I108" s="35" t="s">
        <v>2593</v>
      </c>
      <c r="J108" s="33" t="s">
        <v>103</v>
      </c>
      <c r="K108" s="33" t="s">
        <v>2749</v>
      </c>
      <c r="L108">
        <v>100</v>
      </c>
      <c r="M108">
        <v>4800</v>
      </c>
      <c r="N108" t="s">
        <v>2754</v>
      </c>
      <c r="O108" s="34" t="str">
        <f>HYPERLINK("https://b2b.kobi.pl/pl/product/9673,zarowka-led-mb-4-5w-e27-6000k-kobi?currency=PLN")</f>
        <v>https://b2b.kobi.pl/pl/product/9673,zarowka-led-mb-4-5w-e27-6000k-kobi?currency=PLN</v>
      </c>
      <c r="P108" s="34" t="str">
        <f>HYPERLINK("https://eprel.ec.europa.eu/qr/660668")</f>
        <v>https://eprel.ec.europa.eu/qr/660668</v>
      </c>
      <c r="Q108"/>
    </row>
    <row r="109" spans="1:17" ht="14.4" x14ac:dyDescent="0.3">
      <c r="A109" t="s">
        <v>9</v>
      </c>
      <c r="B109" t="s">
        <v>859</v>
      </c>
      <c r="C109" t="s">
        <v>910</v>
      </c>
      <c r="D109" t="s">
        <v>1072</v>
      </c>
      <c r="E109" t="s">
        <v>1073</v>
      </c>
      <c r="F109" t="s">
        <v>832</v>
      </c>
      <c r="G109" s="35">
        <v>2.41</v>
      </c>
      <c r="H109" s="33">
        <f>G109*(1-IFERROR(VLOOKUP(F109,'enter the discount'!$D$10:$E$40,2,FALSE),0))</f>
        <v>2.41</v>
      </c>
      <c r="I109" s="35" t="s">
        <v>2605</v>
      </c>
      <c r="J109" s="33" t="s">
        <v>92</v>
      </c>
      <c r="K109" s="33" t="s">
        <v>2749</v>
      </c>
      <c r="L109">
        <v>100</v>
      </c>
      <c r="M109">
        <v>4800</v>
      </c>
      <c r="N109" t="s">
        <v>2754</v>
      </c>
      <c r="O109" s="34" t="str">
        <f>HYPERLINK("https://b2b.kobi.pl/pl/product/9665,zarowka-led-mb-6w-e14-3000k-kobi?currency=PLN")</f>
        <v>https://b2b.kobi.pl/pl/product/9665,zarowka-led-mb-6w-e14-3000k-kobi?currency=PLN</v>
      </c>
      <c r="P109" s="34" t="str">
        <f>HYPERLINK("https://eprel.ec.europa.eu/qr/660651")</f>
        <v>https://eprel.ec.europa.eu/qr/660651</v>
      </c>
      <c r="Q109"/>
    </row>
    <row r="110" spans="1:17" ht="14.4" x14ac:dyDescent="0.3">
      <c r="A110" t="s">
        <v>9</v>
      </c>
      <c r="B110" t="s">
        <v>859</v>
      </c>
      <c r="C110" t="s">
        <v>910</v>
      </c>
      <c r="D110" t="s">
        <v>1074</v>
      </c>
      <c r="E110" t="s">
        <v>1075</v>
      </c>
      <c r="F110" t="s">
        <v>832</v>
      </c>
      <c r="G110" s="35">
        <v>2.41</v>
      </c>
      <c r="H110" s="33">
        <f>G110*(1-IFERROR(VLOOKUP(F110,'enter the discount'!$D$10:$E$40,2,FALSE),0))</f>
        <v>2.41</v>
      </c>
      <c r="I110" s="35" t="s">
        <v>2605</v>
      </c>
      <c r="J110" s="33" t="s">
        <v>93</v>
      </c>
      <c r="K110" s="33" t="s">
        <v>2749</v>
      </c>
      <c r="L110">
        <v>100</v>
      </c>
      <c r="M110">
        <v>4800</v>
      </c>
      <c r="N110" t="s">
        <v>2754</v>
      </c>
      <c r="O110" s="34" t="str">
        <f>HYPERLINK("https://b2b.kobi.pl/pl/product/9666,zarowka-led-mb-6w-e14-4000k-kobi?currency=PLN")</f>
        <v>https://b2b.kobi.pl/pl/product/9666,zarowka-led-mb-6w-e14-4000k-kobi?currency=PLN</v>
      </c>
      <c r="P110" s="34" t="str">
        <f>HYPERLINK("https://eprel.ec.europa.eu/qr/660653")</f>
        <v>https://eprel.ec.europa.eu/qr/660653</v>
      </c>
      <c r="Q110"/>
    </row>
    <row r="111" spans="1:17" ht="14.4" x14ac:dyDescent="0.3">
      <c r="A111" t="s">
        <v>9</v>
      </c>
      <c r="B111" t="s">
        <v>859</v>
      </c>
      <c r="C111" t="s">
        <v>910</v>
      </c>
      <c r="D111" t="s">
        <v>1076</v>
      </c>
      <c r="E111" t="s">
        <v>1077</v>
      </c>
      <c r="F111" t="s">
        <v>832</v>
      </c>
      <c r="G111" s="35">
        <v>2.41</v>
      </c>
      <c r="H111" s="33">
        <f>G111*(1-IFERROR(VLOOKUP(F111,'enter the discount'!$D$10:$E$40,2,FALSE),0))</f>
        <v>2.41</v>
      </c>
      <c r="I111" s="35" t="s">
        <v>2605</v>
      </c>
      <c r="J111" s="33" t="s">
        <v>94</v>
      </c>
      <c r="K111" s="33" t="s">
        <v>2749</v>
      </c>
      <c r="L111">
        <v>100</v>
      </c>
      <c r="M111">
        <v>4800</v>
      </c>
      <c r="N111" t="s">
        <v>2754</v>
      </c>
      <c r="O111" s="34" t="str">
        <f>HYPERLINK("https://b2b.kobi.pl/pl/product/9667,zarowka-led-mb-6w-e14-6000k-kobi?currency=PLN")</f>
        <v>https://b2b.kobi.pl/pl/product/9667,zarowka-led-mb-6w-e14-6000k-kobi?currency=PLN</v>
      </c>
      <c r="P111" s="34" t="str">
        <f>HYPERLINK("https://eprel.ec.europa.eu/qr/660654")</f>
        <v>https://eprel.ec.europa.eu/qr/660654</v>
      </c>
      <c r="Q111"/>
    </row>
    <row r="112" spans="1:17" ht="14.4" x14ac:dyDescent="0.3">
      <c r="A112" t="s">
        <v>9</v>
      </c>
      <c r="B112" t="s">
        <v>859</v>
      </c>
      <c r="C112" t="s">
        <v>910</v>
      </c>
      <c r="D112" t="s">
        <v>1078</v>
      </c>
      <c r="E112" t="s">
        <v>1079</v>
      </c>
      <c r="F112" t="s">
        <v>832</v>
      </c>
      <c r="G112" s="35">
        <v>2.41</v>
      </c>
      <c r="H112" s="33">
        <f>G112*(1-IFERROR(VLOOKUP(F112,'enter the discount'!$D$10:$E$40,2,FALSE),0))</f>
        <v>2.41</v>
      </c>
      <c r="I112" s="35" t="s">
        <v>2605</v>
      </c>
      <c r="J112" s="33" t="s">
        <v>104</v>
      </c>
      <c r="K112" s="33" t="s">
        <v>2749</v>
      </c>
      <c r="L112">
        <v>100</v>
      </c>
      <c r="M112">
        <v>4800</v>
      </c>
      <c r="N112" t="s">
        <v>2754</v>
      </c>
      <c r="O112" s="34" t="str">
        <f>HYPERLINK("https://b2b.kobi.pl/pl/product/9674,zarowka-led-mb-6w-e27-3000k-kobi?currency=PLN")</f>
        <v>https://b2b.kobi.pl/pl/product/9674,zarowka-led-mb-6w-e27-3000k-kobi?currency=PLN</v>
      </c>
      <c r="P112" s="34" t="str">
        <f>HYPERLINK("https://eprel.ec.europa.eu/qr/660670")</f>
        <v>https://eprel.ec.europa.eu/qr/660670</v>
      </c>
      <c r="Q112"/>
    </row>
    <row r="113" spans="1:17" ht="14.4" x14ac:dyDescent="0.3">
      <c r="A113" t="s">
        <v>9</v>
      </c>
      <c r="B113" t="s">
        <v>859</v>
      </c>
      <c r="C113" t="s">
        <v>910</v>
      </c>
      <c r="D113" t="s">
        <v>1080</v>
      </c>
      <c r="E113" t="s">
        <v>1081</v>
      </c>
      <c r="F113" t="s">
        <v>832</v>
      </c>
      <c r="G113" s="35">
        <v>2.41</v>
      </c>
      <c r="H113" s="33">
        <f>G113*(1-IFERROR(VLOOKUP(F113,'enter the discount'!$D$10:$E$40,2,FALSE),0))</f>
        <v>2.41</v>
      </c>
      <c r="I113" s="35" t="s">
        <v>2605</v>
      </c>
      <c r="J113" s="33" t="s">
        <v>105</v>
      </c>
      <c r="K113" s="33" t="s">
        <v>2749</v>
      </c>
      <c r="L113">
        <v>100</v>
      </c>
      <c r="M113">
        <v>4800</v>
      </c>
      <c r="N113" t="s">
        <v>2754</v>
      </c>
      <c r="O113" s="34" t="str">
        <f>HYPERLINK("https://b2b.kobi.pl/pl/product/9675,zarowka-led-mb-6w-e27-4000k-kobi?currency=PLN")</f>
        <v>https://b2b.kobi.pl/pl/product/9675,zarowka-led-mb-6w-e27-4000k-kobi?currency=PLN</v>
      </c>
      <c r="P113" s="34" t="str">
        <f>HYPERLINK("https://eprel.ec.europa.eu/qr/660671")</f>
        <v>https://eprel.ec.europa.eu/qr/660671</v>
      </c>
      <c r="Q113"/>
    </row>
    <row r="114" spans="1:17" ht="14.4" x14ac:dyDescent="0.3">
      <c r="A114" t="s">
        <v>9</v>
      </c>
      <c r="B114" t="s">
        <v>859</v>
      </c>
      <c r="C114" t="s">
        <v>910</v>
      </c>
      <c r="D114" t="s">
        <v>1082</v>
      </c>
      <c r="E114" t="s">
        <v>1083</v>
      </c>
      <c r="F114" t="s">
        <v>832</v>
      </c>
      <c r="G114" s="35">
        <v>2.41</v>
      </c>
      <c r="H114" s="33">
        <f>G114*(1-IFERROR(VLOOKUP(F114,'enter the discount'!$D$10:$E$40,2,FALSE),0))</f>
        <v>2.41</v>
      </c>
      <c r="I114" s="35" t="s">
        <v>2605</v>
      </c>
      <c r="J114" s="33" t="s">
        <v>106</v>
      </c>
      <c r="K114" s="33" t="s">
        <v>2749</v>
      </c>
      <c r="L114">
        <v>100</v>
      </c>
      <c r="M114">
        <v>4800</v>
      </c>
      <c r="N114" t="s">
        <v>2754</v>
      </c>
      <c r="O114" s="34" t="str">
        <f>HYPERLINK("https://b2b.kobi.pl/pl/product/9676,zarowka-led-mb-6w-e27-6000k-kobi?currency=PLN")</f>
        <v>https://b2b.kobi.pl/pl/product/9676,zarowka-led-mb-6w-e27-6000k-kobi?currency=PLN</v>
      </c>
      <c r="P114" s="34" t="str">
        <f>HYPERLINK("https://eprel.ec.europa.eu/qr/660672")</f>
        <v>https://eprel.ec.europa.eu/qr/660672</v>
      </c>
      <c r="Q114"/>
    </row>
    <row r="115" spans="1:17" ht="14.4" x14ac:dyDescent="0.3">
      <c r="A115" t="s">
        <v>9</v>
      </c>
      <c r="B115" t="s">
        <v>859</v>
      </c>
      <c r="C115" t="s">
        <v>30</v>
      </c>
      <c r="D115" t="s">
        <v>1084</v>
      </c>
      <c r="E115" t="s">
        <v>1085</v>
      </c>
      <c r="F115" t="s">
        <v>832</v>
      </c>
      <c r="G115" s="35">
        <v>1.93</v>
      </c>
      <c r="H115" s="33">
        <f>G115*(1-IFERROR(VLOOKUP(F115,'enter the discount'!$D$10:$E$40,2,FALSE),0))</f>
        <v>1.93</v>
      </c>
      <c r="I115" s="35" t="s">
        <v>2593</v>
      </c>
      <c r="J115" s="33" t="s">
        <v>95</v>
      </c>
      <c r="K115" s="33" t="s">
        <v>2749</v>
      </c>
      <c r="L115">
        <v>100</v>
      </c>
      <c r="M115">
        <v>5600</v>
      </c>
      <c r="N115" t="s">
        <v>2754</v>
      </c>
      <c r="O115" s="34" t="str">
        <f>HYPERLINK("https://b2b.kobi.pl/pl/product/9618,zarowka-led-mb-7w-e14-3000k-led2b?currency=PLN")</f>
        <v>https://b2b.kobi.pl/pl/product/9618,zarowka-led-mb-7w-e14-3000k-led2b?currency=PLN</v>
      </c>
      <c r="P115" s="34" t="str">
        <f>HYPERLINK("https://eprel.ec.europa.eu/qr/660300")</f>
        <v>https://eprel.ec.europa.eu/qr/660300</v>
      </c>
      <c r="Q115" t="s">
        <v>2775</v>
      </c>
    </row>
    <row r="116" spans="1:17" ht="14.4" x14ac:dyDescent="0.3">
      <c r="A116" t="s">
        <v>9</v>
      </c>
      <c r="B116" t="s">
        <v>859</v>
      </c>
      <c r="C116" t="s">
        <v>30</v>
      </c>
      <c r="D116" t="s">
        <v>1086</v>
      </c>
      <c r="E116" t="s">
        <v>1087</v>
      </c>
      <c r="F116" t="s">
        <v>832</v>
      </c>
      <c r="G116" s="35">
        <v>1.93</v>
      </c>
      <c r="H116" s="33">
        <f>G116*(1-IFERROR(VLOOKUP(F116,'enter the discount'!$D$10:$E$40,2,FALSE),0))</f>
        <v>1.93</v>
      </c>
      <c r="I116" s="35" t="s">
        <v>2593</v>
      </c>
      <c r="J116" s="33" t="s">
        <v>96</v>
      </c>
      <c r="K116" s="33" t="s">
        <v>2749</v>
      </c>
      <c r="L116">
        <v>100</v>
      </c>
      <c r="M116">
        <v>5600</v>
      </c>
      <c r="N116" t="s">
        <v>2754</v>
      </c>
      <c r="O116" s="34" t="str">
        <f>HYPERLINK("https://b2b.kobi.pl/pl/product/9619,zarowka-led-mb-7w-e14-4000k-led2b?currency=PLN")</f>
        <v>https://b2b.kobi.pl/pl/product/9619,zarowka-led-mb-7w-e14-4000k-led2b?currency=PLN</v>
      </c>
      <c r="P116" s="34" t="str">
        <f>HYPERLINK("https://eprel.ec.europa.eu/qr/660301")</f>
        <v>https://eprel.ec.europa.eu/qr/660301</v>
      </c>
      <c r="Q116" t="s">
        <v>2775</v>
      </c>
    </row>
    <row r="117" spans="1:17" ht="14.4" x14ac:dyDescent="0.3">
      <c r="A117" t="s">
        <v>9</v>
      </c>
      <c r="B117" t="s">
        <v>859</v>
      </c>
      <c r="C117" t="s">
        <v>30</v>
      </c>
      <c r="D117" t="s">
        <v>1088</v>
      </c>
      <c r="E117" t="s">
        <v>1089</v>
      </c>
      <c r="F117" t="s">
        <v>832</v>
      </c>
      <c r="G117" s="35">
        <v>1.93</v>
      </c>
      <c r="H117" s="33">
        <f>G117*(1-IFERROR(VLOOKUP(F117,'enter the discount'!$D$10:$E$40,2,FALSE),0))</f>
        <v>1.93</v>
      </c>
      <c r="I117" s="35" t="s">
        <v>2593</v>
      </c>
      <c r="J117" s="33" t="s">
        <v>97</v>
      </c>
      <c r="K117" s="33" t="s">
        <v>2749</v>
      </c>
      <c r="L117">
        <v>100</v>
      </c>
      <c r="M117">
        <v>5600</v>
      </c>
      <c r="N117" t="s">
        <v>2754</v>
      </c>
      <c r="O117" s="34" t="str">
        <f>HYPERLINK("https://b2b.kobi.pl/pl/product/9620,zarowka-led-mb-7w-e14-6500k-led2b?currency=PLN")</f>
        <v>https://b2b.kobi.pl/pl/product/9620,zarowka-led-mb-7w-e14-6500k-led2b?currency=PLN</v>
      </c>
      <c r="P117" s="34" t="str">
        <f>HYPERLINK("https://eprel.ec.europa.eu/qr/660302")</f>
        <v>https://eprel.ec.europa.eu/qr/660302</v>
      </c>
      <c r="Q117" t="s">
        <v>2775</v>
      </c>
    </row>
    <row r="118" spans="1:17" ht="14.4" x14ac:dyDescent="0.3">
      <c r="A118" t="s">
        <v>9</v>
      </c>
      <c r="B118" t="s">
        <v>859</v>
      </c>
      <c r="C118" t="s">
        <v>30</v>
      </c>
      <c r="D118" t="s">
        <v>1090</v>
      </c>
      <c r="E118" t="s">
        <v>1091</v>
      </c>
      <c r="F118" t="s">
        <v>832</v>
      </c>
      <c r="G118" s="35">
        <v>1.93</v>
      </c>
      <c r="H118" s="33">
        <f>G118*(1-IFERROR(VLOOKUP(F118,'enter the discount'!$D$10:$E$40,2,FALSE),0))</f>
        <v>1.93</v>
      </c>
      <c r="I118" s="35" t="s">
        <v>2593</v>
      </c>
      <c r="J118" s="33" t="s">
        <v>107</v>
      </c>
      <c r="K118" s="33" t="s">
        <v>2749</v>
      </c>
      <c r="L118">
        <v>100</v>
      </c>
      <c r="M118">
        <v>5600</v>
      </c>
      <c r="N118" t="s">
        <v>2754</v>
      </c>
      <c r="O118" s="34" t="str">
        <f>HYPERLINK("https://b2b.kobi.pl/pl/product/9626,zarowka-led-mb-7w-e27-3000k-led2b?currency=PLN")</f>
        <v>https://b2b.kobi.pl/pl/product/9626,zarowka-led-mb-7w-e27-3000k-led2b?currency=PLN</v>
      </c>
      <c r="P118" s="34" t="str">
        <f>HYPERLINK("https://eprel.ec.europa.eu/qr/660306")</f>
        <v>https://eprel.ec.europa.eu/qr/660306</v>
      </c>
      <c r="Q118" t="s">
        <v>2775</v>
      </c>
    </row>
    <row r="119" spans="1:17" ht="14.4" x14ac:dyDescent="0.3">
      <c r="A119" t="s">
        <v>9</v>
      </c>
      <c r="B119" t="s">
        <v>859</v>
      </c>
      <c r="C119" t="s">
        <v>30</v>
      </c>
      <c r="D119" t="s">
        <v>1092</v>
      </c>
      <c r="E119" t="s">
        <v>1093</v>
      </c>
      <c r="F119" t="s">
        <v>832</v>
      </c>
      <c r="G119" s="35">
        <v>1.93</v>
      </c>
      <c r="H119" s="33">
        <f>G119*(1-IFERROR(VLOOKUP(F119,'enter the discount'!$D$10:$E$40,2,FALSE),0))</f>
        <v>1.93</v>
      </c>
      <c r="I119" s="35" t="s">
        <v>2593</v>
      </c>
      <c r="J119" s="33" t="s">
        <v>108</v>
      </c>
      <c r="K119" s="33" t="s">
        <v>2749</v>
      </c>
      <c r="L119">
        <v>100</v>
      </c>
      <c r="M119">
        <v>5600</v>
      </c>
      <c r="N119" t="s">
        <v>2754</v>
      </c>
      <c r="O119" s="34" t="str">
        <f>HYPERLINK("https://b2b.kobi.pl/pl/product/9627,zarowka-led-mb-7w-e27-4000k-led2b?currency=PLN")</f>
        <v>https://b2b.kobi.pl/pl/product/9627,zarowka-led-mb-7w-e27-4000k-led2b?currency=PLN</v>
      </c>
      <c r="P119" s="34" t="str">
        <f>HYPERLINK("https://eprel.ec.europa.eu/qr/660307")</f>
        <v>https://eprel.ec.europa.eu/qr/660307</v>
      </c>
      <c r="Q119" t="s">
        <v>2775</v>
      </c>
    </row>
    <row r="120" spans="1:17" ht="14.4" x14ac:dyDescent="0.3">
      <c r="A120" t="s">
        <v>9</v>
      </c>
      <c r="B120" t="s">
        <v>859</v>
      </c>
      <c r="C120" t="s">
        <v>30</v>
      </c>
      <c r="D120" t="s">
        <v>1094</v>
      </c>
      <c r="E120" t="s">
        <v>1095</v>
      </c>
      <c r="F120" t="s">
        <v>832</v>
      </c>
      <c r="G120" s="35">
        <v>1.93</v>
      </c>
      <c r="H120" s="33">
        <f>G120*(1-IFERROR(VLOOKUP(F120,'enter the discount'!$D$10:$E$40,2,FALSE),0))</f>
        <v>1.93</v>
      </c>
      <c r="I120" s="35" t="s">
        <v>2593</v>
      </c>
      <c r="J120" s="33" t="s">
        <v>109</v>
      </c>
      <c r="K120" s="33" t="s">
        <v>2749</v>
      </c>
      <c r="L120">
        <v>100</v>
      </c>
      <c r="M120">
        <v>5600</v>
      </c>
      <c r="N120" t="s">
        <v>2754</v>
      </c>
      <c r="O120" s="34" t="str">
        <f>HYPERLINK("https://b2b.kobi.pl/pl/product/9628,zarowka-led-mb-7w-e27-6500k-led2b?currency=PLN")</f>
        <v>https://b2b.kobi.pl/pl/product/9628,zarowka-led-mb-7w-e27-6500k-led2b?currency=PLN</v>
      </c>
      <c r="P120" s="34" t="str">
        <f>HYPERLINK("https://eprel.ec.europa.eu/qr/660308")</f>
        <v>https://eprel.ec.europa.eu/qr/660308</v>
      </c>
      <c r="Q120" t="s">
        <v>2775</v>
      </c>
    </row>
    <row r="121" spans="1:17" ht="14.4" x14ac:dyDescent="0.3">
      <c r="A121" t="s">
        <v>9</v>
      </c>
      <c r="B121" t="s">
        <v>859</v>
      </c>
      <c r="C121" t="s">
        <v>30</v>
      </c>
      <c r="D121" t="s">
        <v>1096</v>
      </c>
      <c r="E121" t="s">
        <v>1097</v>
      </c>
      <c r="F121" t="s">
        <v>832</v>
      </c>
      <c r="G121" s="35">
        <v>2.29</v>
      </c>
      <c r="H121" s="33">
        <f>G121*(1-IFERROR(VLOOKUP(F121,'enter the discount'!$D$10:$E$40,2,FALSE),0))</f>
        <v>2.29</v>
      </c>
      <c r="I121" s="35" t="s">
        <v>2593</v>
      </c>
      <c r="J121" s="33" t="s">
        <v>717</v>
      </c>
      <c r="K121" s="33" t="s">
        <v>2749</v>
      </c>
      <c r="L121">
        <v>100</v>
      </c>
      <c r="M121"/>
      <c r="N121" t="s">
        <v>2754</v>
      </c>
      <c r="O121" s="34" t="str">
        <f>HYPERLINK("https://b2b.kobi.pl/pl/product/9621,zarowka-led-mb-8-5w-e14-3000k-led2b?currency=PLN")</f>
        <v>https://b2b.kobi.pl/pl/product/9621,zarowka-led-mb-8-5w-e14-3000k-led2b?currency=PLN</v>
      </c>
      <c r="P121" s="34" t="str">
        <f>HYPERLINK("https://eprel.ec.europa.eu/qr/2044404")</f>
        <v>https://eprel.ec.europa.eu/qr/2044404</v>
      </c>
      <c r="Q121"/>
    </row>
    <row r="122" spans="1:17" ht="14.4" x14ac:dyDescent="0.3">
      <c r="A122" t="s">
        <v>9</v>
      </c>
      <c r="B122" t="s">
        <v>859</v>
      </c>
      <c r="C122" t="s">
        <v>30</v>
      </c>
      <c r="D122" t="s">
        <v>1098</v>
      </c>
      <c r="E122" t="s">
        <v>1099</v>
      </c>
      <c r="F122" t="s">
        <v>832</v>
      </c>
      <c r="G122" s="35">
        <v>2.29</v>
      </c>
      <c r="H122" s="33">
        <f>G122*(1-IFERROR(VLOOKUP(F122,'enter the discount'!$D$10:$E$40,2,FALSE),0))</f>
        <v>2.29</v>
      </c>
      <c r="I122" s="35" t="s">
        <v>2593</v>
      </c>
      <c r="J122" s="33" t="s">
        <v>718</v>
      </c>
      <c r="K122" s="33" t="s">
        <v>2749</v>
      </c>
      <c r="L122">
        <v>100</v>
      </c>
      <c r="M122"/>
      <c r="N122" t="s">
        <v>2754</v>
      </c>
      <c r="O122" s="34" t="str">
        <f>HYPERLINK("https://b2b.kobi.pl/pl/product/9622,zarowka-led-mb-8-5w-e14-4000k-led2b?currency=PLN")</f>
        <v>https://b2b.kobi.pl/pl/product/9622,zarowka-led-mb-8-5w-e14-4000k-led2b?currency=PLN</v>
      </c>
      <c r="P122" s="34" t="str">
        <f>HYPERLINK("https://eprel.ec.europa.eu/qr/2044417")</f>
        <v>https://eprel.ec.europa.eu/qr/2044417</v>
      </c>
      <c r="Q122"/>
    </row>
    <row r="123" spans="1:17" ht="14.4" x14ac:dyDescent="0.3">
      <c r="A123" t="s">
        <v>9</v>
      </c>
      <c r="B123" t="s">
        <v>859</v>
      </c>
      <c r="C123" t="s">
        <v>30</v>
      </c>
      <c r="D123" t="s">
        <v>1100</v>
      </c>
      <c r="E123" t="s">
        <v>1101</v>
      </c>
      <c r="F123" t="s">
        <v>832</v>
      </c>
      <c r="G123" s="35">
        <v>2.29</v>
      </c>
      <c r="H123" s="33">
        <f>G123*(1-IFERROR(VLOOKUP(F123,'enter the discount'!$D$10:$E$40,2,FALSE),0))</f>
        <v>2.29</v>
      </c>
      <c r="I123" s="35" t="s">
        <v>2593</v>
      </c>
      <c r="J123" s="33" t="s">
        <v>719</v>
      </c>
      <c r="K123" s="33" t="s">
        <v>2749</v>
      </c>
      <c r="L123">
        <v>100</v>
      </c>
      <c r="M123"/>
      <c r="N123" t="s">
        <v>2754</v>
      </c>
      <c r="O123" s="34" t="str">
        <f>HYPERLINK("https://b2b.kobi.pl/pl/product/9623,zarowka-led-mb-8-5w-e14-6500k-led2b?currency=PLN")</f>
        <v>https://b2b.kobi.pl/pl/product/9623,zarowka-led-mb-8-5w-e14-6500k-led2b?currency=PLN</v>
      </c>
      <c r="P123" s="34" t="str">
        <f>HYPERLINK("https://eprel.ec.europa.eu/qr/2044430")</f>
        <v>https://eprel.ec.europa.eu/qr/2044430</v>
      </c>
      <c r="Q123"/>
    </row>
    <row r="124" spans="1:17" ht="14.4" x14ac:dyDescent="0.3">
      <c r="A124" t="s">
        <v>9</v>
      </c>
      <c r="B124" t="s">
        <v>859</v>
      </c>
      <c r="C124" t="s">
        <v>30</v>
      </c>
      <c r="D124" t="s">
        <v>1102</v>
      </c>
      <c r="E124" t="s">
        <v>1103</v>
      </c>
      <c r="F124" t="s">
        <v>832</v>
      </c>
      <c r="G124" s="35">
        <v>2.29</v>
      </c>
      <c r="H124" s="33">
        <f>G124*(1-IFERROR(VLOOKUP(F124,'enter the discount'!$D$10:$E$40,2,FALSE),0))</f>
        <v>2.29</v>
      </c>
      <c r="I124" s="35" t="s">
        <v>2593</v>
      </c>
      <c r="J124" s="33" t="s">
        <v>720</v>
      </c>
      <c r="K124" s="33" t="s">
        <v>2749</v>
      </c>
      <c r="L124">
        <v>100</v>
      </c>
      <c r="M124"/>
      <c r="N124" t="s">
        <v>2754</v>
      </c>
      <c r="O124" s="34" t="str">
        <f>HYPERLINK("https://b2b.kobi.pl/pl/product/9629,zarowka-led-mb-8-5w-e27-3000k-led2b?currency=PLN")</f>
        <v>https://b2b.kobi.pl/pl/product/9629,zarowka-led-mb-8-5w-e27-3000k-led2b?currency=PLN</v>
      </c>
      <c r="P124" s="34" t="str">
        <f>HYPERLINK("https://eprel.ec.europa.eu/qr/2044481")</f>
        <v>https://eprel.ec.europa.eu/qr/2044481</v>
      </c>
      <c r="Q124"/>
    </row>
    <row r="125" spans="1:17" ht="14.4" x14ac:dyDescent="0.3">
      <c r="A125" t="s">
        <v>9</v>
      </c>
      <c r="B125" t="s">
        <v>859</v>
      </c>
      <c r="C125" t="s">
        <v>30</v>
      </c>
      <c r="D125" t="s">
        <v>1104</v>
      </c>
      <c r="E125" t="s">
        <v>1105</v>
      </c>
      <c r="F125" t="s">
        <v>832</v>
      </c>
      <c r="G125" s="35">
        <v>2.29</v>
      </c>
      <c r="H125" s="33">
        <f>G125*(1-IFERROR(VLOOKUP(F125,'enter the discount'!$D$10:$E$40,2,FALSE),0))</f>
        <v>2.29</v>
      </c>
      <c r="I125" s="35" t="s">
        <v>2593</v>
      </c>
      <c r="J125" s="33" t="s">
        <v>721</v>
      </c>
      <c r="K125" s="33" t="s">
        <v>2749</v>
      </c>
      <c r="L125">
        <v>100</v>
      </c>
      <c r="M125"/>
      <c r="N125" t="s">
        <v>2754</v>
      </c>
      <c r="O125" s="34" t="str">
        <f>HYPERLINK("https://b2b.kobi.pl/pl/product/9630,zarowka-led-mb-8-5w-e27-4000k-led2b?currency=PLN")</f>
        <v>https://b2b.kobi.pl/pl/product/9630,zarowka-led-mb-8-5w-e27-4000k-led2b?currency=PLN</v>
      </c>
      <c r="P125" s="34" t="str">
        <f>HYPERLINK("https://eprel.ec.europa.eu/qr/2044536")</f>
        <v>https://eprel.ec.europa.eu/qr/2044536</v>
      </c>
      <c r="Q125"/>
    </row>
    <row r="126" spans="1:17" ht="14.4" x14ac:dyDescent="0.3">
      <c r="A126" t="s">
        <v>9</v>
      </c>
      <c r="B126" t="s">
        <v>859</v>
      </c>
      <c r="C126" t="s">
        <v>30</v>
      </c>
      <c r="D126" t="s">
        <v>1106</v>
      </c>
      <c r="E126" t="s">
        <v>1107</v>
      </c>
      <c r="F126" t="s">
        <v>832</v>
      </c>
      <c r="G126" s="35">
        <v>2.29</v>
      </c>
      <c r="H126" s="33">
        <f>G126*(1-IFERROR(VLOOKUP(F126,'enter the discount'!$D$10:$E$40,2,FALSE),0))</f>
        <v>2.29</v>
      </c>
      <c r="I126" s="35" t="s">
        <v>2593</v>
      </c>
      <c r="J126" s="33" t="s">
        <v>722</v>
      </c>
      <c r="K126" s="33" t="s">
        <v>2749</v>
      </c>
      <c r="L126">
        <v>100</v>
      </c>
      <c r="M126"/>
      <c r="N126" t="s">
        <v>2754</v>
      </c>
      <c r="O126" s="34" t="str">
        <f>HYPERLINK("https://b2b.kobi.pl/pl/product/9631,zarowka-led-mb-8-5w-e27-6500k-led2b?currency=PLN")</f>
        <v>https://b2b.kobi.pl/pl/product/9631,zarowka-led-mb-8-5w-e27-6500k-led2b?currency=PLN</v>
      </c>
      <c r="P126" s="34" t="str">
        <f>HYPERLINK("https://eprel.ec.europa.eu/qr/2044546")</f>
        <v>https://eprel.ec.europa.eu/qr/2044546</v>
      </c>
      <c r="Q126"/>
    </row>
    <row r="127" spans="1:17" ht="14.4" x14ac:dyDescent="0.3">
      <c r="A127" t="s">
        <v>9</v>
      </c>
      <c r="B127" t="s">
        <v>859</v>
      </c>
      <c r="C127" t="s">
        <v>885</v>
      </c>
      <c r="D127" t="s">
        <v>1108</v>
      </c>
      <c r="E127" t="s">
        <v>1109</v>
      </c>
      <c r="F127" t="s">
        <v>832</v>
      </c>
      <c r="G127" s="35">
        <v>5.1100000000000003</v>
      </c>
      <c r="H127" s="33">
        <f>G127*(1-IFERROR(VLOOKUP(F127,'enter the discount'!$D$10:$E$40,2,FALSE),0))</f>
        <v>5.1100000000000003</v>
      </c>
      <c r="I127" s="35" t="s">
        <v>2593</v>
      </c>
      <c r="J127" s="33" t="s">
        <v>98</v>
      </c>
      <c r="K127" s="33" t="s">
        <v>2749</v>
      </c>
      <c r="L127">
        <v>100</v>
      </c>
      <c r="M127">
        <v>4200</v>
      </c>
      <c r="N127" t="s">
        <v>2754</v>
      </c>
      <c r="O127" s="34" t="str">
        <f>HYPERLINK("https://b2b.kobi.pl/pl/product/9668,zarowka-led-mb-9w-e14-3000k-kobi-premium?currency=PLN")</f>
        <v>https://b2b.kobi.pl/pl/product/9668,zarowka-led-mb-9w-e14-3000k-kobi-premium?currency=PLN</v>
      </c>
      <c r="P127" s="34" t="str">
        <f>HYPERLINK("https://eprel.ec.europa.eu/qr/660660")</f>
        <v>https://eprel.ec.europa.eu/qr/660660</v>
      </c>
      <c r="Q127"/>
    </row>
    <row r="128" spans="1:17" ht="14.4" x14ac:dyDescent="0.3">
      <c r="A128" t="s">
        <v>9</v>
      </c>
      <c r="B128" t="s">
        <v>859</v>
      </c>
      <c r="C128" t="s">
        <v>885</v>
      </c>
      <c r="D128" t="s">
        <v>1110</v>
      </c>
      <c r="E128" t="s">
        <v>1111</v>
      </c>
      <c r="F128" t="s">
        <v>832</v>
      </c>
      <c r="G128" s="35">
        <v>5.1100000000000003</v>
      </c>
      <c r="H128" s="33">
        <f>G128*(1-IFERROR(VLOOKUP(F128,'enter the discount'!$D$10:$E$40,2,FALSE),0))</f>
        <v>5.1100000000000003</v>
      </c>
      <c r="I128" s="35" t="s">
        <v>2593</v>
      </c>
      <c r="J128" s="33" t="s">
        <v>99</v>
      </c>
      <c r="K128" s="33" t="s">
        <v>2749</v>
      </c>
      <c r="L128">
        <v>100</v>
      </c>
      <c r="M128">
        <v>4200</v>
      </c>
      <c r="N128" t="s">
        <v>2754</v>
      </c>
      <c r="O128" s="34" t="str">
        <f>HYPERLINK("https://b2b.kobi.pl/pl/product/9669,zarowka-led-mb-9w-e14-4000k-kobi-premium?currency=PLN")</f>
        <v>https://b2b.kobi.pl/pl/product/9669,zarowka-led-mb-9w-e14-4000k-kobi-premium?currency=PLN</v>
      </c>
      <c r="P128" s="34" t="str">
        <f>HYPERLINK("https://eprel.ec.europa.eu/qr/660661")</f>
        <v>https://eprel.ec.europa.eu/qr/660661</v>
      </c>
      <c r="Q128"/>
    </row>
    <row r="129" spans="1:17" ht="14.4" x14ac:dyDescent="0.3">
      <c r="A129" t="s">
        <v>9</v>
      </c>
      <c r="B129" t="s">
        <v>859</v>
      </c>
      <c r="C129" t="s">
        <v>885</v>
      </c>
      <c r="D129" t="s">
        <v>1112</v>
      </c>
      <c r="E129" t="s">
        <v>1113</v>
      </c>
      <c r="F129" t="s">
        <v>832</v>
      </c>
      <c r="G129" s="35">
        <v>5.1100000000000003</v>
      </c>
      <c r="H129" s="33">
        <f>G129*(1-IFERROR(VLOOKUP(F129,'enter the discount'!$D$10:$E$40,2,FALSE),0))</f>
        <v>5.1100000000000003</v>
      </c>
      <c r="I129" s="35" t="s">
        <v>2593</v>
      </c>
      <c r="J129" s="33" t="s">
        <v>100</v>
      </c>
      <c r="K129" s="33" t="s">
        <v>2749</v>
      </c>
      <c r="L129">
        <v>100</v>
      </c>
      <c r="M129">
        <v>4200</v>
      </c>
      <c r="N129" t="s">
        <v>2754</v>
      </c>
      <c r="O129" s="34" t="str">
        <f>HYPERLINK("https://b2b.kobi.pl/pl/product/9670,zarowka-led-mb-9w-e14-6000k-kobi-premium?currency=PLN")</f>
        <v>https://b2b.kobi.pl/pl/product/9670,zarowka-led-mb-9w-e14-6000k-kobi-premium?currency=PLN</v>
      </c>
      <c r="P129" s="34" t="str">
        <f>HYPERLINK("https://eprel.ec.europa.eu/qr/660663")</f>
        <v>https://eprel.ec.europa.eu/qr/660663</v>
      </c>
      <c r="Q129"/>
    </row>
    <row r="130" spans="1:17" ht="14.4" x14ac:dyDescent="0.3">
      <c r="A130" t="s">
        <v>9</v>
      </c>
      <c r="B130" t="s">
        <v>859</v>
      </c>
      <c r="C130" t="s">
        <v>885</v>
      </c>
      <c r="D130" t="s">
        <v>1114</v>
      </c>
      <c r="E130" t="s">
        <v>1115</v>
      </c>
      <c r="F130" t="s">
        <v>832</v>
      </c>
      <c r="G130" s="35">
        <v>5.1100000000000003</v>
      </c>
      <c r="H130" s="33">
        <f>G130*(1-IFERROR(VLOOKUP(F130,'enter the discount'!$D$10:$E$40,2,FALSE),0))</f>
        <v>5.1100000000000003</v>
      </c>
      <c r="I130" s="35" t="s">
        <v>2593</v>
      </c>
      <c r="J130" s="33" t="s">
        <v>110</v>
      </c>
      <c r="K130" s="33" t="s">
        <v>2749</v>
      </c>
      <c r="L130">
        <v>100</v>
      </c>
      <c r="M130">
        <v>4200</v>
      </c>
      <c r="N130" t="s">
        <v>2754</v>
      </c>
      <c r="O130" s="34" t="str">
        <f>HYPERLINK("https://b2b.kobi.pl/pl/product/9677,zarowka-led-mb-9w-e27-3000k-kobi-premium?currency=PLN")</f>
        <v>https://b2b.kobi.pl/pl/product/9677,zarowka-led-mb-9w-e27-3000k-kobi-premium?currency=PLN</v>
      </c>
      <c r="P130" s="34" t="str">
        <f>HYPERLINK("https://eprel.ec.europa.eu/qr/660675")</f>
        <v>https://eprel.ec.europa.eu/qr/660675</v>
      </c>
      <c r="Q130"/>
    </row>
    <row r="131" spans="1:17" ht="14.4" x14ac:dyDescent="0.3">
      <c r="A131" t="s">
        <v>9</v>
      </c>
      <c r="B131" t="s">
        <v>859</v>
      </c>
      <c r="C131" t="s">
        <v>885</v>
      </c>
      <c r="D131" t="s">
        <v>1116</v>
      </c>
      <c r="E131" t="s">
        <v>1117</v>
      </c>
      <c r="F131" t="s">
        <v>832</v>
      </c>
      <c r="G131" s="35">
        <v>5.1100000000000003</v>
      </c>
      <c r="H131" s="33">
        <f>G131*(1-IFERROR(VLOOKUP(F131,'enter the discount'!$D$10:$E$40,2,FALSE),0))</f>
        <v>5.1100000000000003</v>
      </c>
      <c r="I131" s="35" t="s">
        <v>2593</v>
      </c>
      <c r="J131" s="33" t="s">
        <v>111</v>
      </c>
      <c r="K131" s="33" t="s">
        <v>2749</v>
      </c>
      <c r="L131">
        <v>100</v>
      </c>
      <c r="M131">
        <v>4200</v>
      </c>
      <c r="N131" t="s">
        <v>2754</v>
      </c>
      <c r="O131" s="34" t="str">
        <f>HYPERLINK("https://b2b.kobi.pl/pl/product/9678,zarowka-led-mb-9w-e27-4000k-kobi-premium?currency=PLN")</f>
        <v>https://b2b.kobi.pl/pl/product/9678,zarowka-led-mb-9w-e27-4000k-kobi-premium?currency=PLN</v>
      </c>
      <c r="P131" s="34" t="str">
        <f>HYPERLINK("https://eprel.ec.europa.eu/qr/660677")</f>
        <v>https://eprel.ec.europa.eu/qr/660677</v>
      </c>
      <c r="Q131"/>
    </row>
    <row r="132" spans="1:17" ht="14.4" x14ac:dyDescent="0.3">
      <c r="A132" t="s">
        <v>9</v>
      </c>
      <c r="B132" t="s">
        <v>859</v>
      </c>
      <c r="C132" t="s">
        <v>885</v>
      </c>
      <c r="D132" t="s">
        <v>1118</v>
      </c>
      <c r="E132" t="s">
        <v>1119</v>
      </c>
      <c r="F132" t="s">
        <v>832</v>
      </c>
      <c r="G132" s="35">
        <v>5.1100000000000003</v>
      </c>
      <c r="H132" s="33">
        <f>G132*(1-IFERROR(VLOOKUP(F132,'enter the discount'!$D$10:$E$40,2,FALSE),0))</f>
        <v>5.1100000000000003</v>
      </c>
      <c r="I132" s="35" t="s">
        <v>2593</v>
      </c>
      <c r="J132" s="33" t="s">
        <v>112</v>
      </c>
      <c r="K132" s="33" t="s">
        <v>2749</v>
      </c>
      <c r="L132">
        <v>100</v>
      </c>
      <c r="M132">
        <v>4200</v>
      </c>
      <c r="N132" t="s">
        <v>2754</v>
      </c>
      <c r="O132" s="34" t="str">
        <f>HYPERLINK("https://b2b.kobi.pl/pl/product/9679,zarowka-led-mb-9w-e27-6000k-kobi-premium?currency=PLN")</f>
        <v>https://b2b.kobi.pl/pl/product/9679,zarowka-led-mb-9w-e27-6000k-kobi-premium?currency=PLN</v>
      </c>
      <c r="P132" s="34" t="str">
        <f>HYPERLINK("https://eprel.ec.europa.eu/qr/660678")</f>
        <v>https://eprel.ec.europa.eu/qr/660678</v>
      </c>
      <c r="Q132"/>
    </row>
    <row r="133" spans="1:17" ht="14.4" x14ac:dyDescent="0.3">
      <c r="A133" t="s">
        <v>9</v>
      </c>
      <c r="B133" t="s">
        <v>859</v>
      </c>
      <c r="C133" t="s">
        <v>910</v>
      </c>
      <c r="D133" t="s">
        <v>1120</v>
      </c>
      <c r="E133" t="s">
        <v>1121</v>
      </c>
      <c r="F133" t="s">
        <v>832</v>
      </c>
      <c r="G133" s="35">
        <v>1.58</v>
      </c>
      <c r="H133" s="33">
        <f>G133*(1-IFERROR(VLOOKUP(F133,'enter the discount'!$D$10:$E$40,2,FALSE),0))</f>
        <v>1.58</v>
      </c>
      <c r="I133" s="35" t="s">
        <v>2593</v>
      </c>
      <c r="J133" s="33" t="s">
        <v>121</v>
      </c>
      <c r="K133" s="33" t="s">
        <v>2749</v>
      </c>
      <c r="L133">
        <v>100</v>
      </c>
      <c r="M133">
        <v>3000</v>
      </c>
      <c r="N133" t="s">
        <v>2754</v>
      </c>
      <c r="O133" s="34" t="str">
        <f>HYPERLINK("https://b2b.kobi.pl/pl/product/9696,zarowka-led-sw-1-5w-e14-4000k-kobi?currency=PLN")</f>
        <v>https://b2b.kobi.pl/pl/product/9696,zarowka-led-sw-1-5w-e14-4000k-kobi?currency=PLN</v>
      </c>
      <c r="P133" s="34" t="str">
        <f>HYPERLINK("https://eprel.ec.europa.eu/qr/909569")</f>
        <v>https://eprel.ec.europa.eu/qr/909569</v>
      </c>
      <c r="Q133" t="s">
        <v>2775</v>
      </c>
    </row>
    <row r="134" spans="1:17" ht="14.4" x14ac:dyDescent="0.3">
      <c r="A134" t="s">
        <v>9</v>
      </c>
      <c r="B134" t="s">
        <v>859</v>
      </c>
      <c r="C134" t="s">
        <v>910</v>
      </c>
      <c r="D134" t="s">
        <v>1122</v>
      </c>
      <c r="E134" t="s">
        <v>1123</v>
      </c>
      <c r="F134" t="s">
        <v>832</v>
      </c>
      <c r="G134" s="35">
        <v>1.58</v>
      </c>
      <c r="H134" s="33">
        <f>G134*(1-IFERROR(VLOOKUP(F134,'enter the discount'!$D$10:$E$40,2,FALSE),0))</f>
        <v>1.58</v>
      </c>
      <c r="I134" s="35" t="s">
        <v>2593</v>
      </c>
      <c r="J134" s="33" t="s">
        <v>122</v>
      </c>
      <c r="K134" s="33" t="s">
        <v>2749</v>
      </c>
      <c r="L134">
        <v>100</v>
      </c>
      <c r="M134">
        <v>3000</v>
      </c>
      <c r="N134" t="s">
        <v>2754</v>
      </c>
      <c r="O134" s="34" t="str">
        <f>HYPERLINK("https://b2b.kobi.pl/pl/product/9697,zarowka-led-sw-1-5w-e14-6000k-kobi?currency=PLN")</f>
        <v>https://b2b.kobi.pl/pl/product/9697,zarowka-led-sw-1-5w-e14-6000k-kobi?currency=PLN</v>
      </c>
      <c r="P134" s="34" t="str">
        <f>HYPERLINK("https://eprel.ec.europa.eu/qr/660756")</f>
        <v>https://eprel.ec.europa.eu/qr/660756</v>
      </c>
      <c r="Q134" t="s">
        <v>2775</v>
      </c>
    </row>
    <row r="135" spans="1:17" ht="14.4" x14ac:dyDescent="0.3">
      <c r="A135" t="s">
        <v>9</v>
      </c>
      <c r="B135" t="s">
        <v>859</v>
      </c>
      <c r="C135" t="s">
        <v>910</v>
      </c>
      <c r="D135" t="s">
        <v>1124</v>
      </c>
      <c r="E135" t="s">
        <v>1125</v>
      </c>
      <c r="F135" t="s">
        <v>832</v>
      </c>
      <c r="G135" s="35">
        <v>1.66</v>
      </c>
      <c r="H135" s="33">
        <f>G135*(1-IFERROR(VLOOKUP(F135,'enter the discount'!$D$10:$E$40,2,FALSE),0))</f>
        <v>1.66</v>
      </c>
      <c r="I135" s="35" t="s">
        <v>2605</v>
      </c>
      <c r="J135" s="33" t="s">
        <v>123</v>
      </c>
      <c r="K135" s="33" t="s">
        <v>2749</v>
      </c>
      <c r="L135">
        <v>100</v>
      </c>
      <c r="M135"/>
      <c r="N135" t="s">
        <v>2754</v>
      </c>
      <c r="O135" s="34" t="str">
        <f>HYPERLINK("https://b2b.kobi.pl/pl/product/9698,zarowka-led-sw-3w-e14-3000k-kobi?currency=PLN")</f>
        <v>https://b2b.kobi.pl/pl/product/9698,zarowka-led-sw-3w-e14-3000k-kobi?currency=PLN</v>
      </c>
      <c r="P135" s="34" t="str">
        <f>HYPERLINK("https://eprel.ec.europa.eu/qr/660758")</f>
        <v>https://eprel.ec.europa.eu/qr/660758</v>
      </c>
      <c r="Q135"/>
    </row>
    <row r="136" spans="1:17" ht="14.4" x14ac:dyDescent="0.3">
      <c r="A136" t="s">
        <v>9</v>
      </c>
      <c r="B136" t="s">
        <v>859</v>
      </c>
      <c r="C136" t="s">
        <v>910</v>
      </c>
      <c r="D136" t="s">
        <v>1126</v>
      </c>
      <c r="E136" t="s">
        <v>1127</v>
      </c>
      <c r="F136" t="s">
        <v>832</v>
      </c>
      <c r="G136" s="35">
        <v>2.25</v>
      </c>
      <c r="H136" s="33">
        <f>G136*(1-IFERROR(VLOOKUP(F136,'enter the discount'!$D$10:$E$40,2,FALSE),0))</f>
        <v>2.25</v>
      </c>
      <c r="I136" s="35" t="s">
        <v>2593</v>
      </c>
      <c r="J136" s="33" t="s">
        <v>124</v>
      </c>
      <c r="K136" s="33" t="s">
        <v>2749</v>
      </c>
      <c r="L136">
        <v>100</v>
      </c>
      <c r="M136">
        <v>6000</v>
      </c>
      <c r="N136" t="s">
        <v>2754</v>
      </c>
      <c r="O136" s="34" t="str">
        <f>HYPERLINK("https://b2b.kobi.pl/pl/product/9699,zarowka-led-sw-4-5w-e14-3000k-kobi?currency=PLN")</f>
        <v>https://b2b.kobi.pl/pl/product/9699,zarowka-led-sw-4-5w-e14-3000k-kobi?currency=PLN</v>
      </c>
      <c r="P136" s="34" t="str">
        <f>HYPERLINK("https://eprel.ec.europa.eu/qr/660760")</f>
        <v>https://eprel.ec.europa.eu/qr/660760</v>
      </c>
      <c r="Q136"/>
    </row>
    <row r="137" spans="1:17" ht="14.4" x14ac:dyDescent="0.3">
      <c r="A137" t="s">
        <v>9</v>
      </c>
      <c r="B137" t="s">
        <v>859</v>
      </c>
      <c r="C137" t="s">
        <v>910</v>
      </c>
      <c r="D137" t="s">
        <v>1128</v>
      </c>
      <c r="E137" t="s">
        <v>1129</v>
      </c>
      <c r="F137" t="s">
        <v>832</v>
      </c>
      <c r="G137" s="35">
        <v>2.25</v>
      </c>
      <c r="H137" s="33">
        <f>G137*(1-IFERROR(VLOOKUP(F137,'enter the discount'!$D$10:$E$40,2,FALSE),0))</f>
        <v>2.25</v>
      </c>
      <c r="I137" s="35" t="s">
        <v>2593</v>
      </c>
      <c r="J137" s="33" t="s">
        <v>125</v>
      </c>
      <c r="K137" s="33" t="s">
        <v>2749</v>
      </c>
      <c r="L137">
        <v>100</v>
      </c>
      <c r="M137">
        <v>6000</v>
      </c>
      <c r="N137" t="s">
        <v>2754</v>
      </c>
      <c r="O137" s="34" t="str">
        <f>HYPERLINK("https://b2b.kobi.pl/pl/product/9700,zarowka-led-sw-4-5w-e14-4000k-kobi?currency=PLN")</f>
        <v>https://b2b.kobi.pl/pl/product/9700,zarowka-led-sw-4-5w-e14-4000k-kobi?currency=PLN</v>
      </c>
      <c r="P137" s="34" t="str">
        <f>HYPERLINK("https://eprel.ec.europa.eu/qr/660762")</f>
        <v>https://eprel.ec.europa.eu/qr/660762</v>
      </c>
      <c r="Q137"/>
    </row>
    <row r="138" spans="1:17" ht="14.4" x14ac:dyDescent="0.3">
      <c r="A138" t="s">
        <v>9</v>
      </c>
      <c r="B138" t="s">
        <v>859</v>
      </c>
      <c r="C138" t="s">
        <v>910</v>
      </c>
      <c r="D138" t="s">
        <v>1130</v>
      </c>
      <c r="E138" t="s">
        <v>1131</v>
      </c>
      <c r="F138" t="s">
        <v>832</v>
      </c>
      <c r="G138" s="35">
        <v>2.25</v>
      </c>
      <c r="H138" s="33">
        <f>G138*(1-IFERROR(VLOOKUP(F138,'enter the discount'!$D$10:$E$40,2,FALSE),0))</f>
        <v>2.25</v>
      </c>
      <c r="I138" s="35" t="s">
        <v>2593</v>
      </c>
      <c r="J138" s="33" t="s">
        <v>126</v>
      </c>
      <c r="K138" s="33" t="s">
        <v>2749</v>
      </c>
      <c r="L138">
        <v>100</v>
      </c>
      <c r="M138">
        <v>6000</v>
      </c>
      <c r="N138" t="s">
        <v>2754</v>
      </c>
      <c r="O138" s="34" t="str">
        <f>HYPERLINK("https://b2b.kobi.pl/pl/product/9701,zarowka-led-sw-4-5w-e14-6000k-kobi?currency=PLN")</f>
        <v>https://b2b.kobi.pl/pl/product/9701,zarowka-led-sw-4-5w-e14-6000k-kobi?currency=PLN</v>
      </c>
      <c r="P138" s="34" t="str">
        <f>HYPERLINK("https://eprel.ec.europa.eu/qr/660763")</f>
        <v>https://eprel.ec.europa.eu/qr/660763</v>
      </c>
      <c r="Q138"/>
    </row>
    <row r="139" spans="1:17" ht="14.4" x14ac:dyDescent="0.3">
      <c r="A139" t="s">
        <v>9</v>
      </c>
      <c r="B139" t="s">
        <v>859</v>
      </c>
      <c r="C139" t="s">
        <v>910</v>
      </c>
      <c r="D139" t="s">
        <v>1132</v>
      </c>
      <c r="E139" t="s">
        <v>1133</v>
      </c>
      <c r="F139" t="s">
        <v>832</v>
      </c>
      <c r="G139" s="35">
        <v>2.25</v>
      </c>
      <c r="H139" s="33">
        <f>G139*(1-IFERROR(VLOOKUP(F139,'enter the discount'!$D$10:$E$40,2,FALSE),0))</f>
        <v>2.25</v>
      </c>
      <c r="I139" s="35" t="s">
        <v>2593</v>
      </c>
      <c r="J139" s="33" t="s">
        <v>135</v>
      </c>
      <c r="K139" s="33" t="s">
        <v>2749</v>
      </c>
      <c r="L139">
        <v>100</v>
      </c>
      <c r="M139"/>
      <c r="N139" t="s">
        <v>2754</v>
      </c>
      <c r="O139" s="34" t="str">
        <f>HYPERLINK("https://b2b.kobi.pl/pl/product/9710,zarowka-led-sw-4-5w-e27-3000k-kobi?currency=PLN")</f>
        <v>https://b2b.kobi.pl/pl/product/9710,zarowka-led-sw-4-5w-e27-3000k-kobi?currency=PLN</v>
      </c>
      <c r="P139" s="34" t="str">
        <f>HYPERLINK("https://eprel.ec.europa.eu/qr/660774")</f>
        <v>https://eprel.ec.europa.eu/qr/660774</v>
      </c>
      <c r="Q139" t="s">
        <v>2775</v>
      </c>
    </row>
    <row r="140" spans="1:17" ht="14.4" x14ac:dyDescent="0.3">
      <c r="A140" t="s">
        <v>9</v>
      </c>
      <c r="B140" t="s">
        <v>859</v>
      </c>
      <c r="C140" t="s">
        <v>910</v>
      </c>
      <c r="D140" t="s">
        <v>1134</v>
      </c>
      <c r="E140" t="s">
        <v>1135</v>
      </c>
      <c r="F140" t="s">
        <v>832</v>
      </c>
      <c r="G140" s="35">
        <v>2.41</v>
      </c>
      <c r="H140" s="33">
        <f>G140*(1-IFERROR(VLOOKUP(F140,'enter the discount'!$D$10:$E$40,2,FALSE),0))</f>
        <v>2.41</v>
      </c>
      <c r="I140" s="35" t="s">
        <v>2605</v>
      </c>
      <c r="J140" s="33" t="s">
        <v>127</v>
      </c>
      <c r="K140" s="33" t="s">
        <v>2749</v>
      </c>
      <c r="L140">
        <v>100</v>
      </c>
      <c r="M140">
        <v>6000</v>
      </c>
      <c r="N140" t="s">
        <v>2754</v>
      </c>
      <c r="O140" s="34" t="str">
        <f>HYPERLINK("https://b2b.kobi.pl/pl/product/9702,zarowka-led-sw-6w-e14-3000k-kobi?currency=PLN")</f>
        <v>https://b2b.kobi.pl/pl/product/9702,zarowka-led-sw-6w-e14-3000k-kobi?currency=PLN</v>
      </c>
      <c r="P140" s="34" t="str">
        <f>HYPERLINK("https://eprel.ec.europa.eu/qr/660765")</f>
        <v>https://eprel.ec.europa.eu/qr/660765</v>
      </c>
      <c r="Q140"/>
    </row>
    <row r="141" spans="1:17" ht="14.4" x14ac:dyDescent="0.3">
      <c r="A141" t="s">
        <v>9</v>
      </c>
      <c r="B141" t="s">
        <v>859</v>
      </c>
      <c r="C141" t="s">
        <v>910</v>
      </c>
      <c r="D141" t="s">
        <v>1136</v>
      </c>
      <c r="E141" t="s">
        <v>1137</v>
      </c>
      <c r="F141" t="s">
        <v>832</v>
      </c>
      <c r="G141" s="35">
        <v>2.41</v>
      </c>
      <c r="H141" s="33">
        <f>G141*(1-IFERROR(VLOOKUP(F141,'enter the discount'!$D$10:$E$40,2,FALSE),0))</f>
        <v>2.41</v>
      </c>
      <c r="I141" s="35" t="s">
        <v>2605</v>
      </c>
      <c r="J141" s="33" t="s">
        <v>128</v>
      </c>
      <c r="K141" s="33" t="s">
        <v>2749</v>
      </c>
      <c r="L141">
        <v>100</v>
      </c>
      <c r="M141">
        <v>6000</v>
      </c>
      <c r="N141" t="s">
        <v>2754</v>
      </c>
      <c r="O141" s="34" t="str">
        <f>HYPERLINK("https://b2b.kobi.pl/pl/product/9703,zarowka-led-sw-6w-e14-4000k-kobi?currency=PLN")</f>
        <v>https://b2b.kobi.pl/pl/product/9703,zarowka-led-sw-6w-e14-4000k-kobi?currency=PLN</v>
      </c>
      <c r="P141" s="34" t="str">
        <f>HYPERLINK("https://eprel.ec.europa.eu/qr/660766")</f>
        <v>https://eprel.ec.europa.eu/qr/660766</v>
      </c>
      <c r="Q141"/>
    </row>
    <row r="142" spans="1:17" ht="14.4" x14ac:dyDescent="0.3">
      <c r="A142" t="s">
        <v>9</v>
      </c>
      <c r="B142" t="s">
        <v>859</v>
      </c>
      <c r="C142" t="s">
        <v>910</v>
      </c>
      <c r="D142" t="s">
        <v>1138</v>
      </c>
      <c r="E142" t="s">
        <v>1139</v>
      </c>
      <c r="F142" t="s">
        <v>832</v>
      </c>
      <c r="G142" s="35">
        <v>2.41</v>
      </c>
      <c r="H142" s="33">
        <f>G142*(1-IFERROR(VLOOKUP(F142,'enter the discount'!$D$10:$E$40,2,FALSE),0))</f>
        <v>2.41</v>
      </c>
      <c r="I142" s="35" t="s">
        <v>2605</v>
      </c>
      <c r="J142" s="33" t="s">
        <v>129</v>
      </c>
      <c r="K142" s="33" t="s">
        <v>2749</v>
      </c>
      <c r="L142">
        <v>100</v>
      </c>
      <c r="M142">
        <v>6000</v>
      </c>
      <c r="N142" t="s">
        <v>2754</v>
      </c>
      <c r="O142" s="34" t="str">
        <f>HYPERLINK("https://b2b.kobi.pl/pl/product/9704,zarowka-led-sw-6w-e14-6000k-kobi?currency=PLN")</f>
        <v>https://b2b.kobi.pl/pl/product/9704,zarowka-led-sw-6w-e14-6000k-kobi?currency=PLN</v>
      </c>
      <c r="P142" s="34" t="str">
        <f>HYPERLINK("https://eprel.ec.europa.eu/qr/660767")</f>
        <v>https://eprel.ec.europa.eu/qr/660767</v>
      </c>
      <c r="Q142"/>
    </row>
    <row r="143" spans="1:17" ht="14.4" x14ac:dyDescent="0.3">
      <c r="A143" t="s">
        <v>9</v>
      </c>
      <c r="B143" t="s">
        <v>859</v>
      </c>
      <c r="C143" t="s">
        <v>910</v>
      </c>
      <c r="D143" t="s">
        <v>1140</v>
      </c>
      <c r="E143" t="s">
        <v>1141</v>
      </c>
      <c r="F143" t="s">
        <v>832</v>
      </c>
      <c r="G143" s="35">
        <v>2.41</v>
      </c>
      <c r="H143" s="33">
        <f>G143*(1-IFERROR(VLOOKUP(F143,'enter the discount'!$D$10:$E$40,2,FALSE),0))</f>
        <v>2.41</v>
      </c>
      <c r="I143" s="35" t="s">
        <v>2605</v>
      </c>
      <c r="J143" s="33" t="s">
        <v>136</v>
      </c>
      <c r="K143" s="33" t="s">
        <v>2749</v>
      </c>
      <c r="L143">
        <v>100</v>
      </c>
      <c r="M143"/>
      <c r="N143" t="s">
        <v>2754</v>
      </c>
      <c r="O143" s="34" t="str">
        <f>HYPERLINK("https://b2b.kobi.pl/pl/product/9711,zarowka-led-sw-6w-e27-3000k-kobi?currency=PLN")</f>
        <v>https://b2b.kobi.pl/pl/product/9711,zarowka-led-sw-6w-e27-3000k-kobi?currency=PLN</v>
      </c>
      <c r="P143" s="34" t="str">
        <f>HYPERLINK("https://eprel.ec.europa.eu/qr/660782")</f>
        <v>https://eprel.ec.europa.eu/qr/660782</v>
      </c>
      <c r="Q143"/>
    </row>
    <row r="144" spans="1:17" ht="14.4" x14ac:dyDescent="0.3">
      <c r="A144" t="s">
        <v>9</v>
      </c>
      <c r="B144" t="s">
        <v>859</v>
      </c>
      <c r="C144" t="s">
        <v>910</v>
      </c>
      <c r="D144" t="s">
        <v>1142</v>
      </c>
      <c r="E144" t="s">
        <v>1143</v>
      </c>
      <c r="F144" t="s">
        <v>832</v>
      </c>
      <c r="G144" s="35">
        <v>2.41</v>
      </c>
      <c r="H144" s="33">
        <f>G144*(1-IFERROR(VLOOKUP(F144,'enter the discount'!$D$10:$E$40,2,FALSE),0))</f>
        <v>2.41</v>
      </c>
      <c r="I144" s="35" t="s">
        <v>2605</v>
      </c>
      <c r="J144" s="33" t="s">
        <v>137</v>
      </c>
      <c r="K144" s="33" t="s">
        <v>2749</v>
      </c>
      <c r="L144">
        <v>100</v>
      </c>
      <c r="M144"/>
      <c r="N144" t="s">
        <v>2754</v>
      </c>
      <c r="O144" s="34" t="str">
        <f>HYPERLINK("https://b2b.kobi.pl/pl/product/9712,zarowka-led-sw-6w-e27-4000k-kobi?currency=PLN")</f>
        <v>https://b2b.kobi.pl/pl/product/9712,zarowka-led-sw-6w-e27-4000k-kobi?currency=PLN</v>
      </c>
      <c r="P144" s="34" t="str">
        <f>HYPERLINK("https://eprel.ec.europa.eu/qr/660784")</f>
        <v>https://eprel.ec.europa.eu/qr/660784</v>
      </c>
      <c r="Q144"/>
    </row>
    <row r="145" spans="1:17" ht="14.4" x14ac:dyDescent="0.3">
      <c r="A145" t="s">
        <v>9</v>
      </c>
      <c r="B145" t="s">
        <v>859</v>
      </c>
      <c r="C145" t="s">
        <v>910</v>
      </c>
      <c r="D145" t="s">
        <v>1144</v>
      </c>
      <c r="E145" t="s">
        <v>1145</v>
      </c>
      <c r="F145" t="s">
        <v>832</v>
      </c>
      <c r="G145" s="35">
        <v>2.41</v>
      </c>
      <c r="H145" s="33">
        <f>G145*(1-IFERROR(VLOOKUP(F145,'enter the discount'!$D$10:$E$40,2,FALSE),0))</f>
        <v>2.41</v>
      </c>
      <c r="I145" s="35" t="s">
        <v>2605</v>
      </c>
      <c r="J145" s="33" t="s">
        <v>138</v>
      </c>
      <c r="K145" s="33" t="s">
        <v>2749</v>
      </c>
      <c r="L145">
        <v>100</v>
      </c>
      <c r="M145"/>
      <c r="N145" t="s">
        <v>2754</v>
      </c>
      <c r="O145" s="34" t="str">
        <f>HYPERLINK("https://b2b.kobi.pl/pl/product/9713,zarowka-led-sw-6w-e27-6000k-kobi?currency=PLN")</f>
        <v>https://b2b.kobi.pl/pl/product/9713,zarowka-led-sw-6w-e27-6000k-kobi?currency=PLN</v>
      </c>
      <c r="P145" s="34" t="str">
        <f>HYPERLINK("https://eprel.ec.europa.eu/qr/660786")</f>
        <v>https://eprel.ec.europa.eu/qr/660786</v>
      </c>
      <c r="Q145"/>
    </row>
    <row r="146" spans="1:17" ht="14.4" x14ac:dyDescent="0.3">
      <c r="A146" t="s">
        <v>9</v>
      </c>
      <c r="B146" t="s">
        <v>859</v>
      </c>
      <c r="C146" t="s">
        <v>30</v>
      </c>
      <c r="D146" t="s">
        <v>1146</v>
      </c>
      <c r="E146" t="s">
        <v>1147</v>
      </c>
      <c r="F146" t="s">
        <v>832</v>
      </c>
      <c r="G146" s="35">
        <v>1.93</v>
      </c>
      <c r="H146" s="33">
        <f>G146*(1-IFERROR(VLOOKUP(F146,'enter the discount'!$D$10:$E$40,2,FALSE),0))</f>
        <v>1.93</v>
      </c>
      <c r="I146" s="35" t="s">
        <v>2593</v>
      </c>
      <c r="J146" s="33" t="s">
        <v>130</v>
      </c>
      <c r="K146" s="33" t="s">
        <v>2749</v>
      </c>
      <c r="L146">
        <v>100</v>
      </c>
      <c r="M146">
        <v>6000</v>
      </c>
      <c r="N146" t="s">
        <v>2754</v>
      </c>
      <c r="O146" s="34" t="str">
        <f>HYPERLINK("https://b2b.kobi.pl/pl/product/9632,zarowka-led-sw-7w-e14-3000k-led2b?currency=PLN")</f>
        <v>https://b2b.kobi.pl/pl/product/9632,zarowka-led-sw-7w-e14-3000k-led2b?currency=PLN</v>
      </c>
      <c r="P146" s="34" t="str">
        <f>HYPERLINK("https://eprel.ec.europa.eu/qr/660313")</f>
        <v>https://eprel.ec.europa.eu/qr/660313</v>
      </c>
      <c r="Q146" t="s">
        <v>2775</v>
      </c>
    </row>
    <row r="147" spans="1:17" ht="14.4" x14ac:dyDescent="0.3">
      <c r="A147" t="s">
        <v>9</v>
      </c>
      <c r="B147" t="s">
        <v>859</v>
      </c>
      <c r="C147" t="s">
        <v>30</v>
      </c>
      <c r="D147" t="s">
        <v>1148</v>
      </c>
      <c r="E147" t="s">
        <v>1149</v>
      </c>
      <c r="F147" t="s">
        <v>832</v>
      </c>
      <c r="G147" s="35">
        <v>1.93</v>
      </c>
      <c r="H147" s="33">
        <f>G147*(1-IFERROR(VLOOKUP(F147,'enter the discount'!$D$10:$E$40,2,FALSE),0))</f>
        <v>1.93</v>
      </c>
      <c r="I147" s="35" t="s">
        <v>2593</v>
      </c>
      <c r="J147" s="33" t="s">
        <v>131</v>
      </c>
      <c r="K147" s="33" t="s">
        <v>2749</v>
      </c>
      <c r="L147">
        <v>100</v>
      </c>
      <c r="M147">
        <v>6000</v>
      </c>
      <c r="N147" t="s">
        <v>2754</v>
      </c>
      <c r="O147" s="34" t="str">
        <f>HYPERLINK("https://b2b.kobi.pl/pl/product/9634,zarowka-led-sw-7w-e14-6500k-led2b?currency=PLN")</f>
        <v>https://b2b.kobi.pl/pl/product/9634,zarowka-led-sw-7w-e14-6500k-led2b?currency=PLN</v>
      </c>
      <c r="P147" s="34" t="str">
        <f>HYPERLINK("https://eprel.ec.europa.eu/qr/660316")</f>
        <v>https://eprel.ec.europa.eu/qr/660316</v>
      </c>
      <c r="Q147" t="s">
        <v>2775</v>
      </c>
    </row>
    <row r="148" spans="1:17" ht="14.4" x14ac:dyDescent="0.3">
      <c r="A148" t="s">
        <v>9</v>
      </c>
      <c r="B148" t="s">
        <v>859</v>
      </c>
      <c r="C148" t="s">
        <v>30</v>
      </c>
      <c r="D148" t="s">
        <v>1150</v>
      </c>
      <c r="E148" t="s">
        <v>1151</v>
      </c>
      <c r="F148" t="s">
        <v>832</v>
      </c>
      <c r="G148" s="35">
        <v>1.93</v>
      </c>
      <c r="H148" s="33">
        <f>G148*(1-IFERROR(VLOOKUP(F148,'enter the discount'!$D$10:$E$40,2,FALSE),0))</f>
        <v>1.93</v>
      </c>
      <c r="I148" s="35" t="s">
        <v>2593</v>
      </c>
      <c r="J148" s="33" t="s">
        <v>139</v>
      </c>
      <c r="K148" s="33" t="s">
        <v>2749</v>
      </c>
      <c r="L148">
        <v>100</v>
      </c>
      <c r="M148">
        <v>6000</v>
      </c>
      <c r="N148" t="s">
        <v>2754</v>
      </c>
      <c r="O148" s="34" t="str">
        <f>HYPERLINK("https://b2b.kobi.pl/pl/product/9638,zarowka-led-sw-7w-e27-3000k-led2b?currency=PLN")</f>
        <v>https://b2b.kobi.pl/pl/product/9638,zarowka-led-sw-7w-e27-3000k-led2b?currency=PLN</v>
      </c>
      <c r="P148" s="34" t="str">
        <f>HYPERLINK("https://eprel.ec.europa.eu/qr/660526")</f>
        <v>https://eprel.ec.europa.eu/qr/660526</v>
      </c>
      <c r="Q148" t="s">
        <v>2775</v>
      </c>
    </row>
    <row r="149" spans="1:17" ht="14.4" x14ac:dyDescent="0.3">
      <c r="A149" t="s">
        <v>9</v>
      </c>
      <c r="B149" t="s">
        <v>859</v>
      </c>
      <c r="C149" t="s">
        <v>30</v>
      </c>
      <c r="D149" t="s">
        <v>1152</v>
      </c>
      <c r="E149" t="s">
        <v>1153</v>
      </c>
      <c r="F149" t="s">
        <v>832</v>
      </c>
      <c r="G149" s="35">
        <v>1.93</v>
      </c>
      <c r="H149" s="33">
        <f>G149*(1-IFERROR(VLOOKUP(F149,'enter the discount'!$D$10:$E$40,2,FALSE),0))</f>
        <v>1.93</v>
      </c>
      <c r="I149" s="35" t="s">
        <v>2593</v>
      </c>
      <c r="J149" s="33" t="s">
        <v>140</v>
      </c>
      <c r="K149" s="33" t="s">
        <v>2749</v>
      </c>
      <c r="L149">
        <v>100</v>
      </c>
      <c r="M149">
        <v>6000</v>
      </c>
      <c r="N149" t="s">
        <v>2754</v>
      </c>
      <c r="O149" s="34" t="str">
        <f>HYPERLINK("https://b2b.kobi.pl/pl/product/9639,zarowka-led-sw-7w-e27-4000k-led2b?currency=PLN")</f>
        <v>https://b2b.kobi.pl/pl/product/9639,zarowka-led-sw-7w-e27-4000k-led2b?currency=PLN</v>
      </c>
      <c r="P149" s="34" t="str">
        <f>HYPERLINK("https://eprel.ec.europa.eu/qr/660607")</f>
        <v>https://eprel.ec.europa.eu/qr/660607</v>
      </c>
      <c r="Q149" t="s">
        <v>2775</v>
      </c>
    </row>
    <row r="150" spans="1:17" ht="14.4" x14ac:dyDescent="0.3">
      <c r="A150" t="s">
        <v>9</v>
      </c>
      <c r="B150" t="s">
        <v>859</v>
      </c>
      <c r="C150" t="s">
        <v>30</v>
      </c>
      <c r="D150" t="s">
        <v>1154</v>
      </c>
      <c r="E150" t="s">
        <v>1155</v>
      </c>
      <c r="F150" t="s">
        <v>832</v>
      </c>
      <c r="G150" s="35">
        <v>1.93</v>
      </c>
      <c r="H150" s="33">
        <f>G150*(1-IFERROR(VLOOKUP(F150,'enter the discount'!$D$10:$E$40,2,FALSE),0))</f>
        <v>1.93</v>
      </c>
      <c r="I150" s="35" t="s">
        <v>2593</v>
      </c>
      <c r="J150" s="33" t="s">
        <v>141</v>
      </c>
      <c r="K150" s="33" t="s">
        <v>2749</v>
      </c>
      <c r="L150">
        <v>100</v>
      </c>
      <c r="M150">
        <v>6000</v>
      </c>
      <c r="N150" t="s">
        <v>2754</v>
      </c>
      <c r="O150" s="34" t="str">
        <f>HYPERLINK("https://b2b.kobi.pl/pl/product/9640,zarowka-led-sw-7w-e27-6500k-led2b?currency=PLN")</f>
        <v>https://b2b.kobi.pl/pl/product/9640,zarowka-led-sw-7w-e27-6500k-led2b?currency=PLN</v>
      </c>
      <c r="P150" s="34" t="str">
        <f>HYPERLINK("https://eprel.ec.europa.eu/qr/660609")</f>
        <v>https://eprel.ec.europa.eu/qr/660609</v>
      </c>
      <c r="Q150" t="s">
        <v>2775</v>
      </c>
    </row>
    <row r="151" spans="1:17" ht="14.4" x14ac:dyDescent="0.3">
      <c r="A151" t="s">
        <v>9</v>
      </c>
      <c r="B151" t="s">
        <v>859</v>
      </c>
      <c r="C151" t="s">
        <v>30</v>
      </c>
      <c r="D151" t="s">
        <v>1156</v>
      </c>
      <c r="E151" t="s">
        <v>1157</v>
      </c>
      <c r="F151" t="s">
        <v>832</v>
      </c>
      <c r="G151" s="35">
        <v>2.29</v>
      </c>
      <c r="H151" s="33">
        <f>G151*(1-IFERROR(VLOOKUP(F151,'enter the discount'!$D$10:$E$40,2,FALSE),0))</f>
        <v>2.29</v>
      </c>
      <c r="I151" s="35" t="s">
        <v>2593</v>
      </c>
      <c r="J151" s="33" t="s">
        <v>723</v>
      </c>
      <c r="K151" s="33" t="s">
        <v>2749</v>
      </c>
      <c r="L151">
        <v>100</v>
      </c>
      <c r="M151"/>
      <c r="N151" t="s">
        <v>2754</v>
      </c>
      <c r="O151" s="34" t="str">
        <f>HYPERLINK("https://b2b.kobi.pl/pl/product/9635,zarowka-led-sw-8-5w-e14-3000k-led2b?currency=PLN")</f>
        <v>https://b2b.kobi.pl/pl/product/9635,zarowka-led-sw-8-5w-e14-3000k-led2b?currency=PLN</v>
      </c>
      <c r="P151" s="34" t="str">
        <f>HYPERLINK("https://eprel.ec.europa.eu/qr/2044603")</f>
        <v>https://eprel.ec.europa.eu/qr/2044603</v>
      </c>
      <c r="Q151"/>
    </row>
    <row r="152" spans="1:17" ht="14.4" x14ac:dyDescent="0.3">
      <c r="A152" t="s">
        <v>9</v>
      </c>
      <c r="B152" t="s">
        <v>859</v>
      </c>
      <c r="C152" t="s">
        <v>30</v>
      </c>
      <c r="D152" t="s">
        <v>1158</v>
      </c>
      <c r="E152" t="s">
        <v>1159</v>
      </c>
      <c r="F152" t="s">
        <v>832</v>
      </c>
      <c r="G152" s="35">
        <v>2.29</v>
      </c>
      <c r="H152" s="33">
        <f>G152*(1-IFERROR(VLOOKUP(F152,'enter the discount'!$D$10:$E$40,2,FALSE),0))</f>
        <v>2.29</v>
      </c>
      <c r="I152" s="35" t="s">
        <v>2593</v>
      </c>
      <c r="J152" s="33" t="s">
        <v>724</v>
      </c>
      <c r="K152" s="33" t="s">
        <v>2749</v>
      </c>
      <c r="L152">
        <v>100</v>
      </c>
      <c r="M152"/>
      <c r="N152" t="s">
        <v>2754</v>
      </c>
      <c r="O152" s="34" t="str">
        <f>HYPERLINK("https://b2b.kobi.pl/pl/product/9636,zarowka-led-sw-8-5w-e14-4000k-led2b?currency=PLN")</f>
        <v>https://b2b.kobi.pl/pl/product/9636,zarowka-led-sw-8-5w-e14-4000k-led2b?currency=PLN</v>
      </c>
      <c r="P152" s="34" t="str">
        <f>HYPERLINK("https://eprel.ec.europa.eu/qr/2044637")</f>
        <v>https://eprel.ec.europa.eu/qr/2044637</v>
      </c>
      <c r="Q152"/>
    </row>
    <row r="153" spans="1:17" ht="14.4" x14ac:dyDescent="0.3">
      <c r="A153" t="s">
        <v>9</v>
      </c>
      <c r="B153" t="s">
        <v>859</v>
      </c>
      <c r="C153" t="s">
        <v>30</v>
      </c>
      <c r="D153" t="s">
        <v>1160</v>
      </c>
      <c r="E153" t="s">
        <v>1161</v>
      </c>
      <c r="F153" t="s">
        <v>832</v>
      </c>
      <c r="G153" s="35">
        <v>2.29</v>
      </c>
      <c r="H153" s="33">
        <f>G153*(1-IFERROR(VLOOKUP(F153,'enter the discount'!$D$10:$E$40,2,FALSE),0))</f>
        <v>2.29</v>
      </c>
      <c r="I153" s="35" t="s">
        <v>2593</v>
      </c>
      <c r="J153" s="33" t="s">
        <v>725</v>
      </c>
      <c r="K153" s="33" t="s">
        <v>2749</v>
      </c>
      <c r="L153">
        <v>100</v>
      </c>
      <c r="M153"/>
      <c r="N153" t="s">
        <v>2754</v>
      </c>
      <c r="O153" s="34" t="str">
        <f>HYPERLINK("https://b2b.kobi.pl/pl/product/9637,zarowka-led-sw-8-5w-e14-6500k-led2b?currency=PLN")</f>
        <v>https://b2b.kobi.pl/pl/product/9637,zarowka-led-sw-8-5w-e14-6500k-led2b?currency=PLN</v>
      </c>
      <c r="P153" s="34" t="str">
        <f>HYPERLINK("https://eprel.ec.europa.eu/qr/2044649")</f>
        <v>https://eprel.ec.europa.eu/qr/2044649</v>
      </c>
      <c r="Q153"/>
    </row>
    <row r="154" spans="1:17" ht="14.4" x14ac:dyDescent="0.3">
      <c r="A154" t="s">
        <v>9</v>
      </c>
      <c r="B154" t="s">
        <v>859</v>
      </c>
      <c r="C154" t="s">
        <v>30</v>
      </c>
      <c r="D154" t="s">
        <v>1162</v>
      </c>
      <c r="E154" t="s">
        <v>1163</v>
      </c>
      <c r="F154" t="s">
        <v>832</v>
      </c>
      <c r="G154" s="35">
        <v>2.29</v>
      </c>
      <c r="H154" s="33">
        <f>G154*(1-IFERROR(VLOOKUP(F154,'enter the discount'!$D$10:$E$40,2,FALSE),0))</f>
        <v>2.29</v>
      </c>
      <c r="I154" s="35" t="s">
        <v>2593</v>
      </c>
      <c r="J154" s="33" t="s">
        <v>726</v>
      </c>
      <c r="K154" s="33" t="s">
        <v>2749</v>
      </c>
      <c r="L154">
        <v>100</v>
      </c>
      <c r="M154"/>
      <c r="N154" t="s">
        <v>2754</v>
      </c>
      <c r="O154" s="34" t="str">
        <f>HYPERLINK("https://b2b.kobi.pl/pl/product/9641,zarowka-led-sw-8-5w-e27-3000k-led2b?currency=PLN")</f>
        <v>https://b2b.kobi.pl/pl/product/9641,zarowka-led-sw-8-5w-e27-3000k-led2b?currency=PLN</v>
      </c>
      <c r="P154" s="34" t="str">
        <f>HYPERLINK("https://eprel.ec.europa.eu/qr/2044603")</f>
        <v>https://eprel.ec.europa.eu/qr/2044603</v>
      </c>
      <c r="Q154"/>
    </row>
    <row r="155" spans="1:17" ht="14.4" x14ac:dyDescent="0.3">
      <c r="A155" t="s">
        <v>9</v>
      </c>
      <c r="B155" t="s">
        <v>859</v>
      </c>
      <c r="C155" t="s">
        <v>30</v>
      </c>
      <c r="D155" t="s">
        <v>1164</v>
      </c>
      <c r="E155" t="s">
        <v>1165</v>
      </c>
      <c r="F155" t="s">
        <v>832</v>
      </c>
      <c r="G155" s="35">
        <v>2.29</v>
      </c>
      <c r="H155" s="33">
        <f>G155*(1-IFERROR(VLOOKUP(F155,'enter the discount'!$D$10:$E$40,2,FALSE),0))</f>
        <v>2.29</v>
      </c>
      <c r="I155" s="35" t="s">
        <v>2593</v>
      </c>
      <c r="J155" s="33" t="s">
        <v>727</v>
      </c>
      <c r="K155" s="33" t="s">
        <v>2749</v>
      </c>
      <c r="L155">
        <v>100</v>
      </c>
      <c r="M155"/>
      <c r="N155" t="s">
        <v>2754</v>
      </c>
      <c r="O155" s="34" t="str">
        <f>HYPERLINK("https://b2b.kobi.pl/pl/product/9642,zarowka-led-sw-8-5w-e27-4000k-led2b?currency=PLN")</f>
        <v>https://b2b.kobi.pl/pl/product/9642,zarowka-led-sw-8-5w-e27-4000k-led2b?currency=PLN</v>
      </c>
      <c r="P155" s="34" t="str">
        <f>HYPERLINK("https://eprel.ec.europa.eu/qr/2044637")</f>
        <v>https://eprel.ec.europa.eu/qr/2044637</v>
      </c>
      <c r="Q155"/>
    </row>
    <row r="156" spans="1:17" ht="14.4" x14ac:dyDescent="0.3">
      <c r="A156" t="s">
        <v>9</v>
      </c>
      <c r="B156" t="s">
        <v>859</v>
      </c>
      <c r="C156" t="s">
        <v>30</v>
      </c>
      <c r="D156" t="s">
        <v>1166</v>
      </c>
      <c r="E156" t="s">
        <v>1167</v>
      </c>
      <c r="F156" t="s">
        <v>832</v>
      </c>
      <c r="G156" s="35">
        <v>2.29</v>
      </c>
      <c r="H156" s="33">
        <f>G156*(1-IFERROR(VLOOKUP(F156,'enter the discount'!$D$10:$E$40,2,FALSE),0))</f>
        <v>2.29</v>
      </c>
      <c r="I156" s="35" t="s">
        <v>2593</v>
      </c>
      <c r="J156" s="33" t="s">
        <v>728</v>
      </c>
      <c r="K156" s="33" t="s">
        <v>2749</v>
      </c>
      <c r="L156">
        <v>100</v>
      </c>
      <c r="M156"/>
      <c r="N156" t="s">
        <v>2754</v>
      </c>
      <c r="O156" s="34" t="str">
        <f>HYPERLINK("https://b2b.kobi.pl/pl/product/9643,zarowka-led-sw-8-5w-e27-6500k-led2b?currency=PLN")</f>
        <v>https://b2b.kobi.pl/pl/product/9643,zarowka-led-sw-8-5w-e27-6500k-led2b?currency=PLN</v>
      </c>
      <c r="P156" s="34" t="str">
        <f>HYPERLINK("https://eprel.ec.europa.eu/qr/2044603")</f>
        <v>https://eprel.ec.europa.eu/qr/2044603</v>
      </c>
      <c r="Q156"/>
    </row>
    <row r="157" spans="1:17" ht="14.4" x14ac:dyDescent="0.3">
      <c r="A157" t="s">
        <v>9</v>
      </c>
      <c r="B157" t="s">
        <v>859</v>
      </c>
      <c r="C157" t="s">
        <v>885</v>
      </c>
      <c r="D157" t="s">
        <v>1168</v>
      </c>
      <c r="E157" t="s">
        <v>1169</v>
      </c>
      <c r="F157" t="s">
        <v>832</v>
      </c>
      <c r="G157" s="35">
        <v>5.1100000000000003</v>
      </c>
      <c r="H157" s="33">
        <f>G157*(1-IFERROR(VLOOKUP(F157,'enter the discount'!$D$10:$E$40,2,FALSE),0))</f>
        <v>5.1100000000000003</v>
      </c>
      <c r="I157" s="35" t="s">
        <v>2593</v>
      </c>
      <c r="J157" s="33" t="s">
        <v>132</v>
      </c>
      <c r="K157" s="33" t="s">
        <v>2749</v>
      </c>
      <c r="L157">
        <v>100</v>
      </c>
      <c r="M157">
        <v>3600</v>
      </c>
      <c r="N157" t="s">
        <v>2754</v>
      </c>
      <c r="O157" s="34" t="str">
        <f>HYPERLINK("https://b2b.kobi.pl/pl/product/9707,zarowka-led-sw-9w-e14-3000k-kobi-premium?currency=PLN")</f>
        <v>https://b2b.kobi.pl/pl/product/9707,zarowka-led-sw-9w-e14-3000k-kobi-premium?currency=PLN</v>
      </c>
      <c r="P157" s="34" t="str">
        <f>HYPERLINK("https://eprel.ec.europa.eu/qr/660768")</f>
        <v>https://eprel.ec.europa.eu/qr/660768</v>
      </c>
      <c r="Q157"/>
    </row>
    <row r="158" spans="1:17" ht="14.4" x14ac:dyDescent="0.3">
      <c r="A158" t="s">
        <v>9</v>
      </c>
      <c r="B158" t="s">
        <v>859</v>
      </c>
      <c r="C158" t="s">
        <v>885</v>
      </c>
      <c r="D158" t="s">
        <v>1170</v>
      </c>
      <c r="E158" t="s">
        <v>1171</v>
      </c>
      <c r="F158" t="s">
        <v>832</v>
      </c>
      <c r="G158" s="35">
        <v>5.1100000000000003</v>
      </c>
      <c r="H158" s="33">
        <f>G158*(1-IFERROR(VLOOKUP(F158,'enter the discount'!$D$10:$E$40,2,FALSE),0))</f>
        <v>5.1100000000000003</v>
      </c>
      <c r="I158" s="35" t="s">
        <v>2593</v>
      </c>
      <c r="J158" s="33" t="s">
        <v>133</v>
      </c>
      <c r="K158" s="33" t="s">
        <v>2749</v>
      </c>
      <c r="L158">
        <v>100</v>
      </c>
      <c r="M158">
        <v>3600</v>
      </c>
      <c r="N158" t="s">
        <v>2754</v>
      </c>
      <c r="O158" s="34" t="str">
        <f>HYPERLINK("https://b2b.kobi.pl/pl/product/9708,zarowka-led-sw-9w-e14-4000k-kobi-premium?currency=PLN")</f>
        <v>https://b2b.kobi.pl/pl/product/9708,zarowka-led-sw-9w-e14-4000k-kobi-premium?currency=PLN</v>
      </c>
      <c r="P158" s="34" t="str">
        <f>HYPERLINK("https://eprel.ec.europa.eu/qr/660769")</f>
        <v>https://eprel.ec.europa.eu/qr/660769</v>
      </c>
      <c r="Q158"/>
    </row>
    <row r="159" spans="1:17" ht="14.4" x14ac:dyDescent="0.3">
      <c r="A159" t="s">
        <v>9</v>
      </c>
      <c r="B159" t="s">
        <v>859</v>
      </c>
      <c r="C159" t="s">
        <v>885</v>
      </c>
      <c r="D159" t="s">
        <v>1172</v>
      </c>
      <c r="E159" t="s">
        <v>1173</v>
      </c>
      <c r="F159" t="s">
        <v>832</v>
      </c>
      <c r="G159" s="35">
        <v>5.1100000000000003</v>
      </c>
      <c r="H159" s="33">
        <f>G159*(1-IFERROR(VLOOKUP(F159,'enter the discount'!$D$10:$E$40,2,FALSE),0))</f>
        <v>5.1100000000000003</v>
      </c>
      <c r="I159" s="35" t="s">
        <v>2593</v>
      </c>
      <c r="J159" s="33" t="s">
        <v>134</v>
      </c>
      <c r="K159" s="33" t="s">
        <v>2749</v>
      </c>
      <c r="L159">
        <v>100</v>
      </c>
      <c r="M159">
        <v>3600</v>
      </c>
      <c r="N159" t="s">
        <v>2754</v>
      </c>
      <c r="O159" s="34" t="str">
        <f>HYPERLINK("https://b2b.kobi.pl/pl/product/9709,zarowka-led-sw-9w-e14-6000k-kobi-premium?currency=PLN")</f>
        <v>https://b2b.kobi.pl/pl/product/9709,zarowka-led-sw-9w-e14-6000k-kobi-premium?currency=PLN</v>
      </c>
      <c r="P159" s="34" t="str">
        <f>HYPERLINK("https://eprel.ec.europa.eu/qr/660771")</f>
        <v>https://eprel.ec.europa.eu/qr/660771</v>
      </c>
      <c r="Q159"/>
    </row>
    <row r="160" spans="1:17" ht="14.4" x14ac:dyDescent="0.3">
      <c r="A160" t="s">
        <v>9</v>
      </c>
      <c r="B160" t="s">
        <v>859</v>
      </c>
      <c r="C160" t="s">
        <v>885</v>
      </c>
      <c r="D160" t="s">
        <v>1174</v>
      </c>
      <c r="E160" t="s">
        <v>1175</v>
      </c>
      <c r="F160" t="s">
        <v>832</v>
      </c>
      <c r="G160" s="35">
        <v>5.1100000000000003</v>
      </c>
      <c r="H160" s="33">
        <f>G160*(1-IFERROR(VLOOKUP(F160,'enter the discount'!$D$10:$E$40,2,FALSE),0))</f>
        <v>5.1100000000000003</v>
      </c>
      <c r="I160" s="35" t="s">
        <v>2593</v>
      </c>
      <c r="J160" s="33" t="s">
        <v>142</v>
      </c>
      <c r="K160" s="33" t="s">
        <v>2749</v>
      </c>
      <c r="L160">
        <v>100</v>
      </c>
      <c r="M160">
        <v>3600</v>
      </c>
      <c r="N160" t="s">
        <v>2754</v>
      </c>
      <c r="O160" s="34" t="str">
        <f>HYPERLINK("https://b2b.kobi.pl/pl/product/9714,zarowka-led-sw-9w-e27-3000k-kobi-premium?currency=PLN")</f>
        <v>https://b2b.kobi.pl/pl/product/9714,zarowka-led-sw-9w-e27-3000k-kobi-premium?currency=PLN</v>
      </c>
      <c r="P160" s="34" t="str">
        <f>HYPERLINK("https://eprel.ec.europa.eu/qr/660788")</f>
        <v>https://eprel.ec.europa.eu/qr/660788</v>
      </c>
      <c r="Q160"/>
    </row>
    <row r="161" spans="1:17" ht="14.4" x14ac:dyDescent="0.3">
      <c r="A161" t="s">
        <v>9</v>
      </c>
      <c r="B161" t="s">
        <v>859</v>
      </c>
      <c r="C161" t="s">
        <v>885</v>
      </c>
      <c r="D161" t="s">
        <v>1176</v>
      </c>
      <c r="E161" t="s">
        <v>1177</v>
      </c>
      <c r="F161" t="s">
        <v>832</v>
      </c>
      <c r="G161" s="35">
        <v>5.1100000000000003</v>
      </c>
      <c r="H161" s="33">
        <f>G161*(1-IFERROR(VLOOKUP(F161,'enter the discount'!$D$10:$E$40,2,FALSE),0))</f>
        <v>5.1100000000000003</v>
      </c>
      <c r="I161" s="35" t="s">
        <v>2593</v>
      </c>
      <c r="J161" s="33" t="s">
        <v>143</v>
      </c>
      <c r="K161" s="33" t="s">
        <v>2749</v>
      </c>
      <c r="L161">
        <v>100</v>
      </c>
      <c r="M161">
        <v>3600</v>
      </c>
      <c r="N161" t="s">
        <v>2754</v>
      </c>
      <c r="O161" s="34" t="str">
        <f>HYPERLINK("https://b2b.kobi.pl/pl/product/9715,zarowka-led-sw-9w-e27-4000k-kobi-premium?currency=PLN")</f>
        <v>https://b2b.kobi.pl/pl/product/9715,zarowka-led-sw-9w-e27-4000k-kobi-premium?currency=PLN</v>
      </c>
      <c r="P161" s="34" t="str">
        <f>HYPERLINK("https://eprel.ec.europa.eu/qr/660791")</f>
        <v>https://eprel.ec.europa.eu/qr/660791</v>
      </c>
      <c r="Q161"/>
    </row>
    <row r="162" spans="1:17" ht="14.4" x14ac:dyDescent="0.3">
      <c r="A162" t="s">
        <v>9</v>
      </c>
      <c r="B162" t="s">
        <v>859</v>
      </c>
      <c r="C162" t="s">
        <v>885</v>
      </c>
      <c r="D162" t="s">
        <v>1178</v>
      </c>
      <c r="E162" t="s">
        <v>1179</v>
      </c>
      <c r="F162" t="s">
        <v>832</v>
      </c>
      <c r="G162" s="35">
        <v>5.1100000000000003</v>
      </c>
      <c r="H162" s="33">
        <f>G162*(1-IFERROR(VLOOKUP(F162,'enter the discount'!$D$10:$E$40,2,FALSE),0))</f>
        <v>5.1100000000000003</v>
      </c>
      <c r="I162" s="35" t="s">
        <v>2593</v>
      </c>
      <c r="J162" s="33" t="s">
        <v>144</v>
      </c>
      <c r="K162" s="33" t="s">
        <v>2749</v>
      </c>
      <c r="L162">
        <v>100</v>
      </c>
      <c r="M162">
        <v>3600</v>
      </c>
      <c r="N162" t="s">
        <v>2754</v>
      </c>
      <c r="O162" s="34" t="str">
        <f>HYPERLINK("https://b2b.kobi.pl/pl/product/9716,zarowka-led-sw-9w-e27-6000k-kobi-premium?currency=PLN")</f>
        <v>https://b2b.kobi.pl/pl/product/9716,zarowka-led-sw-9w-e27-6000k-kobi-premium?currency=PLN</v>
      </c>
      <c r="P162" s="34" t="str">
        <f>HYPERLINK("https://eprel.ec.europa.eu/qr/660792")</f>
        <v>https://eprel.ec.europa.eu/qr/660792</v>
      </c>
      <c r="Q162"/>
    </row>
    <row r="163" spans="1:17" ht="14.4" x14ac:dyDescent="0.3">
      <c r="A163" t="s">
        <v>9</v>
      </c>
      <c r="B163" t="s">
        <v>859</v>
      </c>
      <c r="C163" t="s">
        <v>1180</v>
      </c>
      <c r="D163" t="s">
        <v>1181</v>
      </c>
      <c r="E163" t="s">
        <v>1182</v>
      </c>
      <c r="F163" t="s">
        <v>832</v>
      </c>
      <c r="G163" s="35">
        <v>4.22</v>
      </c>
      <c r="H163" s="33">
        <f>G163*(1-IFERROR(VLOOKUP(F163,'enter the discount'!$D$10:$E$40,2,FALSE),0))</f>
        <v>4.22</v>
      </c>
      <c r="I163" s="35" t="s">
        <v>2594</v>
      </c>
      <c r="J163" s="33" t="s">
        <v>36</v>
      </c>
      <c r="K163" s="33" t="s">
        <v>2749</v>
      </c>
      <c r="L163">
        <v>100</v>
      </c>
      <c r="M163">
        <v>2500</v>
      </c>
      <c r="N163" t="s">
        <v>2754</v>
      </c>
      <c r="O163" s="34" t="str">
        <f>HYPERLINK("https://b2b.kobi.pl/pl/product/9475,zarowka-filamentowa-led-fgs-7w-e27-3000k-kobi-360-line?currency=PLN")</f>
        <v>https://b2b.kobi.pl/pl/product/9475,zarowka-filamentowa-led-fgs-7w-e27-3000k-kobi-360-line?currency=PLN</v>
      </c>
      <c r="P163" s="34" t="str">
        <f>HYPERLINK("https://eprel.ec.europa.eu/qr/659645")</f>
        <v>https://eprel.ec.europa.eu/qr/659645</v>
      </c>
      <c r="Q163"/>
    </row>
    <row r="164" spans="1:17" ht="14.4" x14ac:dyDescent="0.3">
      <c r="A164" t="s">
        <v>9</v>
      </c>
      <c r="B164" t="s">
        <v>859</v>
      </c>
      <c r="C164" t="s">
        <v>1180</v>
      </c>
      <c r="D164" t="s">
        <v>1183</v>
      </c>
      <c r="E164" t="s">
        <v>1184</v>
      </c>
      <c r="F164" t="s">
        <v>832</v>
      </c>
      <c r="G164" s="35">
        <v>4.22</v>
      </c>
      <c r="H164" s="33">
        <f>G164*(1-IFERROR(VLOOKUP(F164,'enter the discount'!$D$10:$E$40,2,FALSE),0))</f>
        <v>4.22</v>
      </c>
      <c r="I164" s="35" t="s">
        <v>2594</v>
      </c>
      <c r="J164" s="33" t="s">
        <v>37</v>
      </c>
      <c r="K164" s="33" t="s">
        <v>2749</v>
      </c>
      <c r="L164">
        <v>100</v>
      </c>
      <c r="M164">
        <v>2500</v>
      </c>
      <c r="N164" t="s">
        <v>2754</v>
      </c>
      <c r="O164" s="34" t="str">
        <f>HYPERLINK("https://b2b.kobi.pl/pl/product/9476,zarowka-filamentowa-led-fgs-7w-e27-4000k-kobi-360-line?currency=PLN")</f>
        <v>https://b2b.kobi.pl/pl/product/9476,zarowka-filamentowa-led-fgs-7w-e27-4000k-kobi-360-line?currency=PLN</v>
      </c>
      <c r="P164" s="34" t="str">
        <f>HYPERLINK("https://eprel.ec.europa.eu/qr/659651")</f>
        <v>https://eprel.ec.europa.eu/qr/659651</v>
      </c>
      <c r="Q164"/>
    </row>
    <row r="165" spans="1:17" ht="14.4" x14ac:dyDescent="0.3">
      <c r="A165" t="s">
        <v>9</v>
      </c>
      <c r="B165" t="s">
        <v>859</v>
      </c>
      <c r="C165" t="s">
        <v>1180</v>
      </c>
      <c r="D165" t="s">
        <v>1185</v>
      </c>
      <c r="E165" t="s">
        <v>1186</v>
      </c>
      <c r="F165" t="s">
        <v>832</v>
      </c>
      <c r="G165" s="35">
        <v>8.34</v>
      </c>
      <c r="H165" s="33">
        <f>G165*(1-IFERROR(VLOOKUP(F165,'enter the discount'!$D$10:$E$40,2,FALSE),0))</f>
        <v>8.34</v>
      </c>
      <c r="I165" s="35" t="s">
        <v>2594</v>
      </c>
      <c r="J165" s="33" t="s">
        <v>38</v>
      </c>
      <c r="K165" s="33" t="s">
        <v>2749</v>
      </c>
      <c r="L165">
        <v>100</v>
      </c>
      <c r="M165">
        <v>2500</v>
      </c>
      <c r="N165" t="s">
        <v>2754</v>
      </c>
      <c r="O165" s="34" t="str">
        <f>HYPERLINK("https://b2b.kobi.pl/pl/product/9473,zarowka-filamentowa-led-fgs-11-5w-e27-3000k-kobi-360-line?currency=PLN")</f>
        <v>https://b2b.kobi.pl/pl/product/9473,zarowka-filamentowa-led-fgs-11-5w-e27-3000k-kobi-360-line?currency=PLN</v>
      </c>
      <c r="P165" s="34" t="str">
        <f>HYPERLINK("https://eprel.ec.europa.eu/qr/659629")</f>
        <v>https://eprel.ec.europa.eu/qr/659629</v>
      </c>
      <c r="Q165" t="s">
        <v>2775</v>
      </c>
    </row>
    <row r="166" spans="1:17" ht="14.4" x14ac:dyDescent="0.3">
      <c r="A166" t="s">
        <v>9</v>
      </c>
      <c r="B166" t="s">
        <v>859</v>
      </c>
      <c r="C166" t="s">
        <v>1180</v>
      </c>
      <c r="D166" t="s">
        <v>1187</v>
      </c>
      <c r="E166" t="s">
        <v>1188</v>
      </c>
      <c r="F166" t="s">
        <v>832</v>
      </c>
      <c r="G166" s="35">
        <v>8.34</v>
      </c>
      <c r="H166" s="33">
        <f>G166*(1-IFERROR(VLOOKUP(F166,'enter the discount'!$D$10:$E$40,2,FALSE),0))</f>
        <v>8.34</v>
      </c>
      <c r="I166" s="35" t="s">
        <v>2594</v>
      </c>
      <c r="J166" s="33" t="s">
        <v>39</v>
      </c>
      <c r="K166" s="33" t="s">
        <v>2749</v>
      </c>
      <c r="L166">
        <v>100</v>
      </c>
      <c r="M166">
        <v>2500</v>
      </c>
      <c r="N166" t="s">
        <v>2754</v>
      </c>
      <c r="O166" s="34" t="str">
        <f>HYPERLINK("https://b2b.kobi.pl/pl/product/9474,zarowka-filamentowa-led-fgs-11-5w-e27-4000k-kobi-360-line?currency=PLN")</f>
        <v>https://b2b.kobi.pl/pl/product/9474,zarowka-filamentowa-led-fgs-11-5w-e27-4000k-kobi-360-line?currency=PLN</v>
      </c>
      <c r="P166" s="34" t="str">
        <f>HYPERLINK("https://eprel.ec.europa.eu/qr/659640")</f>
        <v>https://eprel.ec.europa.eu/qr/659640</v>
      </c>
      <c r="Q166" t="s">
        <v>2775</v>
      </c>
    </row>
    <row r="167" spans="1:17" ht="14.4" x14ac:dyDescent="0.3">
      <c r="A167" t="s">
        <v>9</v>
      </c>
      <c r="B167" t="s">
        <v>859</v>
      </c>
      <c r="C167" t="s">
        <v>1180</v>
      </c>
      <c r="D167" t="s">
        <v>1189</v>
      </c>
      <c r="E167" t="s">
        <v>1190</v>
      </c>
      <c r="F167" t="s">
        <v>832</v>
      </c>
      <c r="G167" s="35">
        <v>3.1</v>
      </c>
      <c r="H167" s="33">
        <f>G167*(1-IFERROR(VLOOKUP(F167,'enter the discount'!$D$10:$E$40,2,FALSE),0))</f>
        <v>3.1</v>
      </c>
      <c r="I167" s="35" t="s">
        <v>2594</v>
      </c>
      <c r="J167" s="33" t="s">
        <v>32</v>
      </c>
      <c r="K167" s="33" t="s">
        <v>2749</v>
      </c>
      <c r="L167">
        <v>100</v>
      </c>
      <c r="M167">
        <v>3500</v>
      </c>
      <c r="N167" t="s">
        <v>2754</v>
      </c>
      <c r="O167" s="34" t="str">
        <f>HYPERLINK("https://b2b.kobi.pl/pl/product/9471,zarowka-filamentowa-led-fde-4w-e14-3000k-kobi-360-line?currency=PLN")</f>
        <v>https://b2b.kobi.pl/pl/product/9471,zarowka-filamentowa-led-fde-4w-e14-3000k-kobi-360-line?currency=PLN</v>
      </c>
      <c r="P167" s="34" t="str">
        <f>HYPERLINK("https://eprel.ec.europa.eu/qr/659618")</f>
        <v>https://eprel.ec.europa.eu/qr/659618</v>
      </c>
      <c r="Q167"/>
    </row>
    <row r="168" spans="1:17" ht="14.4" x14ac:dyDescent="0.3">
      <c r="A168" t="s">
        <v>9</v>
      </c>
      <c r="B168" t="s">
        <v>859</v>
      </c>
      <c r="C168" t="s">
        <v>1180</v>
      </c>
      <c r="D168" t="s">
        <v>1191</v>
      </c>
      <c r="E168" t="s">
        <v>1192</v>
      </c>
      <c r="F168" t="s">
        <v>832</v>
      </c>
      <c r="G168" s="35">
        <v>3.43</v>
      </c>
      <c r="H168" s="33">
        <f>G168*(1-IFERROR(VLOOKUP(F168,'enter the discount'!$D$10:$E$40,2,FALSE),0))</f>
        <v>3.43</v>
      </c>
      <c r="I168" s="35" t="s">
        <v>2594</v>
      </c>
      <c r="J168" s="33" t="s">
        <v>33</v>
      </c>
      <c r="K168" s="33" t="s">
        <v>2749</v>
      </c>
      <c r="L168">
        <v>100</v>
      </c>
      <c r="M168">
        <v>4200</v>
      </c>
      <c r="N168" t="s">
        <v>2754</v>
      </c>
      <c r="O168" s="34" t="str">
        <f>HYPERLINK("https://b2b.kobi.pl/pl/product/9481,zarowka-filamentowa-led-fmb-4w-e14-3000k-kobi-360-line?currency=PLN")</f>
        <v>https://b2b.kobi.pl/pl/product/9481,zarowka-filamentowa-led-fmb-4w-e14-3000k-kobi-360-line?currency=PLN</v>
      </c>
      <c r="P168" s="34" t="str">
        <f>HYPERLINK("https://eprel.ec.europa.eu/qr/659698")</f>
        <v>https://eprel.ec.europa.eu/qr/659698</v>
      </c>
      <c r="Q168"/>
    </row>
    <row r="169" spans="1:17" ht="14.4" x14ac:dyDescent="0.3">
      <c r="A169" t="s">
        <v>9</v>
      </c>
      <c r="B169" t="s">
        <v>859</v>
      </c>
      <c r="C169" t="s">
        <v>1180</v>
      </c>
      <c r="D169" t="s">
        <v>1193</v>
      </c>
      <c r="E169" t="s">
        <v>1194</v>
      </c>
      <c r="F169" t="s">
        <v>832</v>
      </c>
      <c r="G169" s="35">
        <v>3.43</v>
      </c>
      <c r="H169" s="33">
        <f>G169*(1-IFERROR(VLOOKUP(F169,'enter the discount'!$D$10:$E$40,2,FALSE),0))</f>
        <v>3.43</v>
      </c>
      <c r="I169" s="35" t="s">
        <v>2594</v>
      </c>
      <c r="J169" s="33" t="s">
        <v>41</v>
      </c>
      <c r="K169" s="33" t="s">
        <v>2749</v>
      </c>
      <c r="L169">
        <v>100</v>
      </c>
      <c r="M169">
        <v>3500</v>
      </c>
      <c r="N169" t="s">
        <v>2754</v>
      </c>
      <c r="O169" s="34" t="str">
        <f>HYPERLINK("https://b2b.kobi.pl/pl/product/9483,zarowka-filamentowa-led-fmb-4w-e27-3000k-kobi-360-line?currency=PLN")</f>
        <v>https://b2b.kobi.pl/pl/product/9483,zarowka-filamentowa-led-fmb-4w-e27-3000k-kobi-360-line?currency=PLN</v>
      </c>
      <c r="P169" s="34" t="str">
        <f>HYPERLINK("https://eprel.ec.europa.eu/qr/659707")</f>
        <v>https://eprel.ec.europa.eu/qr/659707</v>
      </c>
      <c r="Q169"/>
    </row>
    <row r="170" spans="1:17" ht="14.4" x14ac:dyDescent="0.3">
      <c r="A170" t="s">
        <v>9</v>
      </c>
      <c r="B170" t="s">
        <v>859</v>
      </c>
      <c r="C170" t="s">
        <v>1180</v>
      </c>
      <c r="D170" t="s">
        <v>1195</v>
      </c>
      <c r="E170" t="s">
        <v>1196</v>
      </c>
      <c r="F170" t="s">
        <v>832</v>
      </c>
      <c r="G170" s="35">
        <v>3.43</v>
      </c>
      <c r="H170" s="33">
        <f>G170*(1-IFERROR(VLOOKUP(F170,'enter the discount'!$D$10:$E$40,2,FALSE),0))</f>
        <v>3.43</v>
      </c>
      <c r="I170" s="35" t="s">
        <v>2594</v>
      </c>
      <c r="J170" s="33" t="s">
        <v>34</v>
      </c>
      <c r="K170" s="33" t="s">
        <v>2749</v>
      </c>
      <c r="L170">
        <v>100</v>
      </c>
      <c r="M170">
        <v>4200</v>
      </c>
      <c r="N170" t="s">
        <v>2754</v>
      </c>
      <c r="O170" s="34" t="str">
        <f>HYPERLINK("https://b2b.kobi.pl/pl/product/9486,zarowka-filamentowa-led-fsw-4w-e14-3000k-kobi-360-line?currency=PLN")</f>
        <v>https://b2b.kobi.pl/pl/product/9486,zarowka-filamentowa-led-fsw-4w-e14-3000k-kobi-360-line?currency=PLN</v>
      </c>
      <c r="P170" s="34" t="str">
        <f>HYPERLINK("https://eprel.ec.europa.eu/qr/659719")</f>
        <v>https://eprel.ec.europa.eu/qr/659719</v>
      </c>
      <c r="Q170"/>
    </row>
    <row r="171" spans="1:17" ht="14.4" x14ac:dyDescent="0.3">
      <c r="A171" t="s">
        <v>9</v>
      </c>
      <c r="B171" t="s">
        <v>859</v>
      </c>
      <c r="C171" t="s">
        <v>30</v>
      </c>
      <c r="D171" t="s">
        <v>1197</v>
      </c>
      <c r="E171" t="s">
        <v>1198</v>
      </c>
      <c r="F171" t="s">
        <v>832</v>
      </c>
      <c r="G171" s="35">
        <v>1</v>
      </c>
      <c r="H171" s="33">
        <f>G171*(1-IFERROR(VLOOKUP(F171,'enter the discount'!$D$10:$E$40,2,FALSE),0))</f>
        <v>1</v>
      </c>
      <c r="I171" s="35" t="s">
        <v>2609</v>
      </c>
      <c r="J171" s="33" t="s">
        <v>567</v>
      </c>
      <c r="K171" s="33" t="s">
        <v>2749</v>
      </c>
      <c r="L171">
        <v>200</v>
      </c>
      <c r="M171"/>
      <c r="N171" t="s">
        <v>2754</v>
      </c>
      <c r="O171" s="34" t="str">
        <f>HYPERLINK("https://b2b.kobi.pl/pl/product/9588,zarowka-led-st45-1w-e27-2700k-led2b?currency=PLN")</f>
        <v>https://b2b.kobi.pl/pl/product/9588,zarowka-led-st45-1w-e27-2700k-led2b?currency=PLN</v>
      </c>
      <c r="P171" t="s">
        <v>3</v>
      </c>
      <c r="Q171"/>
    </row>
    <row r="172" spans="1:17" ht="14.4" x14ac:dyDescent="0.3">
      <c r="A172" t="s">
        <v>9</v>
      </c>
      <c r="B172" t="s">
        <v>859</v>
      </c>
      <c r="C172" t="s">
        <v>1180</v>
      </c>
      <c r="D172" t="s">
        <v>1199</v>
      </c>
      <c r="E172" t="s">
        <v>1200</v>
      </c>
      <c r="F172" t="s">
        <v>832</v>
      </c>
      <c r="G172" s="35">
        <v>2.79</v>
      </c>
      <c r="H172" s="33">
        <f>G172*(1-IFERROR(VLOOKUP(F172,'enter the discount'!$D$10:$E$40,2,FALSE),0))</f>
        <v>2.79</v>
      </c>
      <c r="I172" s="35" t="s">
        <v>2609</v>
      </c>
      <c r="J172" s="33" t="s">
        <v>40</v>
      </c>
      <c r="K172" s="33" t="s">
        <v>2749</v>
      </c>
      <c r="L172">
        <v>100</v>
      </c>
      <c r="M172">
        <v>4000</v>
      </c>
      <c r="N172" t="s">
        <v>2754</v>
      </c>
      <c r="O172" s="34" t="str">
        <f>HYPERLINK("https://b2b.kobi.pl/pl/product/9482,zarowka-filamentowa-led-fmb-1-3w-e27-2700k-kobi-360-line?currency=PLN")</f>
        <v>https://b2b.kobi.pl/pl/product/9482,zarowka-filamentowa-led-fmb-1-3w-e27-2700k-kobi-360-line?currency=PLN</v>
      </c>
      <c r="P172" t="s">
        <v>3</v>
      </c>
      <c r="Q172"/>
    </row>
    <row r="173" spans="1:17" ht="14.4" x14ac:dyDescent="0.3">
      <c r="A173" t="s">
        <v>9</v>
      </c>
      <c r="B173" t="s">
        <v>859</v>
      </c>
      <c r="C173" t="s">
        <v>1180</v>
      </c>
      <c r="D173" t="s">
        <v>1201</v>
      </c>
      <c r="E173" t="s">
        <v>1202</v>
      </c>
      <c r="F173" t="s">
        <v>832</v>
      </c>
      <c r="G173" s="35">
        <v>12.17</v>
      </c>
      <c r="H173" s="33">
        <f>G173*(1-IFERROR(VLOOKUP(F173,'enter the discount'!$D$10:$E$40,2,FALSE),0))</f>
        <v>12.17</v>
      </c>
      <c r="I173" s="35" t="s">
        <v>2594</v>
      </c>
      <c r="J173" s="33" t="s">
        <v>35</v>
      </c>
      <c r="K173" s="33" t="s">
        <v>2749</v>
      </c>
      <c r="L173">
        <v>50</v>
      </c>
      <c r="M173">
        <v>300</v>
      </c>
      <c r="N173" t="s">
        <v>2754</v>
      </c>
      <c r="O173"/>
      <c r="P173" s="34" t="str">
        <f>HYPERLINK("https://eprel.ec.europa.eu/qr/659623")</f>
        <v>https://eprel.ec.europa.eu/qr/659623</v>
      </c>
      <c r="Q173" t="s">
        <v>2775</v>
      </c>
    </row>
    <row r="174" spans="1:17" ht="14.4" x14ac:dyDescent="0.3">
      <c r="A174" t="s">
        <v>9</v>
      </c>
      <c r="B174" t="s">
        <v>859</v>
      </c>
      <c r="C174" t="s">
        <v>910</v>
      </c>
      <c r="D174" t="s">
        <v>1203</v>
      </c>
      <c r="E174" t="s">
        <v>1204</v>
      </c>
      <c r="F174" t="s">
        <v>832</v>
      </c>
      <c r="G174" s="35">
        <v>2.57</v>
      </c>
      <c r="H174" s="33">
        <f>G174*(1-IFERROR(VLOOKUP(F174,'enter the discount'!$D$10:$E$40,2,FALSE),0))</f>
        <v>2.57</v>
      </c>
      <c r="I174" s="35" t="s">
        <v>2605</v>
      </c>
      <c r="J174" s="33" t="s">
        <v>116</v>
      </c>
      <c r="K174" s="33" t="s">
        <v>2749</v>
      </c>
      <c r="L174">
        <v>100</v>
      </c>
      <c r="M174">
        <v>4800</v>
      </c>
      <c r="N174" t="s">
        <v>2754</v>
      </c>
      <c r="O174" s="34" t="str">
        <f>HYPERLINK("https://b2b.kobi.pl/pl/product/9689,zarowka-led-r50-5w-e14-3000k-kobi?currency=PLN")</f>
        <v>https://b2b.kobi.pl/pl/product/9689,zarowka-led-r50-5w-e14-3000k-kobi?currency=PLN</v>
      </c>
      <c r="P174" s="34" t="str">
        <f>HYPERLINK("https://eprel.ec.europa.eu/qr/660746")</f>
        <v>https://eprel.ec.europa.eu/qr/660746</v>
      </c>
      <c r="Q174"/>
    </row>
    <row r="175" spans="1:17" ht="14.4" x14ac:dyDescent="0.3">
      <c r="A175" t="s">
        <v>9</v>
      </c>
      <c r="B175" t="s">
        <v>859</v>
      </c>
      <c r="C175" t="s">
        <v>910</v>
      </c>
      <c r="D175" t="s">
        <v>1205</v>
      </c>
      <c r="E175" t="s">
        <v>1206</v>
      </c>
      <c r="F175" t="s">
        <v>832</v>
      </c>
      <c r="G175" s="35">
        <v>2.57</v>
      </c>
      <c r="H175" s="33">
        <f>G175*(1-IFERROR(VLOOKUP(F175,'enter the discount'!$D$10:$E$40,2,FALSE),0))</f>
        <v>2.57</v>
      </c>
      <c r="I175" s="35" t="s">
        <v>2605</v>
      </c>
      <c r="J175" s="33" t="s">
        <v>117</v>
      </c>
      <c r="K175" s="33" t="s">
        <v>2749</v>
      </c>
      <c r="L175">
        <v>100</v>
      </c>
      <c r="M175">
        <v>4800</v>
      </c>
      <c r="N175" t="s">
        <v>2754</v>
      </c>
      <c r="O175" s="34" t="str">
        <f>HYPERLINK("https://b2b.kobi.pl/pl/product/9690,zarowka-led-r50-5w-e14-4000k-kobi?currency=PLN")</f>
        <v>https://b2b.kobi.pl/pl/product/9690,zarowka-led-r50-5w-e14-4000k-kobi?currency=PLN</v>
      </c>
      <c r="P175" s="34" t="str">
        <f>HYPERLINK("https://eprel.ec.europa.eu/qr/660747")</f>
        <v>https://eprel.ec.europa.eu/qr/660747</v>
      </c>
      <c r="Q175"/>
    </row>
    <row r="176" spans="1:17" ht="14.4" x14ac:dyDescent="0.3">
      <c r="A176" t="s">
        <v>9</v>
      </c>
      <c r="B176" t="s">
        <v>859</v>
      </c>
      <c r="C176" t="s">
        <v>910</v>
      </c>
      <c r="D176" t="s">
        <v>1207</v>
      </c>
      <c r="E176" t="s">
        <v>1208</v>
      </c>
      <c r="F176" t="s">
        <v>832</v>
      </c>
      <c r="G176" s="35">
        <v>3.05</v>
      </c>
      <c r="H176" s="33">
        <f>G176*(1-IFERROR(VLOOKUP(F176,'enter the discount'!$D$10:$E$40,2,FALSE),0))</f>
        <v>3.05</v>
      </c>
      <c r="I176" s="35" t="s">
        <v>2593</v>
      </c>
      <c r="J176" s="33" t="s">
        <v>118</v>
      </c>
      <c r="K176" s="33" t="s">
        <v>2749</v>
      </c>
      <c r="L176">
        <v>100</v>
      </c>
      <c r="M176">
        <v>2500</v>
      </c>
      <c r="N176" t="s">
        <v>2754</v>
      </c>
      <c r="O176" s="34" t="str">
        <f>HYPERLINK("https://b2b.kobi.pl/pl/product/9692,zarowka-led-r63-8w-e27-3000k-kobi?currency=PLN")</f>
        <v>https://b2b.kobi.pl/pl/product/9692,zarowka-led-r63-8w-e27-3000k-kobi?currency=PLN</v>
      </c>
      <c r="P176" s="34" t="str">
        <f>HYPERLINK("https://eprel.ec.europa.eu/qr/660751")</f>
        <v>https://eprel.ec.europa.eu/qr/660751</v>
      </c>
      <c r="Q176"/>
    </row>
    <row r="177" spans="1:17" ht="14.4" x14ac:dyDescent="0.3">
      <c r="A177" t="s">
        <v>9</v>
      </c>
      <c r="B177" t="s">
        <v>859</v>
      </c>
      <c r="C177" t="s">
        <v>910</v>
      </c>
      <c r="D177" t="s">
        <v>1209</v>
      </c>
      <c r="E177" t="s">
        <v>1210</v>
      </c>
      <c r="F177" t="s">
        <v>832</v>
      </c>
      <c r="G177" s="35">
        <v>3.05</v>
      </c>
      <c r="H177" s="33">
        <f>G177*(1-IFERROR(VLOOKUP(F177,'enter the discount'!$D$10:$E$40,2,FALSE),0))</f>
        <v>3.05</v>
      </c>
      <c r="I177" s="35" t="s">
        <v>2593</v>
      </c>
      <c r="J177" s="33" t="s">
        <v>119</v>
      </c>
      <c r="K177" s="33" t="s">
        <v>2749</v>
      </c>
      <c r="L177">
        <v>100</v>
      </c>
      <c r="M177">
        <v>2500</v>
      </c>
      <c r="N177" t="s">
        <v>2754</v>
      </c>
      <c r="O177" s="34" t="str">
        <f>HYPERLINK("https://b2b.kobi.pl/pl/product/9693,zarowka-led-r63-8w-e27-4000k-kobi?currency=PLN")</f>
        <v>https://b2b.kobi.pl/pl/product/9693,zarowka-led-r63-8w-e27-4000k-kobi?currency=PLN</v>
      </c>
      <c r="P177" s="34" t="str">
        <f>HYPERLINK("https://eprel.ec.europa.eu/qr/660752")</f>
        <v>https://eprel.ec.europa.eu/qr/660752</v>
      </c>
      <c r="Q177"/>
    </row>
    <row r="178" spans="1:17" ht="14.4" x14ac:dyDescent="0.3">
      <c r="A178" t="s">
        <v>9</v>
      </c>
      <c r="B178" t="s">
        <v>859</v>
      </c>
      <c r="C178" t="s">
        <v>910</v>
      </c>
      <c r="D178" t="s">
        <v>1211</v>
      </c>
      <c r="E178" t="s">
        <v>1212</v>
      </c>
      <c r="F178" t="s">
        <v>832</v>
      </c>
      <c r="G178" s="35">
        <v>3.05</v>
      </c>
      <c r="H178" s="33">
        <f>G178*(1-IFERROR(VLOOKUP(F178,'enter the discount'!$D$10:$E$40,2,FALSE),0))</f>
        <v>3.05</v>
      </c>
      <c r="I178" s="35" t="s">
        <v>2593</v>
      </c>
      <c r="J178" s="33" t="s">
        <v>120</v>
      </c>
      <c r="K178" s="33" t="s">
        <v>2749</v>
      </c>
      <c r="L178">
        <v>100</v>
      </c>
      <c r="M178">
        <v>2500</v>
      </c>
      <c r="N178" t="s">
        <v>2754</v>
      </c>
      <c r="O178" s="34" t="str">
        <f>HYPERLINK("https://b2b.kobi.pl/pl/product/9694,zarowka-led-r63-8w-e27-6000k-kobi?currency=PLN")</f>
        <v>https://b2b.kobi.pl/pl/product/9694,zarowka-led-r63-8w-e27-6000k-kobi?currency=PLN</v>
      </c>
      <c r="P178" s="34" t="str">
        <f>HYPERLINK("https://eprel.ec.europa.eu/qr/660753")</f>
        <v>https://eprel.ec.europa.eu/qr/660753</v>
      </c>
      <c r="Q178" t="s">
        <v>2775</v>
      </c>
    </row>
    <row r="179" spans="1:17" ht="14.4" x14ac:dyDescent="0.3">
      <c r="A179" t="s">
        <v>9</v>
      </c>
      <c r="B179" t="s">
        <v>859</v>
      </c>
      <c r="C179" t="s">
        <v>910</v>
      </c>
      <c r="D179" t="s">
        <v>1213</v>
      </c>
      <c r="E179" t="s">
        <v>1214</v>
      </c>
      <c r="F179" t="s">
        <v>832</v>
      </c>
      <c r="G179" s="35">
        <v>3.01</v>
      </c>
      <c r="H179" s="33">
        <f>G179*(1-IFERROR(VLOOKUP(F179,'enter the discount'!$D$10:$E$40,2,FALSE),0))</f>
        <v>3.01</v>
      </c>
      <c r="I179" s="35" t="s">
        <v>2593</v>
      </c>
      <c r="J179" s="33" t="s">
        <v>362</v>
      </c>
      <c r="K179" s="33" t="s">
        <v>2749</v>
      </c>
      <c r="L179">
        <v>100</v>
      </c>
      <c r="M179">
        <v>20000</v>
      </c>
      <c r="N179" t="s">
        <v>2754</v>
      </c>
      <c r="O179" s="34" t="str">
        <f>HYPERLINK("https://b2b.kobi.pl/pl/product/9725,zarowka-led-t-2w-e14-4000k-kobi?currency=PLN")</f>
        <v>https://b2b.kobi.pl/pl/product/9725,zarowka-led-t-2w-e14-4000k-kobi?currency=PLN</v>
      </c>
      <c r="P179" s="34" t="str">
        <f>HYPERLINK("https://eprel.ec.europa.eu/qr/770526")</f>
        <v>https://eprel.ec.europa.eu/qr/770526</v>
      </c>
      <c r="Q179"/>
    </row>
    <row r="180" spans="1:17" ht="14.4" x14ac:dyDescent="0.3">
      <c r="A180" t="s">
        <v>9</v>
      </c>
      <c r="B180" t="s">
        <v>859</v>
      </c>
      <c r="C180" t="s">
        <v>910</v>
      </c>
      <c r="D180" t="s">
        <v>1215</v>
      </c>
      <c r="E180" t="s">
        <v>1216</v>
      </c>
      <c r="F180" t="s">
        <v>832</v>
      </c>
      <c r="G180" s="35">
        <v>4.34</v>
      </c>
      <c r="H180" s="33">
        <f>G180*(1-IFERROR(VLOOKUP(F180,'enter the discount'!$D$10:$E$40,2,FALSE),0))</f>
        <v>4.34</v>
      </c>
      <c r="I180" s="35" t="s">
        <v>2593</v>
      </c>
      <c r="J180" s="33" t="s">
        <v>145</v>
      </c>
      <c r="K180" s="33" t="s">
        <v>2749</v>
      </c>
      <c r="L180">
        <v>100</v>
      </c>
      <c r="M180"/>
      <c r="N180" t="s">
        <v>2754</v>
      </c>
      <c r="O180" s="34" t="str">
        <f>HYPERLINK("https://b2b.kobi.pl/pl/product/9726,zarowka-led-t-4-2w-e14-4000k-kobi?currency=PLN")</f>
        <v>https://b2b.kobi.pl/pl/product/9726,zarowka-led-t-4-2w-e14-4000k-kobi?currency=PLN</v>
      </c>
      <c r="P180" s="34" t="str">
        <f>HYPERLINK("https://eprel.ec.europa.eu/qr/660816")</f>
        <v>https://eprel.ec.europa.eu/qr/660816</v>
      </c>
      <c r="Q180"/>
    </row>
    <row r="181" spans="1:17" ht="14.4" x14ac:dyDescent="0.3">
      <c r="A181" t="s">
        <v>9</v>
      </c>
      <c r="B181" t="s">
        <v>859</v>
      </c>
      <c r="C181" t="s">
        <v>910</v>
      </c>
      <c r="D181" t="s">
        <v>1217</v>
      </c>
      <c r="E181" t="s">
        <v>1218</v>
      </c>
      <c r="F181" t="s">
        <v>832</v>
      </c>
      <c r="G181" s="35">
        <v>13.72</v>
      </c>
      <c r="H181" s="33">
        <f>G181*(1-IFERROR(VLOOKUP(F181,'enter the discount'!$D$10:$E$40,2,FALSE),0))</f>
        <v>13.72</v>
      </c>
      <c r="I181" s="35" t="s">
        <v>2593</v>
      </c>
      <c r="J181" s="33" t="s">
        <v>48</v>
      </c>
      <c r="K181" s="33" t="s">
        <v>2749</v>
      </c>
      <c r="L181">
        <v>24</v>
      </c>
      <c r="M181">
        <v>384</v>
      </c>
      <c r="N181" t="s">
        <v>2754</v>
      </c>
      <c r="O181" s="34" t="str">
        <f>HYPERLINK("https://b2b.kobi.pl/pl/product/9487,zarowka-led-g120-24w-e27-3000k-kobi?currency=PLN")</f>
        <v>https://b2b.kobi.pl/pl/product/9487,zarowka-led-g120-24w-e27-3000k-kobi?currency=PLN</v>
      </c>
      <c r="P181" s="34" t="str">
        <f>HYPERLINK("https://eprel.ec.europa.eu/qr/659726")</f>
        <v>https://eprel.ec.europa.eu/qr/659726</v>
      </c>
      <c r="Q181"/>
    </row>
    <row r="182" spans="1:17" ht="14.4" x14ac:dyDescent="0.3">
      <c r="A182" t="s">
        <v>9</v>
      </c>
      <c r="B182" t="s">
        <v>859</v>
      </c>
      <c r="C182" t="s">
        <v>910</v>
      </c>
      <c r="D182" t="s">
        <v>1219</v>
      </c>
      <c r="E182" t="s">
        <v>1220</v>
      </c>
      <c r="F182" t="s">
        <v>832</v>
      </c>
      <c r="G182" s="35">
        <v>13.72</v>
      </c>
      <c r="H182" s="33">
        <f>G182*(1-IFERROR(VLOOKUP(F182,'enter the discount'!$D$10:$E$40,2,FALSE),0))</f>
        <v>13.72</v>
      </c>
      <c r="I182" s="35" t="s">
        <v>2593</v>
      </c>
      <c r="J182" s="33" t="s">
        <v>49</v>
      </c>
      <c r="K182" s="33" t="s">
        <v>2749</v>
      </c>
      <c r="L182">
        <v>24</v>
      </c>
      <c r="M182">
        <v>384</v>
      </c>
      <c r="N182" t="s">
        <v>2754</v>
      </c>
      <c r="O182" s="34" t="str">
        <f>HYPERLINK("https://b2b.kobi.pl/pl/product/9488,zarowka-led-g120-24w-e27-4000k-kobi?currency=PLN")</f>
        <v>https://b2b.kobi.pl/pl/product/9488,zarowka-led-g120-24w-e27-4000k-kobi?currency=PLN</v>
      </c>
      <c r="P182" s="34" t="str">
        <f>HYPERLINK("https://eprel.ec.europa.eu/qr/659731")</f>
        <v>https://eprel.ec.europa.eu/qr/659731</v>
      </c>
      <c r="Q182"/>
    </row>
    <row r="183" spans="1:17" ht="14.4" x14ac:dyDescent="0.3">
      <c r="A183" t="s">
        <v>10</v>
      </c>
      <c r="B183" t="s">
        <v>370</v>
      </c>
      <c r="C183" t="s">
        <v>910</v>
      </c>
      <c r="D183" t="s">
        <v>1221</v>
      </c>
      <c r="E183" t="s">
        <v>1222</v>
      </c>
      <c r="F183" t="s">
        <v>840</v>
      </c>
      <c r="G183" s="35">
        <v>8.8000000000000007</v>
      </c>
      <c r="H183" s="33">
        <f>G183*(1-IFERROR(VLOOKUP(F183,'enter the discount'!$D$10:$E$40,2,FALSE),0))</f>
        <v>8.8000000000000007</v>
      </c>
      <c r="I183" s="35" t="s">
        <v>2609</v>
      </c>
      <c r="J183" s="33" t="s">
        <v>180</v>
      </c>
      <c r="K183" s="33" t="s">
        <v>2749</v>
      </c>
      <c r="L183">
        <v>18</v>
      </c>
      <c r="M183">
        <v>360</v>
      </c>
      <c r="N183" t="s">
        <v>2754</v>
      </c>
      <c r="O183" s="34" t="str">
        <f>HYPERLINK("https://b2b.kobi.pl/pl/product/9941,oprawa-hermetyczna-hermetic-1x60-ip65-kobi?currency=PLN")</f>
        <v>https://b2b.kobi.pl/pl/product/9941,oprawa-hermetyczna-hermetic-1x60-ip65-kobi?currency=PLN</v>
      </c>
      <c r="P183" t="s">
        <v>3</v>
      </c>
      <c r="Q183"/>
    </row>
    <row r="184" spans="1:17" ht="14.4" x14ac:dyDescent="0.3">
      <c r="A184" t="s">
        <v>10</v>
      </c>
      <c r="B184" t="s">
        <v>370</v>
      </c>
      <c r="C184" t="s">
        <v>910</v>
      </c>
      <c r="D184" t="s">
        <v>1223</v>
      </c>
      <c r="E184" t="s">
        <v>1224</v>
      </c>
      <c r="F184" t="s">
        <v>840</v>
      </c>
      <c r="G184" s="35">
        <v>11.05</v>
      </c>
      <c r="H184" s="33">
        <f>G184*(1-IFERROR(VLOOKUP(F184,'enter the discount'!$D$10:$E$40,2,FALSE),0))</f>
        <v>11.05</v>
      </c>
      <c r="I184" s="35" t="s">
        <v>2609</v>
      </c>
      <c r="J184" s="33" t="s">
        <v>181</v>
      </c>
      <c r="K184" s="33" t="s">
        <v>2749</v>
      </c>
      <c r="L184">
        <v>12</v>
      </c>
      <c r="M184">
        <v>216</v>
      </c>
      <c r="N184" t="s">
        <v>2754</v>
      </c>
      <c r="O184" s="34" t="str">
        <f>HYPERLINK("https://b2b.kobi.pl/pl/product/9939,oprawa-hermetyczna-hermetic-1x120-ip65-kobi?currency=PLN")</f>
        <v>https://b2b.kobi.pl/pl/product/9939,oprawa-hermetyczna-hermetic-1x120-ip65-kobi?currency=PLN</v>
      </c>
      <c r="P184" t="s">
        <v>3</v>
      </c>
      <c r="Q184"/>
    </row>
    <row r="185" spans="1:17" ht="14.4" x14ac:dyDescent="0.3">
      <c r="A185" t="s">
        <v>10</v>
      </c>
      <c r="B185" t="s">
        <v>370</v>
      </c>
      <c r="C185" t="s">
        <v>910</v>
      </c>
      <c r="D185" t="s">
        <v>1225</v>
      </c>
      <c r="E185" t="s">
        <v>1226</v>
      </c>
      <c r="F185" t="s">
        <v>840</v>
      </c>
      <c r="G185" s="35">
        <v>13.48</v>
      </c>
      <c r="H185" s="33">
        <f>G185*(1-IFERROR(VLOOKUP(F185,'enter the discount'!$D$10:$E$40,2,FALSE),0))</f>
        <v>13.48</v>
      </c>
      <c r="I185" s="35" t="s">
        <v>2609</v>
      </c>
      <c r="J185" s="33" t="s">
        <v>182</v>
      </c>
      <c r="K185" s="33" t="s">
        <v>2749</v>
      </c>
      <c r="L185">
        <v>12</v>
      </c>
      <c r="M185">
        <v>180</v>
      </c>
      <c r="N185" t="s">
        <v>2754</v>
      </c>
      <c r="O185" s="34" t="str">
        <f>HYPERLINK("https://b2b.kobi.pl/pl/product/9940,oprawa-hermetyczna-hermetic-1x150-ip65-kobi?currency=PLN")</f>
        <v>https://b2b.kobi.pl/pl/product/9940,oprawa-hermetyczna-hermetic-1x150-ip65-kobi?currency=PLN</v>
      </c>
      <c r="P185" t="s">
        <v>3</v>
      </c>
      <c r="Q185"/>
    </row>
    <row r="186" spans="1:17" ht="14.4" x14ac:dyDescent="0.3">
      <c r="A186" t="s">
        <v>10</v>
      </c>
      <c r="B186" t="s">
        <v>370</v>
      </c>
      <c r="C186" t="s">
        <v>910</v>
      </c>
      <c r="D186" t="s">
        <v>1227</v>
      </c>
      <c r="E186" t="s">
        <v>1228</v>
      </c>
      <c r="F186" t="s">
        <v>840</v>
      </c>
      <c r="G186" s="35">
        <v>9.68</v>
      </c>
      <c r="H186" s="33">
        <f>G186*(1-IFERROR(VLOOKUP(F186,'enter the discount'!$D$10:$E$40,2,FALSE),0))</f>
        <v>9.68</v>
      </c>
      <c r="I186" s="35" t="s">
        <v>2609</v>
      </c>
      <c r="J186" s="33" t="s">
        <v>185</v>
      </c>
      <c r="K186" s="33" t="s">
        <v>2749</v>
      </c>
      <c r="L186">
        <v>10</v>
      </c>
      <c r="M186">
        <v>250</v>
      </c>
      <c r="N186" t="s">
        <v>2754</v>
      </c>
      <c r="O186" s="34" t="str">
        <f>HYPERLINK("https://b2b.kobi.pl/pl/product/9944,oprawa-hermetyczna-hermetic-2x60-ip65-kobi?currency=PLN")</f>
        <v>https://b2b.kobi.pl/pl/product/9944,oprawa-hermetyczna-hermetic-2x60-ip65-kobi?currency=PLN</v>
      </c>
      <c r="P186" t="s">
        <v>3</v>
      </c>
      <c r="Q186"/>
    </row>
    <row r="187" spans="1:17" ht="14.4" x14ac:dyDescent="0.3">
      <c r="A187" t="s">
        <v>10</v>
      </c>
      <c r="B187" t="s">
        <v>370</v>
      </c>
      <c r="C187" t="s">
        <v>910</v>
      </c>
      <c r="D187" t="s">
        <v>1229</v>
      </c>
      <c r="E187" t="s">
        <v>1230</v>
      </c>
      <c r="F187" t="s">
        <v>840</v>
      </c>
      <c r="G187" s="35">
        <v>13.35</v>
      </c>
      <c r="H187" s="33">
        <f>G187*(1-IFERROR(VLOOKUP(F187,'enter the discount'!$D$10:$E$40,2,FALSE),0))</f>
        <v>13.35</v>
      </c>
      <c r="I187" s="35" t="s">
        <v>2609</v>
      </c>
      <c r="J187" s="33" t="s">
        <v>183</v>
      </c>
      <c r="K187" s="33" t="s">
        <v>2749</v>
      </c>
      <c r="L187">
        <v>10</v>
      </c>
      <c r="M187">
        <v>150</v>
      </c>
      <c r="N187" t="s">
        <v>2754</v>
      </c>
      <c r="O187" s="34" t="str">
        <f>HYPERLINK("https://b2b.kobi.pl/pl/product/9942,oprawa-hermetyczna-hermetic-2x120-ip65-kobi?currency=PLN")</f>
        <v>https://b2b.kobi.pl/pl/product/9942,oprawa-hermetyczna-hermetic-2x120-ip65-kobi?currency=PLN</v>
      </c>
      <c r="P187" t="s">
        <v>3</v>
      </c>
      <c r="Q187"/>
    </row>
    <row r="188" spans="1:17" ht="14.4" x14ac:dyDescent="0.3">
      <c r="A188" t="s">
        <v>10</v>
      </c>
      <c r="B188" t="s">
        <v>370</v>
      </c>
      <c r="C188" t="s">
        <v>910</v>
      </c>
      <c r="D188" t="s">
        <v>1231</v>
      </c>
      <c r="E188" t="s">
        <v>1232</v>
      </c>
      <c r="F188" t="s">
        <v>840</v>
      </c>
      <c r="G188" s="35">
        <v>17.829999999999998</v>
      </c>
      <c r="H188" s="33">
        <f>G188*(1-IFERROR(VLOOKUP(F188,'enter the discount'!$D$10:$E$40,2,FALSE),0))</f>
        <v>17.829999999999998</v>
      </c>
      <c r="I188" s="35" t="s">
        <v>2609</v>
      </c>
      <c r="J188" s="33" t="s">
        <v>184</v>
      </c>
      <c r="K188" s="33" t="s">
        <v>2749</v>
      </c>
      <c r="L188">
        <v>8</v>
      </c>
      <c r="M188">
        <v>120</v>
      </c>
      <c r="N188" t="s">
        <v>2754</v>
      </c>
      <c r="O188" s="34" t="str">
        <f>HYPERLINK("https://b2b.kobi.pl/pl/product/9943,oprawa-hermetyczna-hermetic-2x150-ip65-kobi?currency=PLN")</f>
        <v>https://b2b.kobi.pl/pl/product/9943,oprawa-hermetyczna-hermetic-2x150-ip65-kobi?currency=PLN</v>
      </c>
      <c r="P188" t="s">
        <v>3</v>
      </c>
      <c r="Q188"/>
    </row>
    <row r="189" spans="1:17" ht="14.4" x14ac:dyDescent="0.3">
      <c r="A189" t="s">
        <v>10</v>
      </c>
      <c r="B189" t="s">
        <v>370</v>
      </c>
      <c r="C189" t="s">
        <v>910</v>
      </c>
      <c r="D189" t="s">
        <v>1233</v>
      </c>
      <c r="E189" t="s">
        <v>1234</v>
      </c>
      <c r="F189" t="s">
        <v>840</v>
      </c>
      <c r="G189" s="35">
        <v>15.29</v>
      </c>
      <c r="H189" s="33">
        <f>G189*(1-IFERROR(VLOOKUP(F189,'enter the discount'!$D$10:$E$40,2,FALSE),0))</f>
        <v>15.29</v>
      </c>
      <c r="I189" s="35" t="s">
        <v>2609</v>
      </c>
      <c r="J189" s="33" t="s">
        <v>466</v>
      </c>
      <c r="K189" s="33" t="s">
        <v>2749</v>
      </c>
      <c r="L189">
        <v>12</v>
      </c>
      <c r="M189">
        <v>216</v>
      </c>
      <c r="N189" t="s">
        <v>2754</v>
      </c>
      <c r="O189" s="34" t="str">
        <f>HYPERLINK("https://b2b.kobi.pl/pl/product/9934,zestaw-hermetic-1x120-led-t8-18w-4000k-ip65-kobi?currency=PLN")</f>
        <v>https://b2b.kobi.pl/pl/product/9934,zestaw-hermetic-1x120-led-t8-18w-4000k-ip65-kobi?currency=PLN</v>
      </c>
      <c r="P189" s="34" t="str">
        <f>HYPERLINK("https://eprel.ec.europa.eu/qr/1694744")</f>
        <v>https://eprel.ec.europa.eu/qr/1694744</v>
      </c>
      <c r="Q189" t="s">
        <v>2775</v>
      </c>
    </row>
    <row r="190" spans="1:17" ht="14.4" x14ac:dyDescent="0.3">
      <c r="A190" t="s">
        <v>10</v>
      </c>
      <c r="B190" t="s">
        <v>370</v>
      </c>
      <c r="C190" t="s">
        <v>910</v>
      </c>
      <c r="D190" t="s">
        <v>1235</v>
      </c>
      <c r="E190" t="s">
        <v>1236</v>
      </c>
      <c r="F190" t="s">
        <v>840</v>
      </c>
      <c r="G190" s="35">
        <v>16.07</v>
      </c>
      <c r="H190" s="33">
        <f>G190*(1-IFERROR(VLOOKUP(F190,'enter the discount'!$D$10:$E$40,2,FALSE),0))</f>
        <v>16.07</v>
      </c>
      <c r="I190" s="35" t="s">
        <v>2609</v>
      </c>
      <c r="J190" s="33" t="s">
        <v>467</v>
      </c>
      <c r="K190" s="33" t="s">
        <v>2749</v>
      </c>
      <c r="L190">
        <v>10</v>
      </c>
      <c r="M190">
        <v>250</v>
      </c>
      <c r="N190" t="s">
        <v>2754</v>
      </c>
      <c r="O190" s="34" t="str">
        <f>HYPERLINK("https://b2b.kobi.pl/pl/product/9938,zestaw-hermetic-2x60-led-t8-9w-4000k-ip65-kobi?currency=PLN")</f>
        <v>https://b2b.kobi.pl/pl/product/9938,zestaw-hermetic-2x60-led-t8-9w-4000k-ip65-kobi?currency=PLN</v>
      </c>
      <c r="P190" s="34" t="str">
        <f>HYPERLINK("https://eprel.ec.europa.eu/qr/1694474")</f>
        <v>https://eprel.ec.europa.eu/qr/1694474</v>
      </c>
      <c r="Q190"/>
    </row>
    <row r="191" spans="1:17" ht="14.4" x14ac:dyDescent="0.3">
      <c r="A191" t="s">
        <v>10</v>
      </c>
      <c r="B191" t="s">
        <v>370</v>
      </c>
      <c r="C191" t="s">
        <v>910</v>
      </c>
      <c r="D191" t="s">
        <v>1237</v>
      </c>
      <c r="E191" t="s">
        <v>1238</v>
      </c>
      <c r="F191" t="s">
        <v>840</v>
      </c>
      <c r="G191" s="35">
        <v>21.39</v>
      </c>
      <c r="H191" s="33">
        <f>G191*(1-IFERROR(VLOOKUP(F191,'enter the discount'!$D$10:$E$40,2,FALSE),0))</f>
        <v>21.39</v>
      </c>
      <c r="I191" s="35" t="s">
        <v>2609</v>
      </c>
      <c r="J191" s="33" t="s">
        <v>348</v>
      </c>
      <c r="K191" s="33" t="s">
        <v>2749</v>
      </c>
      <c r="L191">
        <v>10</v>
      </c>
      <c r="M191">
        <v>150</v>
      </c>
      <c r="N191" t="s">
        <v>2754</v>
      </c>
      <c r="O191" s="34" t="str">
        <f>HYPERLINK("https://b2b.kobi.pl/pl/product/9936,zestaw-hermetic-2x120-led-t8-18w-4000k-ip65-kobi?currency=PLN")</f>
        <v>https://b2b.kobi.pl/pl/product/9936,zestaw-hermetic-2x120-led-t8-18w-4000k-ip65-kobi?currency=PLN</v>
      </c>
      <c r="P191" s="34" t="str">
        <f>HYPERLINK("https://eprel.ec.europa.eu/qr/1694581")</f>
        <v>https://eprel.ec.europa.eu/qr/1694581</v>
      </c>
      <c r="Q191"/>
    </row>
    <row r="192" spans="1:17" ht="14.4" x14ac:dyDescent="0.3">
      <c r="A192" t="s">
        <v>10</v>
      </c>
      <c r="B192" t="s">
        <v>370</v>
      </c>
      <c r="C192" t="s">
        <v>910</v>
      </c>
      <c r="D192" t="s">
        <v>1239</v>
      </c>
      <c r="E192" t="s">
        <v>1240</v>
      </c>
      <c r="F192" t="s">
        <v>840</v>
      </c>
      <c r="G192" s="35">
        <v>21.39</v>
      </c>
      <c r="H192" s="33">
        <f>G192*(1-IFERROR(VLOOKUP(F192,'enter the discount'!$D$10:$E$40,2,FALSE),0))</f>
        <v>21.39</v>
      </c>
      <c r="I192" s="35" t="s">
        <v>2609</v>
      </c>
      <c r="J192" s="33" t="s">
        <v>349</v>
      </c>
      <c r="K192" s="33" t="s">
        <v>2749</v>
      </c>
      <c r="L192">
        <v>10</v>
      </c>
      <c r="M192">
        <v>150</v>
      </c>
      <c r="N192" t="s">
        <v>2754</v>
      </c>
      <c r="O192" s="34" t="str">
        <f>HYPERLINK("https://b2b.kobi.pl/pl/product/9937,zestaw-hermetic-2x120-led-t8-18w-6500k-ip65-kobi?currency=PLN")</f>
        <v>https://b2b.kobi.pl/pl/product/9937,zestaw-hermetic-2x120-led-t8-18w-6500k-ip65-kobi?currency=PLN</v>
      </c>
      <c r="P192" s="34" t="str">
        <f>HYPERLINK("https://eprel.ec.europa.eu/qr/1694744")</f>
        <v>https://eprel.ec.europa.eu/qr/1694744</v>
      </c>
      <c r="Q192"/>
    </row>
    <row r="193" spans="1:17" ht="14.4" x14ac:dyDescent="0.3">
      <c r="A193" t="s">
        <v>10</v>
      </c>
      <c r="B193" t="s">
        <v>370</v>
      </c>
      <c r="C193" t="s">
        <v>910</v>
      </c>
      <c r="D193" t="s">
        <v>1241</v>
      </c>
      <c r="E193" t="s">
        <v>1242</v>
      </c>
      <c r="F193" t="s">
        <v>840</v>
      </c>
      <c r="G193" s="35">
        <v>21.39</v>
      </c>
      <c r="H193" s="33">
        <f>G193*(1-IFERROR(VLOOKUP(F193,'enter the discount'!$D$10:$E$40,2,FALSE),0))</f>
        <v>21.39</v>
      </c>
      <c r="I193" s="35" t="s">
        <v>2609</v>
      </c>
      <c r="J193" s="33" t="s">
        <v>2612</v>
      </c>
      <c r="K193" s="33" t="s">
        <v>2749</v>
      </c>
      <c r="L193">
        <v>10</v>
      </c>
      <c r="M193">
        <v>150</v>
      </c>
      <c r="N193" t="s">
        <v>2754</v>
      </c>
      <c r="O193" s="34" t="str">
        <f>HYPERLINK("https://b2b.kobi.pl/pl/product/12115,zestaw-hermetyczny-hermetic-g2-2x-led-t8-18w-120cm-4000k-kobi?currency=PLN")</f>
        <v>https://b2b.kobi.pl/pl/product/12115,zestaw-hermetyczny-hermetic-g2-2x-led-t8-18w-120cm-4000k-kobi?currency=PLN</v>
      </c>
      <c r="P193" t="s">
        <v>3</v>
      </c>
      <c r="Q193"/>
    </row>
    <row r="194" spans="1:17" ht="14.4" x14ac:dyDescent="0.3">
      <c r="A194" t="s">
        <v>10</v>
      </c>
      <c r="B194" t="s">
        <v>370</v>
      </c>
      <c r="C194" t="s">
        <v>910</v>
      </c>
      <c r="D194" t="s">
        <v>1243</v>
      </c>
      <c r="E194" t="s">
        <v>1244</v>
      </c>
      <c r="F194" t="s">
        <v>840</v>
      </c>
      <c r="G194" s="35">
        <v>21.39</v>
      </c>
      <c r="H194" s="33">
        <f>G194*(1-IFERROR(VLOOKUP(F194,'enter the discount'!$D$10:$E$40,2,FALSE),0))</f>
        <v>21.39</v>
      </c>
      <c r="I194" s="35" t="s">
        <v>2609</v>
      </c>
      <c r="J194" s="33" t="s">
        <v>2613</v>
      </c>
      <c r="K194" s="33" t="s">
        <v>2749</v>
      </c>
      <c r="L194">
        <v>10</v>
      </c>
      <c r="M194">
        <v>150</v>
      </c>
      <c r="N194" t="s">
        <v>2754</v>
      </c>
      <c r="O194" s="34" t="str">
        <f>HYPERLINK("https://b2b.kobi.pl/pl/product/12116,zestaw-hermetyczny-hermetic-g2-2x-led-t8-18w-120cm-6500k-kobi?currency=PLN")</f>
        <v>https://b2b.kobi.pl/pl/product/12116,zestaw-hermetyczny-hermetic-g2-2x-led-t8-18w-120cm-6500k-kobi?currency=PLN</v>
      </c>
      <c r="P194" t="s">
        <v>3</v>
      </c>
      <c r="Q194"/>
    </row>
    <row r="195" spans="1:17" ht="14.4" x14ac:dyDescent="0.3">
      <c r="A195" t="s">
        <v>10</v>
      </c>
      <c r="B195" t="s">
        <v>370</v>
      </c>
      <c r="C195" t="s">
        <v>910</v>
      </c>
      <c r="D195" t="s">
        <v>1245</v>
      </c>
      <c r="E195" t="s">
        <v>1246</v>
      </c>
      <c r="F195" t="s">
        <v>840</v>
      </c>
      <c r="G195" s="35">
        <v>16.09</v>
      </c>
      <c r="H195" s="33">
        <f>G195*(1-IFERROR(VLOOKUP(F195,'enter the discount'!$D$10:$E$40,2,FALSE),0))</f>
        <v>16.09</v>
      </c>
      <c r="I195" s="35" t="s">
        <v>2609</v>
      </c>
      <c r="J195" s="33" t="s">
        <v>186</v>
      </c>
      <c r="K195" s="33" t="s">
        <v>2749</v>
      </c>
      <c r="L195">
        <v>8</v>
      </c>
      <c r="M195">
        <v>192</v>
      </c>
      <c r="N195" t="s">
        <v>2754</v>
      </c>
      <c r="O195" s="34" t="str">
        <f>HYPERLINK("https://b2b.kobi.pl/pl/product/9945,oprawa-hermetyczna-hermic-1x120-ip65-kobi?currency=PLN")</f>
        <v>https://b2b.kobi.pl/pl/product/9945,oprawa-hermetyczna-hermic-1x120-ip65-kobi?currency=PLN</v>
      </c>
      <c r="P195" t="s">
        <v>3</v>
      </c>
      <c r="Q195"/>
    </row>
    <row r="196" spans="1:17" ht="14.4" x14ac:dyDescent="0.3">
      <c r="A196" t="s">
        <v>10</v>
      </c>
      <c r="B196" t="s">
        <v>370</v>
      </c>
      <c r="C196" t="s">
        <v>910</v>
      </c>
      <c r="D196" t="s">
        <v>1247</v>
      </c>
      <c r="E196" t="s">
        <v>1248</v>
      </c>
      <c r="F196" t="s">
        <v>840</v>
      </c>
      <c r="G196" s="35">
        <v>18.55</v>
      </c>
      <c r="H196" s="33">
        <f>G196*(1-IFERROR(VLOOKUP(F196,'enter the discount'!$D$10:$E$40,2,FALSE),0))</f>
        <v>18.55</v>
      </c>
      <c r="I196" s="35" t="s">
        <v>2609</v>
      </c>
      <c r="J196" s="33" t="s">
        <v>187</v>
      </c>
      <c r="K196" s="33" t="s">
        <v>2749</v>
      </c>
      <c r="L196">
        <v>6</v>
      </c>
      <c r="M196">
        <v>144</v>
      </c>
      <c r="N196" t="s">
        <v>2754</v>
      </c>
      <c r="O196" s="34" t="str">
        <f>HYPERLINK("https://b2b.kobi.pl/pl/product/9947,oprawa-hermetyczna-hermic-2x120-ip65-kobi?currency=PLN")</f>
        <v>https://b2b.kobi.pl/pl/product/9947,oprawa-hermetyczna-hermic-2x120-ip65-kobi?currency=PLN</v>
      </c>
      <c r="P196" t="s">
        <v>3</v>
      </c>
      <c r="Q196"/>
    </row>
    <row r="197" spans="1:17" ht="14.4" x14ac:dyDescent="0.3">
      <c r="A197" t="s">
        <v>10</v>
      </c>
      <c r="B197" t="s">
        <v>370</v>
      </c>
      <c r="C197" t="s">
        <v>910</v>
      </c>
      <c r="D197" t="s">
        <v>650</v>
      </c>
      <c r="E197" t="s">
        <v>1249</v>
      </c>
      <c r="F197" t="s">
        <v>840</v>
      </c>
      <c r="G197" s="35">
        <v>5.54</v>
      </c>
      <c r="H197" s="33">
        <f>G197*(1-IFERROR(VLOOKUP(F197,'enter the discount'!$D$10:$E$40,2,FALSE),0))</f>
        <v>5.54</v>
      </c>
      <c r="I197" s="35" t="s">
        <v>2609</v>
      </c>
      <c r="J197" s="33" t="s">
        <v>3</v>
      </c>
      <c r="K197" s="33" t="s">
        <v>2749</v>
      </c>
      <c r="L197">
        <v>30</v>
      </c>
      <c r="M197"/>
      <c r="N197" t="s">
        <v>2754</v>
      </c>
      <c r="O197" s="34" t="str">
        <f>HYPERLINK("https://b2b.kobi.pl/pl/product/10277,klosz-pryzmatic-do-led-hermic-2x120-kobi?currency=PLN")</f>
        <v>https://b2b.kobi.pl/pl/product/10277,klosz-pryzmatic-do-led-hermic-2x120-kobi?currency=PLN</v>
      </c>
      <c r="P197" t="s">
        <v>3</v>
      </c>
      <c r="Q197"/>
    </row>
    <row r="198" spans="1:17" ht="14.4" x14ac:dyDescent="0.3">
      <c r="A198" t="s">
        <v>10</v>
      </c>
      <c r="B198" t="s">
        <v>25</v>
      </c>
      <c r="C198" t="s">
        <v>885</v>
      </c>
      <c r="D198" t="s">
        <v>1250</v>
      </c>
      <c r="E198" t="s">
        <v>1251</v>
      </c>
      <c r="F198" t="s">
        <v>833</v>
      </c>
      <c r="G198" s="35">
        <v>37.409999999999997</v>
      </c>
      <c r="H198" s="33">
        <f>G198*(1-IFERROR(VLOOKUP(F198,'enter the discount'!$D$10:$E$40,2,FALSE),0))</f>
        <v>37.409999999999997</v>
      </c>
      <c r="I198" s="35" t="s">
        <v>2598</v>
      </c>
      <c r="J198" s="33" t="s">
        <v>597</v>
      </c>
      <c r="K198" s="33" t="s">
        <v>2749</v>
      </c>
      <c r="L198">
        <v>6</v>
      </c>
      <c r="M198">
        <v>72</v>
      </c>
      <c r="N198" t="s">
        <v>2755</v>
      </c>
      <c r="O198" s="34" t="str">
        <f>HYPERLINK("https://b2b.kobi.pl/pl/product/9896,panel-led-brisbane-36w-60x60-4000k-bialy-kobi-premium?currency=PLN")</f>
        <v>https://b2b.kobi.pl/pl/product/9896,panel-led-brisbane-36w-60x60-4000k-bialy-kobi-premium?currency=PLN</v>
      </c>
      <c r="P198" s="34" t="str">
        <f>HYPERLINK("https://eprel.ec.europa.eu/qr/1974395")</f>
        <v>https://eprel.ec.europa.eu/qr/1974395</v>
      </c>
      <c r="Q198"/>
    </row>
    <row r="199" spans="1:17" ht="14.4" x14ac:dyDescent="0.3">
      <c r="A199" t="s">
        <v>10</v>
      </c>
      <c r="B199" t="s">
        <v>25</v>
      </c>
      <c r="C199" t="s">
        <v>885</v>
      </c>
      <c r="D199" t="s">
        <v>1252</v>
      </c>
      <c r="E199" t="s">
        <v>1253</v>
      </c>
      <c r="F199" t="s">
        <v>833</v>
      </c>
      <c r="G199" s="35">
        <v>37.409999999999997</v>
      </c>
      <c r="H199" s="33">
        <f>G199*(1-IFERROR(VLOOKUP(F199,'enter the discount'!$D$10:$E$40,2,FALSE),0))</f>
        <v>37.409999999999997</v>
      </c>
      <c r="I199" s="35" t="s">
        <v>2598</v>
      </c>
      <c r="J199" s="33" t="s">
        <v>596</v>
      </c>
      <c r="K199" s="33" t="s">
        <v>2749</v>
      </c>
      <c r="L199">
        <v>6</v>
      </c>
      <c r="M199">
        <v>72</v>
      </c>
      <c r="N199" t="s">
        <v>2755</v>
      </c>
      <c r="O199" s="34" t="str">
        <f>HYPERLINK("https://b2b.kobi.pl/pl/product/9897,panel-led-brisbane-36w-60x60-4000k-czarny-kobi-premium?currency=PLN")</f>
        <v>https://b2b.kobi.pl/pl/product/9897,panel-led-brisbane-36w-60x60-4000k-czarny-kobi-premium?currency=PLN</v>
      </c>
      <c r="P199" s="34" t="str">
        <f>HYPERLINK("https://eprel.ec.europa.eu/qr/1974395")</f>
        <v>https://eprel.ec.europa.eu/qr/1974395</v>
      </c>
      <c r="Q199"/>
    </row>
    <row r="200" spans="1:17" ht="14.4" x14ac:dyDescent="0.3">
      <c r="A200" t="s">
        <v>10</v>
      </c>
      <c r="B200" t="s">
        <v>25</v>
      </c>
      <c r="C200" t="s">
        <v>885</v>
      </c>
      <c r="D200" t="s">
        <v>1254</v>
      </c>
      <c r="E200" t="s">
        <v>1255</v>
      </c>
      <c r="F200" t="s">
        <v>833</v>
      </c>
      <c r="G200" s="35">
        <v>43.62</v>
      </c>
      <c r="H200" s="33">
        <f>G200*(1-IFERROR(VLOOKUP(F200,'enter the discount'!$D$10:$E$40,2,FALSE),0))</f>
        <v>43.62</v>
      </c>
      <c r="I200" s="35" t="s">
        <v>2598</v>
      </c>
      <c r="J200" s="33" t="s">
        <v>595</v>
      </c>
      <c r="K200" s="33" t="s">
        <v>2749</v>
      </c>
      <c r="L200">
        <v>6</v>
      </c>
      <c r="M200">
        <v>72</v>
      </c>
      <c r="N200" t="s">
        <v>2755</v>
      </c>
      <c r="O200" s="34" t="str">
        <f>HYPERLINK("https://b2b.kobi.pl/pl/product/9898,panel-led-brisbane-36w-30x120-4000k-bialy-kobi-premium?currency=PLN")</f>
        <v>https://b2b.kobi.pl/pl/product/9898,panel-led-brisbane-36w-30x120-4000k-bialy-kobi-premium?currency=PLN</v>
      </c>
      <c r="P200" s="34" t="str">
        <f>HYPERLINK("https://eprel.ec.europa.eu/qr/1974462")</f>
        <v>https://eprel.ec.europa.eu/qr/1974462</v>
      </c>
      <c r="Q200"/>
    </row>
    <row r="201" spans="1:17" ht="14.4" x14ac:dyDescent="0.3">
      <c r="A201" t="s">
        <v>10</v>
      </c>
      <c r="B201" t="s">
        <v>25</v>
      </c>
      <c r="C201" t="s">
        <v>885</v>
      </c>
      <c r="D201" t="s">
        <v>1256</v>
      </c>
      <c r="E201" t="s">
        <v>1257</v>
      </c>
      <c r="F201" t="s">
        <v>833</v>
      </c>
      <c r="G201" s="35">
        <v>43.62</v>
      </c>
      <c r="H201" s="33">
        <f>G201*(1-IFERROR(VLOOKUP(F201,'enter the discount'!$D$10:$E$40,2,FALSE),0))</f>
        <v>43.62</v>
      </c>
      <c r="I201" s="35" t="s">
        <v>2598</v>
      </c>
      <c r="J201" s="33" t="s">
        <v>594</v>
      </c>
      <c r="K201" s="33" t="s">
        <v>2749</v>
      </c>
      <c r="L201">
        <v>6</v>
      </c>
      <c r="M201">
        <v>72</v>
      </c>
      <c r="N201" t="s">
        <v>2755</v>
      </c>
      <c r="O201" s="34" t="str">
        <f>HYPERLINK("https://b2b.kobi.pl/pl/product/9899,panel-led-brisbane-36w-30x120-4000k-czarny-kobi-premium?currency=PLN")</f>
        <v>https://b2b.kobi.pl/pl/product/9899,panel-led-brisbane-36w-30x120-4000k-czarny-kobi-premium?currency=PLN</v>
      </c>
      <c r="P201" s="34" t="str">
        <f>HYPERLINK("https://eprel.ec.europa.eu/qr/1974462")</f>
        <v>https://eprel.ec.europa.eu/qr/1974462</v>
      </c>
      <c r="Q201"/>
    </row>
    <row r="202" spans="1:17" ht="14.4" x14ac:dyDescent="0.3">
      <c r="A202" t="s">
        <v>10</v>
      </c>
      <c r="B202" t="s">
        <v>25</v>
      </c>
      <c r="C202" t="s">
        <v>1258</v>
      </c>
      <c r="D202" t="s">
        <v>1259</v>
      </c>
      <c r="E202" t="s">
        <v>1260</v>
      </c>
      <c r="F202" t="s">
        <v>833</v>
      </c>
      <c r="G202" s="35">
        <v>79.97</v>
      </c>
      <c r="H202" s="33">
        <f>G202*(1-IFERROR(VLOOKUP(F202,'enter the discount'!$D$10:$E$40,2,FALSE),0))</f>
        <v>79.97</v>
      </c>
      <c r="I202" s="35" t="s">
        <v>2594</v>
      </c>
      <c r="J202" s="33" t="s">
        <v>375</v>
      </c>
      <c r="K202" s="33" t="s">
        <v>2749</v>
      </c>
      <c r="L202">
        <v>5</v>
      </c>
      <c r="M202"/>
      <c r="N202" t="s">
        <v>2756</v>
      </c>
      <c r="O202" s="34" t="str">
        <f>HYPERLINK("https://b2b.kobi.pl/pl/product/8363,panel-led-ariel-40w-60x60-4000k-ip44-kobi-pro?currency=PLN")</f>
        <v>https://b2b.kobi.pl/pl/product/8363,panel-led-ariel-40w-60x60-4000k-ip44-kobi-pro?currency=PLN</v>
      </c>
      <c r="P202" s="34" t="str">
        <f>HYPERLINK("https://eprel.ec.europa.eu/qr/941060")</f>
        <v>https://eprel.ec.europa.eu/qr/941060</v>
      </c>
      <c r="Q202" t="s">
        <v>2775</v>
      </c>
    </row>
    <row r="203" spans="1:17" ht="14.4" x14ac:dyDescent="0.3">
      <c r="A203" t="s">
        <v>10</v>
      </c>
      <c r="B203" t="s">
        <v>25</v>
      </c>
      <c r="C203" t="s">
        <v>30</v>
      </c>
      <c r="D203" t="s">
        <v>1261</v>
      </c>
      <c r="E203" t="s">
        <v>1262</v>
      </c>
      <c r="F203" t="s">
        <v>833</v>
      </c>
      <c r="G203" s="35">
        <v>30.85</v>
      </c>
      <c r="H203" s="33">
        <f>G203*(1-IFERROR(VLOOKUP(F203,'enter the discount'!$D$10:$E$40,2,FALSE),0))</f>
        <v>30.85</v>
      </c>
      <c r="I203" s="35" t="s">
        <v>2593</v>
      </c>
      <c r="J203" s="33" t="s">
        <v>207</v>
      </c>
      <c r="K203" s="33" t="s">
        <v>2749</v>
      </c>
      <c r="L203">
        <v>6</v>
      </c>
      <c r="M203">
        <v>66</v>
      </c>
      <c r="N203" t="s">
        <v>2754</v>
      </c>
      <c r="O203" s="34" t="str">
        <f>HYPERLINK("https://b2b.kobi.pl/pl/product/9970,panel-led-camaro-40w-60x60-4000k-led2b?currency=PLN")</f>
        <v>https://b2b.kobi.pl/pl/product/9970,panel-led-camaro-40w-60x60-4000k-led2b?currency=PLN</v>
      </c>
      <c r="P203" s="34" t="str">
        <f>HYPERLINK("https://eprel.ec.europa.eu/qr/834639")</f>
        <v>https://eprel.ec.europa.eu/qr/834639</v>
      </c>
      <c r="Q203" t="s">
        <v>2775</v>
      </c>
    </row>
    <row r="204" spans="1:17" ht="14.4" x14ac:dyDescent="0.3">
      <c r="A204" t="s">
        <v>10</v>
      </c>
      <c r="B204" t="s">
        <v>25</v>
      </c>
      <c r="C204" t="s">
        <v>1258</v>
      </c>
      <c r="D204" t="s">
        <v>1263</v>
      </c>
      <c r="E204" t="s">
        <v>1264</v>
      </c>
      <c r="F204" t="s">
        <v>833</v>
      </c>
      <c r="G204" s="35">
        <v>42.11</v>
      </c>
      <c r="H204" s="33">
        <f>G204*(1-IFERROR(VLOOKUP(F204,'enter the discount'!$D$10:$E$40,2,FALSE),0))</f>
        <v>42.11</v>
      </c>
      <c r="I204" s="35" t="s">
        <v>2598</v>
      </c>
      <c r="J204" s="33" t="s">
        <v>493</v>
      </c>
      <c r="K204" s="33" t="s">
        <v>2749</v>
      </c>
      <c r="L204">
        <v>6</v>
      </c>
      <c r="M204">
        <v>72</v>
      </c>
      <c r="N204" t="s">
        <v>2756</v>
      </c>
      <c r="O204" s="34" t="str">
        <f>HYPERLINK("https://b2b.kobi.pl/pl/product/9904,panel-led-capri-28w-60x60-4000k-ip44-kobi-pro?currency=PLN")</f>
        <v>https://b2b.kobi.pl/pl/product/9904,panel-led-capri-28w-60x60-4000k-ip44-kobi-pro?currency=PLN</v>
      </c>
      <c r="P204" s="34" t="str">
        <f>HYPERLINK("https://eprel.ec.europa.eu/qr/1668674")</f>
        <v>https://eprel.ec.europa.eu/qr/1668674</v>
      </c>
      <c r="Q204" t="s">
        <v>2775</v>
      </c>
    </row>
    <row r="205" spans="1:17" ht="14.4" x14ac:dyDescent="0.3">
      <c r="A205" t="s">
        <v>10</v>
      </c>
      <c r="B205" t="s">
        <v>25</v>
      </c>
      <c r="C205" t="s">
        <v>1258</v>
      </c>
      <c r="D205" t="s">
        <v>1265</v>
      </c>
      <c r="E205" t="s">
        <v>1266</v>
      </c>
      <c r="F205" t="s">
        <v>833</v>
      </c>
      <c r="G205" s="35">
        <v>64.95</v>
      </c>
      <c r="H205" s="33">
        <f>G205*(1-IFERROR(VLOOKUP(F205,'enter the discount'!$D$10:$E$40,2,FALSE),0))</f>
        <v>64.95</v>
      </c>
      <c r="I205" s="35" t="s">
        <v>2598</v>
      </c>
      <c r="J205" s="33" t="s">
        <v>494</v>
      </c>
      <c r="K205" s="33" t="s">
        <v>2749</v>
      </c>
      <c r="L205">
        <v>6</v>
      </c>
      <c r="M205">
        <v>84</v>
      </c>
      <c r="N205" t="s">
        <v>2756</v>
      </c>
      <c r="O205" s="34" t="str">
        <f>HYPERLINK("https://b2b.kobi.pl/pl/product/9910,panel-led-capri-36w-30x120-4000k-ugr-19-kobi-pro?currency=PLN")</f>
        <v>https://b2b.kobi.pl/pl/product/9910,panel-led-capri-36w-30x120-4000k-ugr-19-kobi-pro?currency=PLN</v>
      </c>
      <c r="P205" s="34" t="str">
        <f>HYPERLINK("https://eprel.ec.europa.eu/qr/1668645")</f>
        <v>https://eprel.ec.europa.eu/qr/1668645</v>
      </c>
      <c r="Q205" t="s">
        <v>2775</v>
      </c>
    </row>
    <row r="206" spans="1:17" ht="14.4" x14ac:dyDescent="0.3">
      <c r="A206" t="s">
        <v>10</v>
      </c>
      <c r="B206" t="s">
        <v>25</v>
      </c>
      <c r="C206" t="s">
        <v>1258</v>
      </c>
      <c r="D206" t="s">
        <v>1267</v>
      </c>
      <c r="E206" t="s">
        <v>1268</v>
      </c>
      <c r="F206" t="s">
        <v>833</v>
      </c>
      <c r="G206" s="35">
        <v>45.31</v>
      </c>
      <c r="H206" s="33">
        <f>G206*(1-IFERROR(VLOOKUP(F206,'enter the discount'!$D$10:$E$40,2,FALSE),0))</f>
        <v>45.31</v>
      </c>
      <c r="I206" s="35" t="s">
        <v>2598</v>
      </c>
      <c r="J206" s="33" t="s">
        <v>495</v>
      </c>
      <c r="K206" s="33" t="s">
        <v>2749</v>
      </c>
      <c r="L206">
        <v>6</v>
      </c>
      <c r="M206">
        <v>72</v>
      </c>
      <c r="N206" t="s">
        <v>2756</v>
      </c>
      <c r="O206" s="34" t="str">
        <f>HYPERLINK("https://b2b.kobi.pl/pl/product/9907,panel-led-capri-36w-60x60-4000k-kobi-pro?currency=PLN")</f>
        <v>https://b2b.kobi.pl/pl/product/9907,panel-led-capri-36w-60x60-4000k-kobi-pro?currency=PLN</v>
      </c>
      <c r="P206" s="34" t="str">
        <f>HYPERLINK("https://eprel.ec.europa.eu/qr/1668687")</f>
        <v>https://eprel.ec.europa.eu/qr/1668687</v>
      </c>
      <c r="Q206" t="s">
        <v>2775</v>
      </c>
    </row>
    <row r="207" spans="1:17" ht="14.4" x14ac:dyDescent="0.3">
      <c r="A207" t="s">
        <v>10</v>
      </c>
      <c r="B207" t="s">
        <v>25</v>
      </c>
      <c r="C207" t="s">
        <v>1258</v>
      </c>
      <c r="D207" t="s">
        <v>1269</v>
      </c>
      <c r="E207" t="s">
        <v>1270</v>
      </c>
      <c r="F207" t="s">
        <v>833</v>
      </c>
      <c r="G207" s="35">
        <v>45.31</v>
      </c>
      <c r="H207" s="33">
        <f>G207*(1-IFERROR(VLOOKUP(F207,'enter the discount'!$D$10:$E$40,2,FALSE),0))</f>
        <v>45.31</v>
      </c>
      <c r="I207" s="35" t="s">
        <v>2594</v>
      </c>
      <c r="J207" s="33" t="s">
        <v>469</v>
      </c>
      <c r="K207" s="33" t="s">
        <v>2749</v>
      </c>
      <c r="L207">
        <v>6</v>
      </c>
      <c r="M207">
        <v>66</v>
      </c>
      <c r="N207" t="s">
        <v>2756</v>
      </c>
      <c r="O207" s="34" t="str">
        <f>HYPERLINK("https://b2b.kobi.pl/pl/product/9911,panel-led-capri-40w-60x60-3000k-kobi-pro?currency=PLN")</f>
        <v>https://b2b.kobi.pl/pl/product/9911,panel-led-capri-40w-60x60-3000k-kobi-pro?currency=PLN</v>
      </c>
      <c r="P207" s="34" t="str">
        <f>HYPERLINK("https://eprel.ec.europa.eu/qr/1939576")</f>
        <v>https://eprel.ec.europa.eu/qr/1939576</v>
      </c>
      <c r="Q207" t="s">
        <v>2775</v>
      </c>
    </row>
    <row r="208" spans="1:17" ht="14.4" x14ac:dyDescent="0.3">
      <c r="A208" t="s">
        <v>10</v>
      </c>
      <c r="B208" t="s">
        <v>25</v>
      </c>
      <c r="C208" t="s">
        <v>1258</v>
      </c>
      <c r="D208" t="s">
        <v>1271</v>
      </c>
      <c r="E208" t="s">
        <v>1272</v>
      </c>
      <c r="F208" t="s">
        <v>833</v>
      </c>
      <c r="G208" s="35">
        <v>54.37</v>
      </c>
      <c r="H208" s="33">
        <f>G208*(1-IFERROR(VLOOKUP(F208,'enter the discount'!$D$10:$E$40,2,FALSE),0))</f>
        <v>54.37</v>
      </c>
      <c r="I208" s="35" t="s">
        <v>2598</v>
      </c>
      <c r="J208" s="33" t="s">
        <v>497</v>
      </c>
      <c r="K208" s="33" t="s">
        <v>2749</v>
      </c>
      <c r="L208">
        <v>6</v>
      </c>
      <c r="M208">
        <v>66</v>
      </c>
      <c r="N208" t="s">
        <v>2756</v>
      </c>
      <c r="O208" s="34" t="str">
        <f>HYPERLINK("https://b2b.kobi.pl/pl/product/9915,panel-led-capri-50w-60x60-4000k-kobi-pro?currency=PLN")</f>
        <v>https://b2b.kobi.pl/pl/product/9915,panel-led-capri-50w-60x60-4000k-kobi-pro?currency=PLN</v>
      </c>
      <c r="P208" s="34" t="str">
        <f>HYPERLINK("https://eprel.ec.europa.eu/qr/1668538")</f>
        <v>https://eprel.ec.europa.eu/qr/1668538</v>
      </c>
      <c r="Q208" t="s">
        <v>2775</v>
      </c>
    </row>
    <row r="209" spans="1:17" ht="14.4" x14ac:dyDescent="0.3">
      <c r="A209" t="s">
        <v>10</v>
      </c>
      <c r="B209" t="s">
        <v>25</v>
      </c>
      <c r="C209" t="s">
        <v>1258</v>
      </c>
      <c r="D209" t="s">
        <v>1273</v>
      </c>
      <c r="E209" t="s">
        <v>1274</v>
      </c>
      <c r="F209" t="s">
        <v>833</v>
      </c>
      <c r="G209" s="35">
        <v>83.13</v>
      </c>
      <c r="H209" s="33">
        <f>G209*(1-IFERROR(VLOOKUP(F209,'enter the discount'!$D$10:$E$40,2,FALSE),0))</f>
        <v>83.13</v>
      </c>
      <c r="I209" s="35" t="s">
        <v>2594</v>
      </c>
      <c r="J209" s="33" t="s">
        <v>496</v>
      </c>
      <c r="K209" s="33" t="s">
        <v>2749</v>
      </c>
      <c r="L209">
        <v>6</v>
      </c>
      <c r="M209">
        <v>60</v>
      </c>
      <c r="N209" t="s">
        <v>2756</v>
      </c>
      <c r="O209" s="34" t="str">
        <f>HYPERLINK("https://b2b.kobi.pl/pl/product/9913,panel-led-capri-40w-60x60-4000k-ip65-kobi-pro?currency=PLN")</f>
        <v>https://b2b.kobi.pl/pl/product/9913,panel-led-capri-40w-60x60-4000k-ip65-kobi-pro?currency=PLN</v>
      </c>
      <c r="P209" s="34" t="str">
        <f>HYPERLINK("https://eprel.ec.europa.eu/qr/2049249")</f>
        <v>https://eprel.ec.europa.eu/qr/2049249</v>
      </c>
      <c r="Q209"/>
    </row>
    <row r="210" spans="1:17" ht="14.4" x14ac:dyDescent="0.3">
      <c r="A210" t="s">
        <v>10</v>
      </c>
      <c r="B210" t="s">
        <v>25</v>
      </c>
      <c r="C210" t="s">
        <v>885</v>
      </c>
      <c r="D210" t="s">
        <v>1275</v>
      </c>
      <c r="E210" t="s">
        <v>1276</v>
      </c>
      <c r="F210" t="s">
        <v>833</v>
      </c>
      <c r="G210" s="35">
        <v>61.81</v>
      </c>
      <c r="H210" s="33">
        <f>G210*(1-IFERROR(VLOOKUP(F210,'enter the discount'!$D$10:$E$40,2,FALSE),0))</f>
        <v>61.81</v>
      </c>
      <c r="I210" s="35" t="s">
        <v>2609</v>
      </c>
      <c r="J210" s="33" t="s">
        <v>209</v>
      </c>
      <c r="K210" s="33" t="s">
        <v>2749</v>
      </c>
      <c r="L210">
        <v>5</v>
      </c>
      <c r="M210">
        <v>75</v>
      </c>
      <c r="N210" t="s">
        <v>2755</v>
      </c>
      <c r="O210" s="34" t="str">
        <f>HYPERLINK("https://b2b.kobi.pl/pl/product/10110,panel-led-nelio-40w-60x60-4000k-kobi-premium?currency=PLN")</f>
        <v>https://b2b.kobi.pl/pl/product/10110,panel-led-nelio-40w-60x60-4000k-kobi-premium?currency=PLN</v>
      </c>
      <c r="P210" s="34" t="str">
        <f>HYPERLINK("https://eprel.ec.europa.eu/qr/2277215")</f>
        <v>https://eprel.ec.europa.eu/qr/2277215</v>
      </c>
      <c r="Q210" t="s">
        <v>2775</v>
      </c>
    </row>
    <row r="211" spans="1:17" ht="14.4" x14ac:dyDescent="0.3">
      <c r="A211" t="s">
        <v>10</v>
      </c>
      <c r="B211" t="s">
        <v>25</v>
      </c>
      <c r="C211" t="s">
        <v>1258</v>
      </c>
      <c r="D211" t="s">
        <v>1277</v>
      </c>
      <c r="E211" t="s">
        <v>1278</v>
      </c>
      <c r="F211" t="s">
        <v>833</v>
      </c>
      <c r="G211" s="35">
        <v>74.7</v>
      </c>
      <c r="H211" s="33">
        <f>G211*(1-IFERROR(VLOOKUP(F211,'enter the discount'!$D$10:$E$40,2,FALSE),0))</f>
        <v>74.7</v>
      </c>
      <c r="I211" s="35" t="s">
        <v>2598</v>
      </c>
      <c r="J211" s="33" t="s">
        <v>354</v>
      </c>
      <c r="K211" s="33" t="s">
        <v>2749</v>
      </c>
      <c r="L211">
        <v>5</v>
      </c>
      <c r="M211">
        <v>75</v>
      </c>
      <c r="N211" t="s">
        <v>2756</v>
      </c>
      <c r="O211" s="34" t="str">
        <f>HYPERLINK("https://b2b.kobi.pl/pl/product/10112,panel-led-nelio-40w-60x60-4000k-kobi-pro?currency=PLN")</f>
        <v>https://b2b.kobi.pl/pl/product/10112,panel-led-nelio-40w-60x60-4000k-kobi-pro?currency=PLN</v>
      </c>
      <c r="P211" s="34" t="str">
        <f>HYPERLINK("https://eprel.ec.europa.eu/qr/1716547")</f>
        <v>https://eprel.ec.europa.eu/qr/1716547</v>
      </c>
      <c r="Q211" t="s">
        <v>2775</v>
      </c>
    </row>
    <row r="212" spans="1:17" ht="14.4" x14ac:dyDescent="0.3">
      <c r="A212" t="s">
        <v>10</v>
      </c>
      <c r="B212" t="s">
        <v>25</v>
      </c>
      <c r="C212" t="s">
        <v>1258</v>
      </c>
      <c r="D212" t="s">
        <v>1279</v>
      </c>
      <c r="E212" t="s">
        <v>1280</v>
      </c>
      <c r="F212" t="s">
        <v>833</v>
      </c>
      <c r="G212" s="35">
        <v>81.93</v>
      </c>
      <c r="H212" s="33">
        <f>G212*(1-IFERROR(VLOOKUP(F212,'enter the discount'!$D$10:$E$40,2,FALSE),0))</f>
        <v>81.93</v>
      </c>
      <c r="I212" s="35" t="s">
        <v>2598</v>
      </c>
      <c r="J212" s="33" t="s">
        <v>210</v>
      </c>
      <c r="K212" s="33" t="s">
        <v>2749</v>
      </c>
      <c r="L212">
        <v>5</v>
      </c>
      <c r="M212">
        <v>90</v>
      </c>
      <c r="N212" t="s">
        <v>2756</v>
      </c>
      <c r="O212" s="34" t="str">
        <f>HYPERLINK("https://b2b.kobi.pl/pl/product/10111,panel-led-nelio-40w-30x120-4000k-kobi-pro?currency=PLN")</f>
        <v>https://b2b.kobi.pl/pl/product/10111,panel-led-nelio-40w-30x120-4000k-kobi-pro?currency=PLN</v>
      </c>
      <c r="P212" s="34" t="str">
        <f>HYPERLINK("https://eprel.ec.europa.eu/qr/1716639")</f>
        <v>https://eprel.ec.europa.eu/qr/1716639</v>
      </c>
      <c r="Q212"/>
    </row>
    <row r="213" spans="1:17" ht="14.4" x14ac:dyDescent="0.3">
      <c r="A213" t="s">
        <v>10</v>
      </c>
      <c r="B213" t="s">
        <v>25</v>
      </c>
      <c r="C213" t="s">
        <v>885</v>
      </c>
      <c r="D213" t="s">
        <v>1281</v>
      </c>
      <c r="E213" t="s">
        <v>1282</v>
      </c>
      <c r="F213" t="s">
        <v>833</v>
      </c>
      <c r="G213" s="35">
        <v>53.49</v>
      </c>
      <c r="H213" s="33">
        <f>G213*(1-IFERROR(VLOOKUP(F213,'enter the discount'!$D$10:$E$40,2,FALSE),0))</f>
        <v>53.49</v>
      </c>
      <c r="I213" s="35" t="s">
        <v>2609</v>
      </c>
      <c r="J213" s="33" t="s">
        <v>431</v>
      </c>
      <c r="K213" s="33" t="s">
        <v>2749</v>
      </c>
      <c r="L213">
        <v>5</v>
      </c>
      <c r="M213">
        <v>60</v>
      </c>
      <c r="N213" t="s">
        <v>2755</v>
      </c>
      <c r="O213" s="34" t="str">
        <f>HYPERLINK("https://b2b.kobi.pl/pl/product/10108,panel-led-nelio-40w-30x120-4000k-kobi-premium?currency=PLN")</f>
        <v>https://b2b.kobi.pl/pl/product/10108,panel-led-nelio-40w-30x120-4000k-kobi-premium?currency=PLN</v>
      </c>
      <c r="P213" t="s">
        <v>3</v>
      </c>
      <c r="Q213"/>
    </row>
    <row r="214" spans="1:17" ht="14.4" x14ac:dyDescent="0.3">
      <c r="A214" t="s">
        <v>10</v>
      </c>
      <c r="B214" t="s">
        <v>25</v>
      </c>
      <c r="C214" t="s">
        <v>885</v>
      </c>
      <c r="D214" t="s">
        <v>1283</v>
      </c>
      <c r="E214" t="s">
        <v>1284</v>
      </c>
      <c r="F214" t="s">
        <v>833</v>
      </c>
      <c r="G214" s="35">
        <v>42.89</v>
      </c>
      <c r="H214" s="33">
        <f>G214*(1-IFERROR(VLOOKUP(F214,'enter the discount'!$D$10:$E$40,2,FALSE),0))</f>
        <v>42.89</v>
      </c>
      <c r="I214" s="35" t="s">
        <v>2609</v>
      </c>
      <c r="J214" s="33" t="s">
        <v>208</v>
      </c>
      <c r="K214" s="33" t="s">
        <v>2749</v>
      </c>
      <c r="L214">
        <v>10</v>
      </c>
      <c r="M214">
        <v>120</v>
      </c>
      <c r="N214" t="s">
        <v>2755</v>
      </c>
      <c r="O214" s="34" t="str">
        <f>HYPERLINK("https://b2b.kobi.pl/pl/product/10115,panel-led-nelio-28w-30x60-4000k-kobi-premium?currency=PLN")</f>
        <v>https://b2b.kobi.pl/pl/product/10115,panel-led-nelio-28w-30x60-4000k-kobi-premium?currency=PLN</v>
      </c>
      <c r="P214" t="s">
        <v>3</v>
      </c>
      <c r="Q214" t="s">
        <v>2775</v>
      </c>
    </row>
    <row r="215" spans="1:17" ht="14.4" x14ac:dyDescent="0.3">
      <c r="A215" t="s">
        <v>10</v>
      </c>
      <c r="B215" t="s">
        <v>25</v>
      </c>
      <c r="C215" t="s">
        <v>910</v>
      </c>
      <c r="D215" t="s">
        <v>1285</v>
      </c>
      <c r="E215" t="s">
        <v>1286</v>
      </c>
      <c r="F215" t="s">
        <v>833</v>
      </c>
      <c r="G215" s="35">
        <v>10.119999999999999</v>
      </c>
      <c r="H215" s="33">
        <f>G215*(1-IFERROR(VLOOKUP(F215,'enter the discount'!$D$10:$E$40,2,FALSE),0))</f>
        <v>10.119999999999999</v>
      </c>
      <c r="I215" s="35" t="s">
        <v>2609</v>
      </c>
      <c r="J215" s="33" t="s">
        <v>174</v>
      </c>
      <c r="K215" s="33" t="s">
        <v>2749</v>
      </c>
      <c r="L215">
        <v>20</v>
      </c>
      <c r="M215">
        <v>800</v>
      </c>
      <c r="N215" t="s">
        <v>2754</v>
      </c>
      <c r="O215" s="34" t="str">
        <f>HYPERLINK("https://b2b.kobi.pl/pl/product/10123,ramka-45mm-do-panelu-led-30x60-klik-kobi?currency=PLN")</f>
        <v>https://b2b.kobi.pl/pl/product/10123,ramka-45mm-do-panelu-led-30x60-klik-kobi?currency=PLN</v>
      </c>
      <c r="P215" t="s">
        <v>3</v>
      </c>
      <c r="Q215"/>
    </row>
    <row r="216" spans="1:17" ht="14.4" x14ac:dyDescent="0.3">
      <c r="A216" t="s">
        <v>10</v>
      </c>
      <c r="B216" t="s">
        <v>25</v>
      </c>
      <c r="C216" t="s">
        <v>910</v>
      </c>
      <c r="D216" t="s">
        <v>1287</v>
      </c>
      <c r="E216" t="s">
        <v>1288</v>
      </c>
      <c r="F216" t="s">
        <v>833</v>
      </c>
      <c r="G216" s="35">
        <v>11.42</v>
      </c>
      <c r="H216" s="33">
        <f>G216*(1-IFERROR(VLOOKUP(F216,'enter the discount'!$D$10:$E$40,2,FALSE),0))</f>
        <v>11.42</v>
      </c>
      <c r="I216" s="35" t="s">
        <v>2609</v>
      </c>
      <c r="J216" s="33" t="s">
        <v>175</v>
      </c>
      <c r="K216" s="33" t="s">
        <v>2749</v>
      </c>
      <c r="L216">
        <v>20</v>
      </c>
      <c r="M216">
        <v>960</v>
      </c>
      <c r="N216" t="s">
        <v>2754</v>
      </c>
      <c r="O216" s="34" t="str">
        <f>HYPERLINK("https://b2b.kobi.pl/pl/product/10124,ramka-45mm-do-panelu-led-60x60-klik-kobi?currency=PLN")</f>
        <v>https://b2b.kobi.pl/pl/product/10124,ramka-45mm-do-panelu-led-60x60-klik-kobi?currency=PLN</v>
      </c>
      <c r="P216" t="s">
        <v>3</v>
      </c>
      <c r="Q216"/>
    </row>
    <row r="217" spans="1:17" ht="14.4" x14ac:dyDescent="0.3">
      <c r="A217" t="s">
        <v>10</v>
      </c>
      <c r="B217" t="s">
        <v>25</v>
      </c>
      <c r="C217" t="s">
        <v>910</v>
      </c>
      <c r="D217" t="s">
        <v>1289</v>
      </c>
      <c r="E217" t="s">
        <v>1290</v>
      </c>
      <c r="F217" t="s">
        <v>833</v>
      </c>
      <c r="G217" s="35">
        <v>13.49</v>
      </c>
      <c r="H217" s="33">
        <f>G217*(1-IFERROR(VLOOKUP(F217,'enter the discount'!$D$10:$E$40,2,FALSE),0))</f>
        <v>13.49</v>
      </c>
      <c r="I217" s="35" t="s">
        <v>2609</v>
      </c>
      <c r="J217" s="33" t="s">
        <v>173</v>
      </c>
      <c r="K217" s="33" t="s">
        <v>2749</v>
      </c>
      <c r="L217">
        <v>20</v>
      </c>
      <c r="M217"/>
      <c r="N217" t="s">
        <v>2754</v>
      </c>
      <c r="O217" s="34" t="str">
        <f>HYPERLINK("https://b2b.kobi.pl/pl/product/10122,ramka-45mm-do-panelu-led-30x120-klik-kobi?currency=PLN")</f>
        <v>https://b2b.kobi.pl/pl/product/10122,ramka-45mm-do-panelu-led-30x120-klik-kobi?currency=PLN</v>
      </c>
      <c r="P217" t="s">
        <v>3</v>
      </c>
      <c r="Q217"/>
    </row>
    <row r="218" spans="1:17" ht="14.4" x14ac:dyDescent="0.3">
      <c r="A218" t="s">
        <v>10</v>
      </c>
      <c r="B218" t="s">
        <v>25</v>
      </c>
      <c r="C218" t="s">
        <v>910</v>
      </c>
      <c r="D218" t="s">
        <v>1291</v>
      </c>
      <c r="E218" t="s">
        <v>1292</v>
      </c>
      <c r="F218" t="s">
        <v>833</v>
      </c>
      <c r="G218" s="35">
        <v>14.61</v>
      </c>
      <c r="H218" s="33">
        <f>G218*(1-IFERROR(VLOOKUP(F218,'enter the discount'!$D$10:$E$40,2,FALSE),0))</f>
        <v>14.61</v>
      </c>
      <c r="I218" s="35" t="s">
        <v>2609</v>
      </c>
      <c r="J218" s="33" t="s">
        <v>177</v>
      </c>
      <c r="K218" s="33" t="s">
        <v>2749</v>
      </c>
      <c r="L218">
        <v>20</v>
      </c>
      <c r="M218">
        <v>600</v>
      </c>
      <c r="N218" t="s">
        <v>2754</v>
      </c>
      <c r="O218" s="34" t="str">
        <f>HYPERLINK("https://b2b.kobi.pl/pl/product/10120,ramka-63mm-do-panelu-led-60x60-klik-kobi?currency=PLN")</f>
        <v>https://b2b.kobi.pl/pl/product/10120,ramka-63mm-do-panelu-led-60x60-klik-kobi?currency=PLN</v>
      </c>
      <c r="P218" t="s">
        <v>3</v>
      </c>
      <c r="Q218"/>
    </row>
    <row r="219" spans="1:17" ht="14.4" x14ac:dyDescent="0.3">
      <c r="A219" t="s">
        <v>10</v>
      </c>
      <c r="B219" t="s">
        <v>25</v>
      </c>
      <c r="C219" t="s">
        <v>910</v>
      </c>
      <c r="D219" t="s">
        <v>1293</v>
      </c>
      <c r="E219" t="s">
        <v>1294</v>
      </c>
      <c r="F219" t="s">
        <v>833</v>
      </c>
      <c r="G219" s="35">
        <v>16.79</v>
      </c>
      <c r="H219" s="33">
        <f>G219*(1-IFERROR(VLOOKUP(F219,'enter the discount'!$D$10:$E$40,2,FALSE),0))</f>
        <v>16.79</v>
      </c>
      <c r="I219" s="35" t="s">
        <v>2609</v>
      </c>
      <c r="J219" s="33" t="s">
        <v>491</v>
      </c>
      <c r="K219" s="33" t="s">
        <v>2749</v>
      </c>
      <c r="L219">
        <v>20</v>
      </c>
      <c r="M219">
        <v>500</v>
      </c>
      <c r="N219" t="s">
        <v>2754</v>
      </c>
      <c r="O219" s="34" t="str">
        <f>HYPERLINK("https://b2b.kobi.pl/pl/product/10121,ramka-63mm-do-panelu-led-60x60-klik-czarna-kobi?currency=PLN")</f>
        <v>https://b2b.kobi.pl/pl/product/10121,ramka-63mm-do-panelu-led-60x60-klik-czarna-kobi?currency=PLN</v>
      </c>
      <c r="P219" t="s">
        <v>3</v>
      </c>
      <c r="Q219"/>
    </row>
    <row r="220" spans="1:17" ht="14.4" x14ac:dyDescent="0.3">
      <c r="A220" t="s">
        <v>10</v>
      </c>
      <c r="B220" t="s">
        <v>25</v>
      </c>
      <c r="C220" t="s">
        <v>910</v>
      </c>
      <c r="D220" t="s">
        <v>1295</v>
      </c>
      <c r="E220" t="s">
        <v>1296</v>
      </c>
      <c r="F220" t="s">
        <v>833</v>
      </c>
      <c r="G220" s="35">
        <v>19.760000000000002</v>
      </c>
      <c r="H220" s="33">
        <f>G220*(1-IFERROR(VLOOKUP(F220,'enter the discount'!$D$10:$E$40,2,FALSE),0))</f>
        <v>19.760000000000002</v>
      </c>
      <c r="I220" s="35" t="s">
        <v>2609</v>
      </c>
      <c r="J220" s="33" t="s">
        <v>176</v>
      </c>
      <c r="K220" s="33" t="s">
        <v>2749</v>
      </c>
      <c r="L220">
        <v>20</v>
      </c>
      <c r="M220">
        <v>360</v>
      </c>
      <c r="N220" t="s">
        <v>2754</v>
      </c>
      <c r="O220" s="34" t="str">
        <f>HYPERLINK("https://b2b.kobi.pl/pl/product/10119,ramka-63mm-do-panelu-led-30x120-klik-kobi?currency=PLN")</f>
        <v>https://b2b.kobi.pl/pl/product/10119,ramka-63mm-do-panelu-led-30x120-klik-kobi?currency=PLN</v>
      </c>
      <c r="P220" t="s">
        <v>3</v>
      </c>
      <c r="Q220"/>
    </row>
    <row r="221" spans="1:17" ht="14.4" x14ac:dyDescent="0.3">
      <c r="A221" t="s">
        <v>10</v>
      </c>
      <c r="B221" t="s">
        <v>25</v>
      </c>
      <c r="C221" t="s">
        <v>910</v>
      </c>
      <c r="D221" t="s">
        <v>1297</v>
      </c>
      <c r="E221" t="s">
        <v>1298</v>
      </c>
      <c r="F221" t="s">
        <v>833</v>
      </c>
      <c r="G221" s="35">
        <v>18.309999999999999</v>
      </c>
      <c r="H221" s="33">
        <f>G221*(1-IFERROR(VLOOKUP(F221,'enter the discount'!$D$10:$E$40,2,FALSE),0))</f>
        <v>18.309999999999999</v>
      </c>
      <c r="I221" s="35" t="s">
        <v>2609</v>
      </c>
      <c r="J221" s="33" t="s">
        <v>492</v>
      </c>
      <c r="K221" s="33" t="s">
        <v>2749</v>
      </c>
      <c r="L221">
        <v>20</v>
      </c>
      <c r="M221"/>
      <c r="N221" t="s">
        <v>2754</v>
      </c>
      <c r="O221" s="34" t="str">
        <f>HYPERLINK("https://b2b.kobi.pl/pl/product/10117,ramka-70mm-do-panelu-led-60x60-klik-kobi?currency=PLN")</f>
        <v>https://b2b.kobi.pl/pl/product/10117,ramka-70mm-do-panelu-led-60x60-klik-kobi?currency=PLN</v>
      </c>
      <c r="P221" t="s">
        <v>3</v>
      </c>
      <c r="Q221"/>
    </row>
    <row r="222" spans="1:17" ht="14.4" x14ac:dyDescent="0.3">
      <c r="A222" t="s">
        <v>10</v>
      </c>
      <c r="B222" t="s">
        <v>25</v>
      </c>
      <c r="C222" t="s">
        <v>910</v>
      </c>
      <c r="D222" t="s">
        <v>1299</v>
      </c>
      <c r="E222" t="s">
        <v>1300</v>
      </c>
      <c r="F222" t="s">
        <v>833</v>
      </c>
      <c r="G222" s="35">
        <v>6.65</v>
      </c>
      <c r="H222" s="33">
        <f>G222*(1-IFERROR(VLOOKUP(F222,'enter the discount'!$D$10:$E$40,2,FALSE),0))</f>
        <v>6.65</v>
      </c>
      <c r="I222" s="35" t="s">
        <v>2609</v>
      </c>
      <c r="J222" s="33" t="s">
        <v>178</v>
      </c>
      <c r="K222" s="33" t="s">
        <v>2750</v>
      </c>
      <c r="L222">
        <v>250</v>
      </c>
      <c r="M222"/>
      <c r="N222" t="s">
        <v>2754</v>
      </c>
      <c r="O222" s="34" t="str">
        <f>HYPERLINK("https://b2b.kobi.pl/pl/product/10125,uchwyty-do-kartongipsu-nelio-60x60-kobi?currency=PLN")</f>
        <v>https://b2b.kobi.pl/pl/product/10125,uchwyty-do-kartongipsu-nelio-60x60-kobi?currency=PLN</v>
      </c>
      <c r="P222" t="s">
        <v>3</v>
      </c>
      <c r="Q222"/>
    </row>
    <row r="223" spans="1:17" ht="14.4" x14ac:dyDescent="0.3">
      <c r="A223" t="s">
        <v>10</v>
      </c>
      <c r="B223" t="s">
        <v>25</v>
      </c>
      <c r="C223" t="s">
        <v>910</v>
      </c>
      <c r="D223" t="s">
        <v>1301</v>
      </c>
      <c r="E223" t="s">
        <v>1302</v>
      </c>
      <c r="F223" t="s">
        <v>833</v>
      </c>
      <c r="G223" s="35">
        <v>7.43</v>
      </c>
      <c r="H223" s="33">
        <f>G223*(1-IFERROR(VLOOKUP(F223,'enter the discount'!$D$10:$E$40,2,FALSE),0))</f>
        <v>7.43</v>
      </c>
      <c r="I223" s="35" t="s">
        <v>2609</v>
      </c>
      <c r="J223" s="33" t="s">
        <v>179</v>
      </c>
      <c r="K223" s="33" t="s">
        <v>2750</v>
      </c>
      <c r="L223">
        <v>150</v>
      </c>
      <c r="M223"/>
      <c r="N223" t="s">
        <v>2754</v>
      </c>
      <c r="O223" s="34" t="str">
        <f>HYPERLINK("https://b2b.kobi.pl/pl/product/10126,uchwyty-do-kartongipsu-nelio-30x120-kobi?currency=PLN")</f>
        <v>https://b2b.kobi.pl/pl/product/10126,uchwyty-do-kartongipsu-nelio-30x120-kobi?currency=PLN</v>
      </c>
      <c r="P223" t="s">
        <v>3</v>
      </c>
      <c r="Q223"/>
    </row>
    <row r="224" spans="1:17" ht="14.4" x14ac:dyDescent="0.3">
      <c r="A224" t="s">
        <v>10</v>
      </c>
      <c r="B224" t="s">
        <v>25</v>
      </c>
      <c r="C224" t="s">
        <v>910</v>
      </c>
      <c r="D224" t="s">
        <v>1303</v>
      </c>
      <c r="E224" t="s">
        <v>1304</v>
      </c>
      <c r="F224" t="s">
        <v>833</v>
      </c>
      <c r="G224" s="35">
        <v>6.69</v>
      </c>
      <c r="H224" s="33">
        <f>G224*(1-IFERROR(VLOOKUP(F224,'enter the discount'!$D$10:$E$40,2,FALSE),0))</f>
        <v>6.69</v>
      </c>
      <c r="I224" s="35" t="s">
        <v>2609</v>
      </c>
      <c r="J224" s="33" t="s">
        <v>172</v>
      </c>
      <c r="K224" s="33" t="s">
        <v>2750</v>
      </c>
      <c r="L224">
        <v>200</v>
      </c>
      <c r="M224"/>
      <c r="N224" t="s">
        <v>2754</v>
      </c>
      <c r="O224" s="34" t="str">
        <f>HYPERLINK("https://b2b.kobi.pl/pl/product/10114,linka-do-panelu-led-kobi?currency=PLN")</f>
        <v>https://b2b.kobi.pl/pl/product/10114,linka-do-panelu-led-kobi?currency=PLN</v>
      </c>
      <c r="P224" t="s">
        <v>3</v>
      </c>
      <c r="Q224"/>
    </row>
    <row r="225" spans="1:17" ht="14.4" x14ac:dyDescent="0.3">
      <c r="A225" t="s">
        <v>10</v>
      </c>
      <c r="B225" t="s">
        <v>25</v>
      </c>
      <c r="C225" t="s">
        <v>1258</v>
      </c>
      <c r="D225" t="s">
        <v>1305</v>
      </c>
      <c r="E225" t="s">
        <v>1306</v>
      </c>
      <c r="F225" t="s">
        <v>833</v>
      </c>
      <c r="G225" s="35">
        <v>10.6</v>
      </c>
      <c r="H225" s="33">
        <f>G225*(1-IFERROR(VLOOKUP(F225,'enter the discount'!$D$10:$E$40,2,FALSE),0))</f>
        <v>10.6</v>
      </c>
      <c r="I225" s="35" t="s">
        <v>2609</v>
      </c>
      <c r="J225" s="33" t="s">
        <v>590</v>
      </c>
      <c r="K225" s="33" t="s">
        <v>2749</v>
      </c>
      <c r="L225">
        <v>1</v>
      </c>
      <c r="M225"/>
      <c r="N225" t="s">
        <v>2756</v>
      </c>
      <c r="O225" s="34" t="str">
        <f>HYPERLINK("https://b2b.kobi.pl/pl/product/10228,zasilacz-do-panelu-led-36w-lf-gif040ys900h?currency=PLN")</f>
        <v>https://b2b.kobi.pl/pl/product/10228,zasilacz-do-panelu-led-36w-lf-gif040ys900h?currency=PLN</v>
      </c>
      <c r="P225" t="s">
        <v>3</v>
      </c>
      <c r="Q225"/>
    </row>
    <row r="226" spans="1:17" ht="14.4" x14ac:dyDescent="0.3">
      <c r="A226" t="s">
        <v>10</v>
      </c>
      <c r="B226" t="s">
        <v>25</v>
      </c>
      <c r="C226" t="s">
        <v>910</v>
      </c>
      <c r="D226" t="s">
        <v>2759</v>
      </c>
      <c r="E226" t="s">
        <v>1307</v>
      </c>
      <c r="F226" t="s">
        <v>833</v>
      </c>
      <c r="G226" s="35">
        <v>53.21</v>
      </c>
      <c r="H226" s="33">
        <f>G226*(1-IFERROR(VLOOKUP(F226,'enter the discount'!$D$10:$E$40,2,FALSE),0))</f>
        <v>53.21</v>
      </c>
      <c r="I226" s="35" t="s">
        <v>2609</v>
      </c>
      <c r="J226" s="33" t="s">
        <v>2614</v>
      </c>
      <c r="K226" s="33" t="s">
        <v>2750</v>
      </c>
      <c r="L226">
        <v>1</v>
      </c>
      <c r="M226"/>
      <c r="N226" t="s">
        <v>2756</v>
      </c>
      <c r="O226" s="34" t="str">
        <f>HYPERLINK("https://b2b.kobi.pl/pl/product/9916,zasilacz-lf-gsd040yc-dali-lifud?currency=PLN")</f>
        <v>https://b2b.kobi.pl/pl/product/9916,zasilacz-lf-gsd040yc-dali-lifud?currency=PLN</v>
      </c>
      <c r="P226" t="s">
        <v>3</v>
      </c>
      <c r="Q226"/>
    </row>
    <row r="227" spans="1:17" ht="14.4" x14ac:dyDescent="0.3">
      <c r="A227" t="s">
        <v>10</v>
      </c>
      <c r="B227" t="s">
        <v>25</v>
      </c>
      <c r="C227" t="s">
        <v>1258</v>
      </c>
      <c r="D227" t="s">
        <v>1308</v>
      </c>
      <c r="E227" t="s">
        <v>1309</v>
      </c>
      <c r="F227" t="s">
        <v>833</v>
      </c>
      <c r="G227" s="35">
        <v>10.84</v>
      </c>
      <c r="H227" s="33">
        <f>G227*(1-IFERROR(VLOOKUP(F227,'enter the discount'!$D$10:$E$40,2,FALSE),0))</f>
        <v>10.84</v>
      </c>
      <c r="I227" s="35" t="s">
        <v>2609</v>
      </c>
      <c r="J227" s="33" t="s">
        <v>591</v>
      </c>
      <c r="K227" s="33" t="s">
        <v>2749</v>
      </c>
      <c r="L227">
        <v>1</v>
      </c>
      <c r="M227"/>
      <c r="N227" t="s">
        <v>2756</v>
      </c>
      <c r="O227" s="34" t="str">
        <f>HYPERLINK("https://b2b.kobi.pl/pl/product/10229,zasilacz-do-panelu-led-40w-lf-gif040ys1000h?currency=PLN")</f>
        <v>https://b2b.kobi.pl/pl/product/10229,zasilacz-do-panelu-led-40w-lf-gif040ys1000h?currency=PLN</v>
      </c>
      <c r="P227" t="s">
        <v>3</v>
      </c>
      <c r="Q227"/>
    </row>
    <row r="228" spans="1:17" ht="14.4" x14ac:dyDescent="0.3">
      <c r="A228" t="s">
        <v>10</v>
      </c>
      <c r="B228" t="s">
        <v>25</v>
      </c>
      <c r="C228" t="s">
        <v>1258</v>
      </c>
      <c r="D228" t="s">
        <v>1310</v>
      </c>
      <c r="E228" t="s">
        <v>1311</v>
      </c>
      <c r="F228" t="s">
        <v>833</v>
      </c>
      <c r="G228" s="35">
        <v>51.81</v>
      </c>
      <c r="H228" s="33">
        <f>G228*(1-IFERROR(VLOOKUP(F228,'enter the discount'!$D$10:$E$40,2,FALSE),0))</f>
        <v>51.81</v>
      </c>
      <c r="I228" s="35" t="s">
        <v>2609</v>
      </c>
      <c r="J228" s="33" t="s">
        <v>592</v>
      </c>
      <c r="K228" s="33" t="s">
        <v>2749</v>
      </c>
      <c r="L228">
        <v>1</v>
      </c>
      <c r="M228"/>
      <c r="N228" t="s">
        <v>2756</v>
      </c>
      <c r="O228" s="34" t="str">
        <f>HYPERLINK("https://b2b.kobi.pl/pl/product/10230,zasilacz-lf-gsd020yc-lifud-dali?currency=PLN")</f>
        <v>https://b2b.kobi.pl/pl/product/10230,zasilacz-lf-gsd020yc-lifud-dali?currency=PLN</v>
      </c>
      <c r="P228" t="s">
        <v>3</v>
      </c>
      <c r="Q228"/>
    </row>
    <row r="229" spans="1:17" ht="14.4" x14ac:dyDescent="0.3">
      <c r="A229" t="s">
        <v>10</v>
      </c>
      <c r="B229" t="s">
        <v>25</v>
      </c>
      <c r="C229" t="s">
        <v>1258</v>
      </c>
      <c r="D229" t="s">
        <v>1312</v>
      </c>
      <c r="E229" t="s">
        <v>1313</v>
      </c>
      <c r="F229" t="s">
        <v>833</v>
      </c>
      <c r="G229" s="35">
        <v>39.590000000000003</v>
      </c>
      <c r="H229" s="33">
        <f>G229*(1-IFERROR(VLOOKUP(F229,'enter the discount'!$D$10:$E$40,2,FALSE),0))</f>
        <v>39.590000000000003</v>
      </c>
      <c r="I229" s="35" t="s">
        <v>2609</v>
      </c>
      <c r="J229" s="33" t="s">
        <v>2615</v>
      </c>
      <c r="K229" s="33" t="s">
        <v>2749</v>
      </c>
      <c r="L229">
        <v>6</v>
      </c>
      <c r="M229"/>
      <c r="N229" t="s">
        <v>2756</v>
      </c>
      <c r="O229" s="34" t="str">
        <f>HYPERLINK("https://b2b.kobi.pl/pl/product/12264,panel-led-capri-g2-25-36-40w-60x60-3cct-ip44-kobi-pro?currency=PLN")</f>
        <v>https://b2b.kobi.pl/pl/product/12264,panel-led-capri-g2-25-36-40w-60x60-3cct-ip44-kobi-pro?currency=PLN</v>
      </c>
      <c r="P229" s="34" t="str">
        <f>HYPERLINK("https://eprel.ec.europa.eu/qr/2205372")</f>
        <v>https://eprel.ec.europa.eu/qr/2205372</v>
      </c>
      <c r="Q229"/>
    </row>
    <row r="230" spans="1:17" ht="14.4" x14ac:dyDescent="0.3">
      <c r="A230" t="s">
        <v>10</v>
      </c>
      <c r="B230" t="s">
        <v>25</v>
      </c>
      <c r="C230" t="s">
        <v>1258</v>
      </c>
      <c r="D230" t="s">
        <v>1314</v>
      </c>
      <c r="E230" t="s">
        <v>1315</v>
      </c>
      <c r="F230" t="s">
        <v>833</v>
      </c>
      <c r="G230" s="35">
        <v>48.17</v>
      </c>
      <c r="H230" s="33">
        <f>G230*(1-IFERROR(VLOOKUP(F230,'enter the discount'!$D$10:$E$40,2,FALSE),0))</f>
        <v>48.17</v>
      </c>
      <c r="I230" s="35" t="s">
        <v>2609</v>
      </c>
      <c r="J230" s="33" t="s">
        <v>2616</v>
      </c>
      <c r="K230" s="33" t="s">
        <v>2749</v>
      </c>
      <c r="L230">
        <v>6</v>
      </c>
      <c r="M230"/>
      <c r="N230" t="s">
        <v>2756</v>
      </c>
      <c r="O230" s="34" t="str">
        <f>HYPERLINK("https://b2b.kobi.pl/pl/product/12265,panel-led-capri-g2-25-36-40w-60x60-3cct-ip44-ugr-19-kobi-pro?currency=PLN")</f>
        <v>https://b2b.kobi.pl/pl/product/12265,panel-led-capri-g2-25-36-40w-60x60-3cct-ip44-ugr-19-kobi-pro?currency=PLN</v>
      </c>
      <c r="P230" s="34" t="str">
        <f>HYPERLINK("https://eprel.ec.europa.eu/qr/2206477")</f>
        <v>https://eprel.ec.europa.eu/qr/2206477</v>
      </c>
      <c r="Q230"/>
    </row>
    <row r="231" spans="1:17" ht="14.4" x14ac:dyDescent="0.3">
      <c r="A231" t="s">
        <v>10</v>
      </c>
      <c r="B231" t="s">
        <v>1316</v>
      </c>
      <c r="C231" t="s">
        <v>885</v>
      </c>
      <c r="D231" t="s">
        <v>1317</v>
      </c>
      <c r="E231" t="s">
        <v>1318</v>
      </c>
      <c r="F231" t="s">
        <v>837</v>
      </c>
      <c r="G231" s="35">
        <v>38.799999999999997</v>
      </c>
      <c r="H231" s="33">
        <f>G231*(1-IFERROR(VLOOKUP(F231,'enter the discount'!$D$10:$E$40,2,FALSE),0))</f>
        <v>38.799999999999997</v>
      </c>
      <c r="I231" s="35" t="s">
        <v>2593</v>
      </c>
      <c r="J231" s="33" t="s">
        <v>188</v>
      </c>
      <c r="K231" s="33" t="s">
        <v>2749</v>
      </c>
      <c r="L231">
        <v>10</v>
      </c>
      <c r="M231">
        <v>240</v>
      </c>
      <c r="N231" t="s">
        <v>2755</v>
      </c>
      <c r="O231" s="34" t="str">
        <f>HYPERLINK("https://b2b.kobi.pl/pl/product/9920,oprawa-hermetyczna-led-cortez-2-60w-120cm-4000k-ip65-kobi-premium?currency=PLN")</f>
        <v>https://b2b.kobi.pl/pl/product/9920,oprawa-hermetyczna-led-cortez-2-60w-120cm-4000k-ip65-kobi-premium?currency=PLN</v>
      </c>
      <c r="P231" s="34" t="str">
        <f>HYPERLINK("https://eprel.ec.europa.eu/qr/2175600")</f>
        <v>https://eprel.ec.europa.eu/qr/2175600</v>
      </c>
      <c r="Q231"/>
    </row>
    <row r="232" spans="1:17" ht="14.4" x14ac:dyDescent="0.3">
      <c r="A232" t="s">
        <v>10</v>
      </c>
      <c r="B232" t="s">
        <v>1316</v>
      </c>
      <c r="C232" t="s">
        <v>910</v>
      </c>
      <c r="D232" t="s">
        <v>1319</v>
      </c>
      <c r="E232" t="s">
        <v>1320</v>
      </c>
      <c r="F232" t="s">
        <v>837</v>
      </c>
      <c r="G232" s="35">
        <v>23.54</v>
      </c>
      <c r="H232" s="33">
        <f>G232*(1-IFERROR(VLOOKUP(F232,'enter the discount'!$D$10:$E$40,2,FALSE),0))</f>
        <v>23.54</v>
      </c>
      <c r="I232" s="35" t="s">
        <v>2593</v>
      </c>
      <c r="J232" s="33" t="s">
        <v>465</v>
      </c>
      <c r="K232" s="33" t="s">
        <v>2749</v>
      </c>
      <c r="L232">
        <v>20</v>
      </c>
      <c r="M232"/>
      <c r="N232" t="s">
        <v>2755</v>
      </c>
      <c r="O232" s="34" t="str">
        <f>HYPERLINK("https://b2b.kobi.pl/pl/product/9923,oprawa-hermetyczna-led-cortez-3-45w-4000k-ip65-kobi?currency=PLN")</f>
        <v>https://b2b.kobi.pl/pl/product/9923,oprawa-hermetyczna-led-cortez-3-45w-4000k-ip65-kobi?currency=PLN</v>
      </c>
      <c r="P232" s="34" t="str">
        <f>HYPERLINK("https://eprel.ec.europa.eu/qr/1565174")</f>
        <v>https://eprel.ec.europa.eu/qr/1565174</v>
      </c>
      <c r="Q232" t="s">
        <v>2775</v>
      </c>
    </row>
    <row r="233" spans="1:17" ht="14.4" x14ac:dyDescent="0.3">
      <c r="A233" t="s">
        <v>10</v>
      </c>
      <c r="B233" t="s">
        <v>1316</v>
      </c>
      <c r="C233" t="s">
        <v>1321</v>
      </c>
      <c r="D233" t="s">
        <v>623</v>
      </c>
      <c r="E233" t="s">
        <v>1322</v>
      </c>
      <c r="F233" t="s">
        <v>837</v>
      </c>
      <c r="G233" s="35">
        <v>164.2</v>
      </c>
      <c r="H233" s="33">
        <f>G233*(1-IFERROR(VLOOKUP(F233,'enter the discount'!$D$10:$E$40,2,FALSE),0))</f>
        <v>164.2</v>
      </c>
      <c r="I233" s="35" t="s">
        <v>2595</v>
      </c>
      <c r="J233" s="33" t="s">
        <v>396</v>
      </c>
      <c r="K233" s="33" t="s">
        <v>2749</v>
      </c>
      <c r="L233">
        <v>1</v>
      </c>
      <c r="M233"/>
      <c r="N233" t="s">
        <v>2756</v>
      </c>
      <c r="O233" s="34" t="str">
        <f>HYPERLINK("https://b2b.kobi.pl/pl/product/8367,oprawa-liniowa-hermetyczna-led-hpl1-30w-ip65-120-kobi-pro?currency=PLN")</f>
        <v>https://b2b.kobi.pl/pl/product/8367,oprawa-liniowa-hermetyczna-led-hpl1-30w-ip65-120-kobi-pro?currency=PLN</v>
      </c>
      <c r="P233" s="34" t="str">
        <f>HYPERLINK("https://eprel.ec.europa.eu/qr/953103")</f>
        <v>https://eprel.ec.europa.eu/qr/953103</v>
      </c>
      <c r="Q233"/>
    </row>
    <row r="234" spans="1:17" ht="14.4" x14ac:dyDescent="0.3">
      <c r="A234" t="s">
        <v>10</v>
      </c>
      <c r="B234" t="s">
        <v>1316</v>
      </c>
      <c r="C234" t="s">
        <v>1321</v>
      </c>
      <c r="D234" t="s">
        <v>624</v>
      </c>
      <c r="E234" t="s">
        <v>1323</v>
      </c>
      <c r="F234" t="s">
        <v>837</v>
      </c>
      <c r="G234" s="35">
        <v>164.2</v>
      </c>
      <c r="H234" s="33">
        <f>G234*(1-IFERROR(VLOOKUP(F234,'enter the discount'!$D$10:$E$40,2,FALSE),0))</f>
        <v>164.2</v>
      </c>
      <c r="I234" s="35" t="s">
        <v>2595</v>
      </c>
      <c r="J234" s="33" t="s">
        <v>397</v>
      </c>
      <c r="K234" s="33" t="s">
        <v>2749</v>
      </c>
      <c r="L234">
        <v>1</v>
      </c>
      <c r="M234"/>
      <c r="N234" t="s">
        <v>2756</v>
      </c>
      <c r="O234" s="34" t="str">
        <f>HYPERLINK("https://b2b.kobi.pl/pl/product/8368,oprawa-liniowa-hermetyczna-led-hpl1-30w-ip65-90-kobi-pro?currency=PLN")</f>
        <v>https://b2b.kobi.pl/pl/product/8368,oprawa-liniowa-hermetyczna-led-hpl1-30w-ip65-90-kobi-pro?currency=PLN</v>
      </c>
      <c r="P234" s="34" t="str">
        <f>HYPERLINK("https://eprel.ec.europa.eu/qr/953122")</f>
        <v>https://eprel.ec.europa.eu/qr/953122</v>
      </c>
      <c r="Q234"/>
    </row>
    <row r="235" spans="1:17" ht="14.4" x14ac:dyDescent="0.3">
      <c r="A235" t="s">
        <v>10</v>
      </c>
      <c r="B235" t="s">
        <v>1316</v>
      </c>
      <c r="C235" t="s">
        <v>1321</v>
      </c>
      <c r="D235" t="s">
        <v>625</v>
      </c>
      <c r="E235" t="s">
        <v>1324</v>
      </c>
      <c r="F235" t="s">
        <v>837</v>
      </c>
      <c r="G235" s="35">
        <v>192.5</v>
      </c>
      <c r="H235" s="33">
        <f>G235*(1-IFERROR(VLOOKUP(F235,'enter the discount'!$D$10:$E$40,2,FALSE),0))</f>
        <v>192.5</v>
      </c>
      <c r="I235" s="35" t="s">
        <v>2595</v>
      </c>
      <c r="J235" s="33" t="s">
        <v>398</v>
      </c>
      <c r="K235" s="33" t="s">
        <v>2749</v>
      </c>
      <c r="L235">
        <v>1</v>
      </c>
      <c r="M235"/>
      <c r="N235" t="s">
        <v>2756</v>
      </c>
      <c r="O235" s="34" t="str">
        <f>HYPERLINK("https://b2b.kobi.pl/pl/product/8369,oprawa-liniowa-hermetyczna-led-hpl1-45w-ip65-120-kobi-pro?currency=PLN")</f>
        <v>https://b2b.kobi.pl/pl/product/8369,oprawa-liniowa-hermetyczna-led-hpl1-45w-ip65-120-kobi-pro?currency=PLN</v>
      </c>
      <c r="P235" s="34" t="str">
        <f>HYPERLINK("https://eprel.ec.europa.eu/qr/953134")</f>
        <v>https://eprel.ec.europa.eu/qr/953134</v>
      </c>
      <c r="Q235"/>
    </row>
    <row r="236" spans="1:17" ht="14.4" x14ac:dyDescent="0.3">
      <c r="A236" t="s">
        <v>10</v>
      </c>
      <c r="B236" t="s">
        <v>1316</v>
      </c>
      <c r="C236" t="s">
        <v>1321</v>
      </c>
      <c r="D236" t="s">
        <v>626</v>
      </c>
      <c r="E236" t="s">
        <v>1325</v>
      </c>
      <c r="F236" t="s">
        <v>837</v>
      </c>
      <c r="G236" s="35">
        <v>192.5</v>
      </c>
      <c r="H236" s="33">
        <f>G236*(1-IFERROR(VLOOKUP(F236,'enter the discount'!$D$10:$E$40,2,FALSE),0))</f>
        <v>192.5</v>
      </c>
      <c r="I236" s="35" t="s">
        <v>2595</v>
      </c>
      <c r="J236" s="33" t="s">
        <v>399</v>
      </c>
      <c r="K236" s="33" t="s">
        <v>2749</v>
      </c>
      <c r="L236">
        <v>1</v>
      </c>
      <c r="M236"/>
      <c r="N236" t="s">
        <v>2756</v>
      </c>
      <c r="O236" s="34" t="str">
        <f>HYPERLINK("https://b2b.kobi.pl/pl/product/8371,oprawa-liniowa-hermetyczna-led-hpl1-45w-ip65-90-kobi-pro?currency=PLN")</f>
        <v>https://b2b.kobi.pl/pl/product/8371,oprawa-liniowa-hermetyczna-led-hpl1-45w-ip65-90-kobi-pro?currency=PLN</v>
      </c>
      <c r="P236" s="34" t="str">
        <f>HYPERLINK("https://eprel.ec.europa.eu/qr/953186")</f>
        <v>https://eprel.ec.europa.eu/qr/953186</v>
      </c>
      <c r="Q236"/>
    </row>
    <row r="237" spans="1:17" ht="14.4" x14ac:dyDescent="0.3">
      <c r="A237" t="s">
        <v>10</v>
      </c>
      <c r="B237" t="s">
        <v>1316</v>
      </c>
      <c r="C237" t="s">
        <v>1321</v>
      </c>
      <c r="D237" t="s">
        <v>627</v>
      </c>
      <c r="E237" t="s">
        <v>1326</v>
      </c>
      <c r="F237" t="s">
        <v>837</v>
      </c>
      <c r="G237" s="35">
        <v>261.2</v>
      </c>
      <c r="H237" s="33">
        <f>G237*(1-IFERROR(VLOOKUP(F237,'enter the discount'!$D$10:$E$40,2,FALSE),0))</f>
        <v>261.2</v>
      </c>
      <c r="I237" s="35" t="s">
        <v>2595</v>
      </c>
      <c r="J237" s="33" t="s">
        <v>400</v>
      </c>
      <c r="K237" s="33" t="s">
        <v>2749</v>
      </c>
      <c r="L237">
        <v>1</v>
      </c>
      <c r="M237"/>
      <c r="N237" t="s">
        <v>2756</v>
      </c>
      <c r="O237" s="34" t="str">
        <f>HYPERLINK("https://b2b.kobi.pl/pl/product/8379,oprawa-liniowa-hermetyczna-led-hpl1-60w-ip65-120-kobi-pro?currency=PLN")</f>
        <v>https://b2b.kobi.pl/pl/product/8379,oprawa-liniowa-hermetyczna-led-hpl1-60w-ip65-120-kobi-pro?currency=PLN</v>
      </c>
      <c r="P237" s="34" t="str">
        <f>HYPERLINK("https://eprel.ec.europa.eu/qr/953208")</f>
        <v>https://eprel.ec.europa.eu/qr/953208</v>
      </c>
      <c r="Q237"/>
    </row>
    <row r="238" spans="1:17" ht="14.4" x14ac:dyDescent="0.3">
      <c r="A238" t="s">
        <v>10</v>
      </c>
      <c r="B238" t="s">
        <v>1316</v>
      </c>
      <c r="C238" t="s">
        <v>1321</v>
      </c>
      <c r="D238" t="s">
        <v>628</v>
      </c>
      <c r="E238" t="s">
        <v>1327</v>
      </c>
      <c r="F238" t="s">
        <v>837</v>
      </c>
      <c r="G238" s="35">
        <v>315.89999999999998</v>
      </c>
      <c r="H238" s="33">
        <f>G238*(1-IFERROR(VLOOKUP(F238,'enter the discount'!$D$10:$E$40,2,FALSE),0))</f>
        <v>315.89999999999998</v>
      </c>
      <c r="I238" s="35" t="s">
        <v>2595</v>
      </c>
      <c r="J238" s="33" t="s">
        <v>401</v>
      </c>
      <c r="K238" s="33" t="s">
        <v>2749</v>
      </c>
      <c r="L238">
        <v>1</v>
      </c>
      <c r="M238"/>
      <c r="N238" t="s">
        <v>2756</v>
      </c>
      <c r="O238" s="34" t="str">
        <f>HYPERLINK("https://b2b.kobi.pl/pl/product/8372,oprawa-liniowa-hermetyczna-led-hpl1-75w-ip65-120-kobi-pro?currency=PLN")</f>
        <v>https://b2b.kobi.pl/pl/product/8372,oprawa-liniowa-hermetyczna-led-hpl1-75w-ip65-120-kobi-pro?currency=PLN</v>
      </c>
      <c r="P238" s="34" t="str">
        <f>HYPERLINK("https://eprel.ec.europa.eu/qr/953524")</f>
        <v>https://eprel.ec.europa.eu/qr/953524</v>
      </c>
      <c r="Q238"/>
    </row>
    <row r="239" spans="1:17" ht="14.4" x14ac:dyDescent="0.3">
      <c r="A239" t="s">
        <v>10</v>
      </c>
      <c r="B239" t="s">
        <v>1316</v>
      </c>
      <c r="C239" t="s">
        <v>1321</v>
      </c>
      <c r="D239" t="s">
        <v>629</v>
      </c>
      <c r="E239" t="s">
        <v>1328</v>
      </c>
      <c r="F239" t="s">
        <v>837</v>
      </c>
      <c r="G239" s="35">
        <v>315.89999999999998</v>
      </c>
      <c r="H239" s="33">
        <f>G239*(1-IFERROR(VLOOKUP(F239,'enter the discount'!$D$10:$E$40,2,FALSE),0))</f>
        <v>315.89999999999998</v>
      </c>
      <c r="I239" s="35" t="s">
        <v>2595</v>
      </c>
      <c r="J239" s="33" t="s">
        <v>402</v>
      </c>
      <c r="K239" s="33" t="s">
        <v>2749</v>
      </c>
      <c r="L239">
        <v>1</v>
      </c>
      <c r="M239"/>
      <c r="N239" t="s">
        <v>2756</v>
      </c>
      <c r="O239" s="34" t="str">
        <f>HYPERLINK("https://b2b.kobi.pl/pl/product/8374,oprawa-liniowa-hermetyczna-led-hpl1-75w-ip65-90-kobi-pro?currency=PLN")</f>
        <v>https://b2b.kobi.pl/pl/product/8374,oprawa-liniowa-hermetyczna-led-hpl1-75w-ip65-90-kobi-pro?currency=PLN</v>
      </c>
      <c r="P239" s="34" t="str">
        <f>HYPERLINK("https://eprel.ec.europa.eu/qr/953535")</f>
        <v>https://eprel.ec.europa.eu/qr/953535</v>
      </c>
      <c r="Q239"/>
    </row>
    <row r="240" spans="1:17" ht="14.4" x14ac:dyDescent="0.3">
      <c r="A240" t="s">
        <v>10</v>
      </c>
      <c r="B240" t="s">
        <v>1316</v>
      </c>
      <c r="C240" t="s">
        <v>1321</v>
      </c>
      <c r="D240" t="s">
        <v>631</v>
      </c>
      <c r="E240" t="s">
        <v>1329</v>
      </c>
      <c r="F240" t="s">
        <v>837</v>
      </c>
      <c r="G240" s="35">
        <v>466.75</v>
      </c>
      <c r="H240" s="33">
        <f>G240*(1-IFERROR(VLOOKUP(F240,'enter the discount'!$D$10:$E$40,2,FALSE),0))</f>
        <v>466.75</v>
      </c>
      <c r="I240" s="35" t="s">
        <v>2595</v>
      </c>
      <c r="J240" s="33" t="s">
        <v>404</v>
      </c>
      <c r="K240" s="33" t="s">
        <v>2749</v>
      </c>
      <c r="L240">
        <v>1</v>
      </c>
      <c r="M240"/>
      <c r="N240" t="s">
        <v>2756</v>
      </c>
      <c r="O240" s="34" t="str">
        <f>HYPERLINK("https://b2b.kobi.pl/pl/product/8376,oprawa-liniowa-hermetyczna-led-hpl2-120w-ip65-120-kobi-pro?currency=PLN")</f>
        <v>https://b2b.kobi.pl/pl/product/8376,oprawa-liniowa-hermetyczna-led-hpl2-120w-ip65-120-kobi-pro?currency=PLN</v>
      </c>
      <c r="P240" s="34" t="str">
        <f>HYPERLINK("https://eprel.ec.europa.eu/qr/953581")</f>
        <v>https://eprel.ec.europa.eu/qr/953581</v>
      </c>
      <c r="Q240"/>
    </row>
    <row r="241" spans="1:17" ht="14.4" x14ac:dyDescent="0.3">
      <c r="A241" t="s">
        <v>10</v>
      </c>
      <c r="B241" t="s">
        <v>1316</v>
      </c>
      <c r="C241" t="s">
        <v>1321</v>
      </c>
      <c r="D241" t="s">
        <v>632</v>
      </c>
      <c r="E241" t="s">
        <v>1330</v>
      </c>
      <c r="F241" t="s">
        <v>837</v>
      </c>
      <c r="G241" s="35">
        <v>466.75</v>
      </c>
      <c r="H241" s="33">
        <f>G241*(1-IFERROR(VLOOKUP(F241,'enter the discount'!$D$10:$E$40,2,FALSE),0))</f>
        <v>466.75</v>
      </c>
      <c r="I241" s="35" t="s">
        <v>2595</v>
      </c>
      <c r="J241" s="33" t="s">
        <v>405</v>
      </c>
      <c r="K241" s="33" t="s">
        <v>2749</v>
      </c>
      <c r="L241">
        <v>1</v>
      </c>
      <c r="M241"/>
      <c r="N241" t="s">
        <v>2756</v>
      </c>
      <c r="O241" s="34" t="str">
        <f>HYPERLINK("https://b2b.kobi.pl/pl/product/8377,oprawa-liniowa-hermetyczna-led-hpl2-120w-ip65-90-kobi-pro?currency=PLN")</f>
        <v>https://b2b.kobi.pl/pl/product/8377,oprawa-liniowa-hermetyczna-led-hpl2-120w-ip65-90-kobi-pro?currency=PLN</v>
      </c>
      <c r="P241" s="34" t="str">
        <f>HYPERLINK("https://eprel.ec.europa.eu/qr/953606")</f>
        <v>https://eprel.ec.europa.eu/qr/953606</v>
      </c>
      <c r="Q241"/>
    </row>
    <row r="242" spans="1:17" ht="14.4" x14ac:dyDescent="0.3">
      <c r="A242" t="s">
        <v>10</v>
      </c>
      <c r="B242" t="s">
        <v>1316</v>
      </c>
      <c r="C242" t="s">
        <v>1321</v>
      </c>
      <c r="D242" t="s">
        <v>633</v>
      </c>
      <c r="E242" t="s">
        <v>1331</v>
      </c>
      <c r="F242" t="s">
        <v>837</v>
      </c>
      <c r="G242" s="35">
        <v>546.51</v>
      </c>
      <c r="H242" s="33">
        <f>G242*(1-IFERROR(VLOOKUP(F242,'enter the discount'!$D$10:$E$40,2,FALSE),0))</f>
        <v>546.51</v>
      </c>
      <c r="I242" s="35" t="s">
        <v>2595</v>
      </c>
      <c r="J242" s="33" t="s">
        <v>406</v>
      </c>
      <c r="K242" s="33" t="s">
        <v>2749</v>
      </c>
      <c r="L242">
        <v>1</v>
      </c>
      <c r="M242"/>
      <c r="N242" t="s">
        <v>2756</v>
      </c>
      <c r="O242" s="34" t="str">
        <f>HYPERLINK("https://b2b.kobi.pl/pl/product/8378,oprawa-liniowa-hermetyczna-led-hpl2-150w-ip65-120-kobi-pro?currency=PLN")</f>
        <v>https://b2b.kobi.pl/pl/product/8378,oprawa-liniowa-hermetyczna-led-hpl2-150w-ip65-120-kobi-pro?currency=PLN</v>
      </c>
      <c r="P242" s="34" t="str">
        <f>HYPERLINK("https://eprel.ec.europa.eu/qr/953653")</f>
        <v>https://eprel.ec.europa.eu/qr/953653</v>
      </c>
      <c r="Q242"/>
    </row>
    <row r="243" spans="1:17" ht="14.4" x14ac:dyDescent="0.3">
      <c r="A243" t="s">
        <v>10</v>
      </c>
      <c r="B243" t="s">
        <v>1316</v>
      </c>
      <c r="C243" t="s">
        <v>1321</v>
      </c>
      <c r="D243" t="s">
        <v>630</v>
      </c>
      <c r="E243" t="s">
        <v>1332</v>
      </c>
      <c r="F243" t="s">
        <v>837</v>
      </c>
      <c r="G243" s="35">
        <v>466.75</v>
      </c>
      <c r="H243" s="33">
        <f>G243*(1-IFERROR(VLOOKUP(F243,'enter the discount'!$D$10:$E$40,2,FALSE),0))</f>
        <v>466.75</v>
      </c>
      <c r="I243" s="35" t="s">
        <v>2595</v>
      </c>
      <c r="J243" s="33" t="s">
        <v>403</v>
      </c>
      <c r="K243" s="33" t="s">
        <v>2749</v>
      </c>
      <c r="L243">
        <v>1</v>
      </c>
      <c r="M243"/>
      <c r="N243" t="s">
        <v>2756</v>
      </c>
      <c r="O243"/>
      <c r="P243" s="34" t="str">
        <f>HYPERLINK("https://eprel.ec.europa.eu/qr/953581")</f>
        <v>https://eprel.ec.europa.eu/qr/953581</v>
      </c>
      <c r="Q243"/>
    </row>
    <row r="244" spans="1:17" ht="14.4" x14ac:dyDescent="0.3">
      <c r="A244" t="s">
        <v>10</v>
      </c>
      <c r="B244" t="s">
        <v>1316</v>
      </c>
      <c r="C244" t="s">
        <v>30</v>
      </c>
      <c r="D244" t="s">
        <v>1333</v>
      </c>
      <c r="E244" t="s">
        <v>1334</v>
      </c>
      <c r="F244" t="s">
        <v>837</v>
      </c>
      <c r="G244" s="35">
        <v>13.8</v>
      </c>
      <c r="H244" s="33">
        <f>G244*(1-IFERROR(VLOOKUP(F244,'enter the discount'!$D$10:$E$40,2,FALSE),0))</f>
        <v>13.8</v>
      </c>
      <c r="I244" s="35" t="s">
        <v>2609</v>
      </c>
      <c r="J244" s="33" t="s">
        <v>684</v>
      </c>
      <c r="K244" s="33" t="s">
        <v>2749</v>
      </c>
      <c r="L244">
        <v>30</v>
      </c>
      <c r="M244"/>
      <c r="N244" t="s">
        <v>2754</v>
      </c>
      <c r="O244" s="34" t="str">
        <f>HYPERLINK("https://b2b.kobi.pl/pl/product/9971,oprawa-hermetyczna-led-mivro-36w-4000k-ip65-led2b?currency=PLN")</f>
        <v>https://b2b.kobi.pl/pl/product/9971,oprawa-hermetyczna-led-mivro-36w-4000k-ip65-led2b?currency=PLN</v>
      </c>
      <c r="P244" s="34" t="str">
        <f>HYPERLINK("https://eprel.ec.europa.eu/qr/1949789")</f>
        <v>https://eprel.ec.europa.eu/qr/1949789</v>
      </c>
      <c r="Q244"/>
    </row>
    <row r="245" spans="1:17" ht="14.4" x14ac:dyDescent="0.3">
      <c r="A245" t="s">
        <v>10</v>
      </c>
      <c r="B245" t="s">
        <v>1316</v>
      </c>
      <c r="C245" t="s">
        <v>1258</v>
      </c>
      <c r="D245" t="s">
        <v>1335</v>
      </c>
      <c r="E245" t="s">
        <v>1336</v>
      </c>
      <c r="F245" t="s">
        <v>837</v>
      </c>
      <c r="G245" s="35">
        <v>44.72</v>
      </c>
      <c r="H245" s="33">
        <f>G245*(1-IFERROR(VLOOKUP(F245,'enter the discount'!$D$10:$E$40,2,FALSE),0))</f>
        <v>44.72</v>
      </c>
      <c r="I245" s="35" t="s">
        <v>2595</v>
      </c>
      <c r="J245" s="33" t="s">
        <v>462</v>
      </c>
      <c r="K245" s="33" t="s">
        <v>2749</v>
      </c>
      <c r="L245">
        <v>8</v>
      </c>
      <c r="M245">
        <v>200</v>
      </c>
      <c r="N245" t="s">
        <v>2756</v>
      </c>
      <c r="O245" s="34" t="str">
        <f>HYPERLINK("https://b2b.kobi.pl/pl/product/8392,oprawa-hermetyczna-led-nexforce1-20w-4000k-ip65-kobi-pro?currency=PLN")</f>
        <v>https://b2b.kobi.pl/pl/product/8392,oprawa-hermetyczna-led-nexforce1-20w-4000k-ip65-kobi-pro?currency=PLN</v>
      </c>
      <c r="P245" s="34" t="str">
        <f>HYPERLINK("https://eprel.ec.europa.eu/qr/1864792")</f>
        <v>https://eprel.ec.europa.eu/qr/1864792</v>
      </c>
      <c r="Q245" t="s">
        <v>2775</v>
      </c>
    </row>
    <row r="246" spans="1:17" ht="14.4" x14ac:dyDescent="0.3">
      <c r="A246" t="s">
        <v>10</v>
      </c>
      <c r="B246" t="s">
        <v>1316</v>
      </c>
      <c r="C246" t="s">
        <v>1258</v>
      </c>
      <c r="D246" t="s">
        <v>1337</v>
      </c>
      <c r="E246" t="s">
        <v>1338</v>
      </c>
      <c r="F246" t="s">
        <v>837</v>
      </c>
      <c r="G246" s="35">
        <v>61.45</v>
      </c>
      <c r="H246" s="33">
        <f>G246*(1-IFERROR(VLOOKUP(F246,'enter the discount'!$D$10:$E$40,2,FALSE),0))</f>
        <v>61.45</v>
      </c>
      <c r="I246" s="35" t="s">
        <v>2609</v>
      </c>
      <c r="J246" s="33" t="s">
        <v>797</v>
      </c>
      <c r="K246" s="33" t="s">
        <v>2749</v>
      </c>
      <c r="L246">
        <v>9</v>
      </c>
      <c r="M246">
        <v>162</v>
      </c>
      <c r="N246" t="s">
        <v>2756</v>
      </c>
      <c r="O246" s="34" t="str">
        <f>HYPERLINK("https://b2b.kobi.pl/pl/product/10063,oprawa-liniowa-hermetyczna-led-nexforce-n2-36w-4000k-kobi-pro?currency=PLN")</f>
        <v>https://b2b.kobi.pl/pl/product/10063,oprawa-liniowa-hermetyczna-led-nexforce-n2-36w-4000k-kobi-pro?currency=PLN</v>
      </c>
      <c r="P246" s="34" t="str">
        <f>HYPERLINK("https://eprel.ec.europa.eu/qr/2082349")</f>
        <v>https://eprel.ec.europa.eu/qr/2082349</v>
      </c>
      <c r="Q246"/>
    </row>
    <row r="247" spans="1:17" ht="14.4" x14ac:dyDescent="0.3">
      <c r="A247" t="s">
        <v>10</v>
      </c>
      <c r="B247" t="s">
        <v>1316</v>
      </c>
      <c r="C247" t="s">
        <v>1258</v>
      </c>
      <c r="D247" t="s">
        <v>1339</v>
      </c>
      <c r="E247" t="s">
        <v>1340</v>
      </c>
      <c r="F247" t="s">
        <v>837</v>
      </c>
      <c r="G247" s="35">
        <v>77.11</v>
      </c>
      <c r="H247" s="33">
        <f>G247*(1-IFERROR(VLOOKUP(F247,'enter the discount'!$D$10:$E$40,2,FALSE),0))</f>
        <v>77.11</v>
      </c>
      <c r="I247" s="35" t="s">
        <v>2609</v>
      </c>
      <c r="J247" s="33" t="s">
        <v>798</v>
      </c>
      <c r="K247" s="33" t="s">
        <v>2749</v>
      </c>
      <c r="L247">
        <v>9</v>
      </c>
      <c r="M247">
        <v>108</v>
      </c>
      <c r="N247" t="s">
        <v>2756</v>
      </c>
      <c r="O247" s="34" t="str">
        <f>HYPERLINK("https://b2b.kobi.pl/pl/product/10064,oprawa-liniowa-hermetyczna-led-nexforce-n2-52w-4000k-kobi-pro?currency=PLN")</f>
        <v>https://b2b.kobi.pl/pl/product/10064,oprawa-liniowa-hermetyczna-led-nexforce-n2-52w-4000k-kobi-pro?currency=PLN</v>
      </c>
      <c r="P247" s="34" t="str">
        <f>HYPERLINK("https://eprel.ec.europa.eu/qr/2082480")</f>
        <v>https://eprel.ec.europa.eu/qr/2082480</v>
      </c>
      <c r="Q247"/>
    </row>
    <row r="248" spans="1:17" ht="14.4" x14ac:dyDescent="0.3">
      <c r="A248" t="s">
        <v>10</v>
      </c>
      <c r="B248" t="s">
        <v>1316</v>
      </c>
      <c r="C248" t="s">
        <v>1258</v>
      </c>
      <c r="D248" t="s">
        <v>1341</v>
      </c>
      <c r="E248" t="s">
        <v>1342</v>
      </c>
      <c r="F248" t="s">
        <v>837</v>
      </c>
      <c r="G248" s="35">
        <v>89.16</v>
      </c>
      <c r="H248" s="33">
        <f>G248*(1-IFERROR(VLOOKUP(F248,'enter the discount'!$D$10:$E$40,2,FALSE),0))</f>
        <v>89.16</v>
      </c>
      <c r="I248" s="35" t="s">
        <v>2609</v>
      </c>
      <c r="J248" s="33" t="s">
        <v>799</v>
      </c>
      <c r="K248" s="33" t="s">
        <v>2749</v>
      </c>
      <c r="L248">
        <v>9</v>
      </c>
      <c r="M248"/>
      <c r="N248" t="s">
        <v>2756</v>
      </c>
      <c r="O248" s="34" t="str">
        <f>HYPERLINK("https://b2b.kobi.pl/pl/product/10065,oprawa-liniowa-hermetyczna-led-nexforce-n2-70w-4000k-kobi-pro?currency=PLN")</f>
        <v>https://b2b.kobi.pl/pl/product/10065,oprawa-liniowa-hermetyczna-led-nexforce-n2-70w-4000k-kobi-pro?currency=PLN</v>
      </c>
      <c r="P248" s="34" t="str">
        <f>HYPERLINK("https://eprel.ec.europa.eu/qr/2082512")</f>
        <v>https://eprel.ec.europa.eu/qr/2082512</v>
      </c>
      <c r="Q248"/>
    </row>
    <row r="249" spans="1:17" ht="14.4" x14ac:dyDescent="0.3">
      <c r="A249" t="s">
        <v>10</v>
      </c>
      <c r="B249" t="s">
        <v>1316</v>
      </c>
      <c r="C249" t="s">
        <v>1258</v>
      </c>
      <c r="D249" t="s">
        <v>1343</v>
      </c>
      <c r="E249" t="s">
        <v>1344</v>
      </c>
      <c r="F249" t="s">
        <v>837</v>
      </c>
      <c r="G249" s="35">
        <v>91.57</v>
      </c>
      <c r="H249" s="33">
        <f>G249*(1-IFERROR(VLOOKUP(F249,'enter the discount'!$D$10:$E$40,2,FALSE),0))</f>
        <v>91.57</v>
      </c>
      <c r="I249" s="35" t="s">
        <v>2595</v>
      </c>
      <c r="J249" s="33" t="s">
        <v>499</v>
      </c>
      <c r="K249" s="33" t="s">
        <v>2749</v>
      </c>
      <c r="L249">
        <v>8</v>
      </c>
      <c r="M249">
        <v>88</v>
      </c>
      <c r="N249" t="s">
        <v>2756</v>
      </c>
      <c r="O249" s="34" t="str">
        <f>HYPERLINK("https://b2b.kobi.pl/pl/product/8397,oprawa-hermetyczna-led-nexforce1-80w-4000k-ip65-kobi-pro?currency=PLN")</f>
        <v>https://b2b.kobi.pl/pl/product/8397,oprawa-hermetyczna-led-nexforce1-80w-4000k-ip65-kobi-pro?currency=PLN</v>
      </c>
      <c r="P249" s="34" t="str">
        <f>HYPERLINK("https://eprel.ec.europa.eu/qr/2195061")</f>
        <v>https://eprel.ec.europa.eu/qr/2195061</v>
      </c>
      <c r="Q249" t="s">
        <v>2775</v>
      </c>
    </row>
    <row r="250" spans="1:17" ht="14.4" x14ac:dyDescent="0.3">
      <c r="A250" t="s">
        <v>10</v>
      </c>
      <c r="B250" t="s">
        <v>1316</v>
      </c>
      <c r="C250" t="s">
        <v>885</v>
      </c>
      <c r="D250" t="s">
        <v>1345</v>
      </c>
      <c r="E250" t="s">
        <v>1346</v>
      </c>
      <c r="F250" t="s">
        <v>837</v>
      </c>
      <c r="G250" s="35">
        <v>21.58</v>
      </c>
      <c r="H250" s="33">
        <f>G250*(1-IFERROR(VLOOKUP(F250,'enter the discount'!$D$10:$E$40,2,FALSE),0))</f>
        <v>21.58</v>
      </c>
      <c r="I250" s="35" t="s">
        <v>2594</v>
      </c>
      <c r="J250" s="33" t="s">
        <v>729</v>
      </c>
      <c r="K250" s="33" t="s">
        <v>2749</v>
      </c>
      <c r="L250">
        <v>16</v>
      </c>
      <c r="M250"/>
      <c r="N250" t="s">
        <v>2755</v>
      </c>
      <c r="O250" s="34" t="str">
        <f>HYPERLINK("https://b2b.kobi.pl/pl/product/10127,oprawa-liniowa-hermetyczna-led-negro-20w-4000k-kobi-premium?currency=PLN")</f>
        <v>https://b2b.kobi.pl/pl/product/10127,oprawa-liniowa-hermetyczna-led-negro-20w-4000k-kobi-premium?currency=PLN</v>
      </c>
      <c r="P250" t="s">
        <v>3</v>
      </c>
      <c r="Q250"/>
    </row>
    <row r="251" spans="1:17" ht="14.4" x14ac:dyDescent="0.3">
      <c r="A251" t="s">
        <v>10</v>
      </c>
      <c r="B251" t="s">
        <v>1316</v>
      </c>
      <c r="C251" t="s">
        <v>885</v>
      </c>
      <c r="D251" t="s">
        <v>1347</v>
      </c>
      <c r="E251" t="s">
        <v>1348</v>
      </c>
      <c r="F251" t="s">
        <v>837</v>
      </c>
      <c r="G251" s="35">
        <v>28.92</v>
      </c>
      <c r="H251" s="33">
        <f>G251*(1-IFERROR(VLOOKUP(F251,'enter the discount'!$D$10:$E$40,2,FALSE),0))</f>
        <v>28.92</v>
      </c>
      <c r="I251" s="35" t="s">
        <v>2594</v>
      </c>
      <c r="J251" s="33" t="s">
        <v>189</v>
      </c>
      <c r="K251" s="33" t="s">
        <v>2749</v>
      </c>
      <c r="L251">
        <v>16</v>
      </c>
      <c r="M251">
        <v>240</v>
      </c>
      <c r="N251" t="s">
        <v>2755</v>
      </c>
      <c r="O251" s="34" t="str">
        <f>HYPERLINK("https://b2b.kobi.pl/pl/product/10128,oprawa-liniowa-hermetyczna-led-negro-36w-4000k-kobi-premium?currency=PLN")</f>
        <v>https://b2b.kobi.pl/pl/product/10128,oprawa-liniowa-hermetyczna-led-negro-36w-4000k-kobi-premium?currency=PLN</v>
      </c>
      <c r="P251" s="34" t="str">
        <f>HYPERLINK("https://eprel.ec.europa.eu/qr/1822239")</f>
        <v>https://eprel.ec.europa.eu/qr/1822239</v>
      </c>
      <c r="Q251"/>
    </row>
    <row r="252" spans="1:17" ht="14.4" x14ac:dyDescent="0.3">
      <c r="A252" t="s">
        <v>10</v>
      </c>
      <c r="B252" t="s">
        <v>1316</v>
      </c>
      <c r="C252" t="s">
        <v>885</v>
      </c>
      <c r="D252" t="s">
        <v>1349</v>
      </c>
      <c r="E252" t="s">
        <v>1350</v>
      </c>
      <c r="F252" t="s">
        <v>837</v>
      </c>
      <c r="G252" s="35">
        <v>28.92</v>
      </c>
      <c r="H252" s="33">
        <f>G252*(1-IFERROR(VLOOKUP(F252,'enter the discount'!$D$10:$E$40,2,FALSE),0))</f>
        <v>28.92</v>
      </c>
      <c r="I252" s="35" t="s">
        <v>2594</v>
      </c>
      <c r="J252" s="33" t="s">
        <v>190</v>
      </c>
      <c r="K252" s="33" t="s">
        <v>2749</v>
      </c>
      <c r="L252">
        <v>16</v>
      </c>
      <c r="M252">
        <v>240</v>
      </c>
      <c r="N252" t="s">
        <v>2755</v>
      </c>
      <c r="O252" s="34" t="str">
        <f>HYPERLINK("https://b2b.kobi.pl/pl/product/10129,oprawa-liniowa-hermetyczna-led-negro-36w-6000k-kobi-premium?currency=PLN")</f>
        <v>https://b2b.kobi.pl/pl/product/10129,oprawa-liniowa-hermetyczna-led-negro-36w-6000k-kobi-premium?currency=PLN</v>
      </c>
      <c r="P252" s="34" t="str">
        <f>HYPERLINK("https://eprel.ec.europa.eu/qr/1822222")</f>
        <v>https://eprel.ec.europa.eu/qr/1822222</v>
      </c>
      <c r="Q252"/>
    </row>
    <row r="253" spans="1:17" ht="14.4" x14ac:dyDescent="0.3">
      <c r="A253" t="s">
        <v>10</v>
      </c>
      <c r="B253" t="s">
        <v>1316</v>
      </c>
      <c r="C253" t="s">
        <v>885</v>
      </c>
      <c r="D253" t="s">
        <v>1351</v>
      </c>
      <c r="E253" t="s">
        <v>1352</v>
      </c>
      <c r="F253" t="s">
        <v>837</v>
      </c>
      <c r="G253" s="35">
        <v>44.7</v>
      </c>
      <c r="H253" s="33">
        <f>G253*(1-IFERROR(VLOOKUP(F253,'enter the discount'!$D$10:$E$40,2,FALSE),0))</f>
        <v>44.7</v>
      </c>
      <c r="I253" s="35" t="s">
        <v>2594</v>
      </c>
      <c r="J253" s="33" t="s">
        <v>730</v>
      </c>
      <c r="K253" s="33" t="s">
        <v>2749</v>
      </c>
      <c r="L253">
        <v>12</v>
      </c>
      <c r="M253"/>
      <c r="N253" t="s">
        <v>2755</v>
      </c>
      <c r="O253" s="34" t="str">
        <f>HYPERLINK("https://b2b.kobi.pl/pl/product/10130,oprawa-liniowa-hermetyczna-led-negro-60w-4000k-kobi-premium?currency=PLN")</f>
        <v>https://b2b.kobi.pl/pl/product/10130,oprawa-liniowa-hermetyczna-led-negro-60w-4000k-kobi-premium?currency=PLN</v>
      </c>
      <c r="P253" s="34" t="str">
        <f>HYPERLINK("https://eprel.ec.europa.eu/qr/1784068")</f>
        <v>https://eprel.ec.europa.eu/qr/1784068</v>
      </c>
      <c r="Q253"/>
    </row>
    <row r="254" spans="1:17" ht="14.4" x14ac:dyDescent="0.3">
      <c r="A254" t="s">
        <v>10</v>
      </c>
      <c r="B254" t="s">
        <v>1316</v>
      </c>
      <c r="C254" t="s">
        <v>1258</v>
      </c>
      <c r="D254" t="s">
        <v>1353</v>
      </c>
      <c r="E254" t="s">
        <v>1354</v>
      </c>
      <c r="F254" t="s">
        <v>837</v>
      </c>
      <c r="G254" s="35">
        <v>83.13</v>
      </c>
      <c r="H254" s="33">
        <f>G254*(1-IFERROR(VLOOKUP(F254,'enter the discount'!$D$10:$E$40,2,FALSE),0))</f>
        <v>83.13</v>
      </c>
      <c r="I254" s="35" t="s">
        <v>2595</v>
      </c>
      <c r="J254" s="33" t="s">
        <v>505</v>
      </c>
      <c r="K254" s="33" t="s">
        <v>2749</v>
      </c>
      <c r="L254">
        <v>9</v>
      </c>
      <c r="M254">
        <v>216</v>
      </c>
      <c r="N254" t="s">
        <v>2756</v>
      </c>
      <c r="O254" s="34" t="str">
        <f>HYPERLINK("https://b2b.kobi.pl/pl/product/9952,oprawa-linowa-led-koline-k1-20w-4000k-biala-kobi-pro?currency=PLN")</f>
        <v>https://b2b.kobi.pl/pl/product/9952,oprawa-linowa-led-koline-k1-20w-4000k-biala-kobi-pro?currency=PLN</v>
      </c>
      <c r="P254" s="34" t="str">
        <f>HYPERLINK("https://eprel.ec.europa.eu/qr/1774321")</f>
        <v>https://eprel.ec.europa.eu/qr/1774321</v>
      </c>
      <c r="Q254" t="s">
        <v>2775</v>
      </c>
    </row>
    <row r="255" spans="1:17" ht="14.4" x14ac:dyDescent="0.3">
      <c r="A255" t="s">
        <v>10</v>
      </c>
      <c r="B255" t="s">
        <v>1316</v>
      </c>
      <c r="C255" t="s">
        <v>1258</v>
      </c>
      <c r="D255" t="s">
        <v>1355</v>
      </c>
      <c r="E255" t="s">
        <v>1356</v>
      </c>
      <c r="F255" t="s">
        <v>837</v>
      </c>
      <c r="G255" s="35">
        <v>139.76</v>
      </c>
      <c r="H255" s="33">
        <f>G255*(1-IFERROR(VLOOKUP(F255,'enter the discount'!$D$10:$E$40,2,FALSE),0))</f>
        <v>139.76</v>
      </c>
      <c r="I255" s="35" t="s">
        <v>2595</v>
      </c>
      <c r="J255" s="33" t="s">
        <v>3</v>
      </c>
      <c r="K255" s="33" t="s">
        <v>2749</v>
      </c>
      <c r="L255">
        <v>9</v>
      </c>
      <c r="M255"/>
      <c r="N255" t="s">
        <v>2756</v>
      </c>
      <c r="O255"/>
      <c r="P255" s="34" t="str">
        <f>HYPERLINK("https://eprel.ec.europa.eu/qr/1774321")</f>
        <v>https://eprel.ec.europa.eu/qr/1774321</v>
      </c>
      <c r="Q255" t="s">
        <v>2775</v>
      </c>
    </row>
    <row r="256" spans="1:17" ht="14.4" x14ac:dyDescent="0.3">
      <c r="A256" t="s">
        <v>10</v>
      </c>
      <c r="B256" t="s">
        <v>1316</v>
      </c>
      <c r="C256" t="s">
        <v>1258</v>
      </c>
      <c r="D256" t="s">
        <v>1357</v>
      </c>
      <c r="E256" t="s">
        <v>1358</v>
      </c>
      <c r="F256" t="s">
        <v>837</v>
      </c>
      <c r="G256" s="35">
        <v>101.2</v>
      </c>
      <c r="H256" s="33">
        <f>G256*(1-IFERROR(VLOOKUP(F256,'enter the discount'!$D$10:$E$40,2,FALSE),0))</f>
        <v>101.2</v>
      </c>
      <c r="I256" s="35" t="s">
        <v>2595</v>
      </c>
      <c r="J256" s="33" t="s">
        <v>3</v>
      </c>
      <c r="K256" s="33" t="s">
        <v>2749</v>
      </c>
      <c r="L256">
        <v>9</v>
      </c>
      <c r="M256"/>
      <c r="N256" t="s">
        <v>2756</v>
      </c>
      <c r="O256"/>
      <c r="P256" s="34" t="str">
        <f>HYPERLINK("https://eprel.ec.europa.eu/qr/1774321")</f>
        <v>https://eprel.ec.europa.eu/qr/1774321</v>
      </c>
      <c r="Q256"/>
    </row>
    <row r="257" spans="1:17" ht="14.4" x14ac:dyDescent="0.3">
      <c r="A257" t="s">
        <v>10</v>
      </c>
      <c r="B257" t="s">
        <v>1316</v>
      </c>
      <c r="C257" t="s">
        <v>1258</v>
      </c>
      <c r="D257" t="s">
        <v>1359</v>
      </c>
      <c r="E257" t="s">
        <v>1360</v>
      </c>
      <c r="F257" t="s">
        <v>837</v>
      </c>
      <c r="G257" s="35">
        <v>83.13</v>
      </c>
      <c r="H257" s="33">
        <f>G257*(1-IFERROR(VLOOKUP(F257,'enter the discount'!$D$10:$E$40,2,FALSE),0))</f>
        <v>83.13</v>
      </c>
      <c r="I257" s="35" t="s">
        <v>2595</v>
      </c>
      <c r="J257" s="33" t="s">
        <v>506</v>
      </c>
      <c r="K257" s="33" t="s">
        <v>2749</v>
      </c>
      <c r="L257">
        <v>9</v>
      </c>
      <c r="M257">
        <v>216</v>
      </c>
      <c r="N257" t="s">
        <v>2756</v>
      </c>
      <c r="O257" s="34" t="str">
        <f>HYPERLINK("https://b2b.kobi.pl/pl/product/9955,oprawa-linowa-led-koline-k1-20w-4000k-czarna-kobi-pro?currency=PLN")</f>
        <v>https://b2b.kobi.pl/pl/product/9955,oprawa-linowa-led-koline-k1-20w-4000k-czarna-kobi-pro?currency=PLN</v>
      </c>
      <c r="P257" s="34" t="str">
        <f>HYPERLINK("https://eprel.ec.europa.eu/qr/1774321")</f>
        <v>https://eprel.ec.europa.eu/qr/1774321</v>
      </c>
      <c r="Q257" t="s">
        <v>2775</v>
      </c>
    </row>
    <row r="258" spans="1:17" ht="14.4" x14ac:dyDescent="0.3">
      <c r="A258" t="s">
        <v>10</v>
      </c>
      <c r="B258" t="s">
        <v>1316</v>
      </c>
      <c r="C258" t="s">
        <v>1258</v>
      </c>
      <c r="D258" t="s">
        <v>1361</v>
      </c>
      <c r="E258" t="s">
        <v>1362</v>
      </c>
      <c r="F258" t="s">
        <v>837</v>
      </c>
      <c r="G258" s="35">
        <v>139.76</v>
      </c>
      <c r="H258" s="33">
        <f>G258*(1-IFERROR(VLOOKUP(F258,'enter the discount'!$D$10:$E$40,2,FALSE),0))</f>
        <v>139.76</v>
      </c>
      <c r="I258" s="35" t="s">
        <v>2595</v>
      </c>
      <c r="J258" s="33" t="s">
        <v>3</v>
      </c>
      <c r="K258" s="33" t="s">
        <v>2749</v>
      </c>
      <c r="L258">
        <v>9</v>
      </c>
      <c r="M258"/>
      <c r="N258" t="s">
        <v>2756</v>
      </c>
      <c r="O258"/>
      <c r="P258" s="34" t="str">
        <f>HYPERLINK("https://eprel.ec.europa.eu/qr/1774321")</f>
        <v>https://eprel.ec.europa.eu/qr/1774321</v>
      </c>
      <c r="Q258"/>
    </row>
    <row r="259" spans="1:17" ht="14.4" x14ac:dyDescent="0.3">
      <c r="A259" t="s">
        <v>10</v>
      </c>
      <c r="B259" t="s">
        <v>1316</v>
      </c>
      <c r="C259" t="s">
        <v>1258</v>
      </c>
      <c r="D259" t="s">
        <v>1363</v>
      </c>
      <c r="E259" t="s">
        <v>1364</v>
      </c>
      <c r="F259" t="s">
        <v>837</v>
      </c>
      <c r="G259" s="35">
        <v>93.98</v>
      </c>
      <c r="H259" s="33">
        <f>G259*(1-IFERROR(VLOOKUP(F259,'enter the discount'!$D$10:$E$40,2,FALSE),0))</f>
        <v>93.98</v>
      </c>
      <c r="I259" s="35" t="s">
        <v>2598</v>
      </c>
      <c r="J259" s="33" t="s">
        <v>507</v>
      </c>
      <c r="K259" s="33" t="s">
        <v>2749</v>
      </c>
      <c r="L259">
        <v>9</v>
      </c>
      <c r="M259">
        <v>216</v>
      </c>
      <c r="N259" t="s">
        <v>2756</v>
      </c>
      <c r="O259" s="34" t="str">
        <f>HYPERLINK("https://b2b.kobi.pl/pl/product/9957,oprawa-linowa-led-koline-k1-40w-4000k-biala-kobi-pro?currency=PLN")</f>
        <v>https://b2b.kobi.pl/pl/product/9957,oprawa-linowa-led-koline-k1-40w-4000k-biala-kobi-pro?currency=PLN</v>
      </c>
      <c r="P259" s="34" t="str">
        <f>HYPERLINK("https://eprel.ec.europa.eu/qr/1774334")</f>
        <v>https://eprel.ec.europa.eu/qr/1774334</v>
      </c>
      <c r="Q259" t="s">
        <v>2775</v>
      </c>
    </row>
    <row r="260" spans="1:17" ht="14.4" x14ac:dyDescent="0.3">
      <c r="A260" t="s">
        <v>10</v>
      </c>
      <c r="B260" t="s">
        <v>1316</v>
      </c>
      <c r="C260" t="s">
        <v>1258</v>
      </c>
      <c r="D260" t="s">
        <v>1365</v>
      </c>
      <c r="E260" t="s">
        <v>1366</v>
      </c>
      <c r="F260" t="s">
        <v>837</v>
      </c>
      <c r="G260" s="35">
        <v>149.4</v>
      </c>
      <c r="H260" s="33">
        <f>G260*(1-IFERROR(VLOOKUP(F260,'enter the discount'!$D$10:$E$40,2,FALSE),0))</f>
        <v>149.4</v>
      </c>
      <c r="I260" s="35" t="s">
        <v>2598</v>
      </c>
      <c r="J260" s="33" t="s">
        <v>3</v>
      </c>
      <c r="K260" s="33" t="s">
        <v>2749</v>
      </c>
      <c r="L260">
        <v>9</v>
      </c>
      <c r="M260"/>
      <c r="N260" t="s">
        <v>2756</v>
      </c>
      <c r="O260"/>
      <c r="P260" s="34" t="str">
        <f>HYPERLINK("https://eprel.ec.europa.eu/qr/1774334")</f>
        <v>https://eprel.ec.europa.eu/qr/1774334</v>
      </c>
      <c r="Q260"/>
    </row>
    <row r="261" spans="1:17" ht="14.4" x14ac:dyDescent="0.3">
      <c r="A261" t="s">
        <v>10</v>
      </c>
      <c r="B261" t="s">
        <v>1316</v>
      </c>
      <c r="C261" t="s">
        <v>1258</v>
      </c>
      <c r="D261" t="s">
        <v>1367</v>
      </c>
      <c r="E261" t="s">
        <v>1368</v>
      </c>
      <c r="F261" t="s">
        <v>837</v>
      </c>
      <c r="G261" s="35">
        <v>110.84</v>
      </c>
      <c r="H261" s="33">
        <f>G261*(1-IFERROR(VLOOKUP(F261,'enter the discount'!$D$10:$E$40,2,FALSE),0))</f>
        <v>110.84</v>
      </c>
      <c r="I261" s="35" t="s">
        <v>2598</v>
      </c>
      <c r="J261" s="33" t="s">
        <v>3</v>
      </c>
      <c r="K261" s="33" t="s">
        <v>2749</v>
      </c>
      <c r="L261">
        <v>9</v>
      </c>
      <c r="M261"/>
      <c r="N261" t="s">
        <v>2756</v>
      </c>
      <c r="O261"/>
      <c r="P261" s="34" t="str">
        <f>HYPERLINK("https://eprel.ec.europa.eu/qr/1774334")</f>
        <v>https://eprel.ec.europa.eu/qr/1774334</v>
      </c>
      <c r="Q261"/>
    </row>
    <row r="262" spans="1:17" ht="14.4" x14ac:dyDescent="0.3">
      <c r="A262" t="s">
        <v>10</v>
      </c>
      <c r="B262" t="s">
        <v>1316</v>
      </c>
      <c r="C262" t="s">
        <v>1258</v>
      </c>
      <c r="D262" t="s">
        <v>1369</v>
      </c>
      <c r="E262" t="s">
        <v>1370</v>
      </c>
      <c r="F262" t="s">
        <v>837</v>
      </c>
      <c r="G262" s="35">
        <v>93.98</v>
      </c>
      <c r="H262" s="33">
        <f>G262*(1-IFERROR(VLOOKUP(F262,'enter the discount'!$D$10:$E$40,2,FALSE),0))</f>
        <v>93.98</v>
      </c>
      <c r="I262" s="35" t="s">
        <v>2598</v>
      </c>
      <c r="J262" s="33" t="s">
        <v>508</v>
      </c>
      <c r="K262" s="33" t="s">
        <v>2749</v>
      </c>
      <c r="L262">
        <v>9</v>
      </c>
      <c r="M262">
        <v>216</v>
      </c>
      <c r="N262" t="s">
        <v>2756</v>
      </c>
      <c r="O262" s="34" t="str">
        <f>HYPERLINK("https://b2b.kobi.pl/pl/product/9960,oprawa-linowa-led-koline-k1-40w-4000k-czarna-kobi-pro?currency=PLN")</f>
        <v>https://b2b.kobi.pl/pl/product/9960,oprawa-linowa-led-koline-k1-40w-4000k-czarna-kobi-pro?currency=PLN</v>
      </c>
      <c r="P262" s="34" t="str">
        <f>HYPERLINK("https://eprel.ec.europa.eu/qr/1774334")</f>
        <v>https://eprel.ec.europa.eu/qr/1774334</v>
      </c>
      <c r="Q262" t="s">
        <v>2775</v>
      </c>
    </row>
    <row r="263" spans="1:17" ht="14.4" x14ac:dyDescent="0.3">
      <c r="A263" t="s">
        <v>10</v>
      </c>
      <c r="B263" t="s">
        <v>1316</v>
      </c>
      <c r="C263" t="s">
        <v>1258</v>
      </c>
      <c r="D263" t="s">
        <v>1371</v>
      </c>
      <c r="E263" t="s">
        <v>1372</v>
      </c>
      <c r="F263" t="s">
        <v>837</v>
      </c>
      <c r="G263" s="35">
        <v>149.4</v>
      </c>
      <c r="H263" s="33">
        <f>G263*(1-IFERROR(VLOOKUP(F263,'enter the discount'!$D$10:$E$40,2,FALSE),0))</f>
        <v>149.4</v>
      </c>
      <c r="I263" s="35" t="s">
        <v>2598</v>
      </c>
      <c r="J263" s="33" t="s">
        <v>3</v>
      </c>
      <c r="K263" s="33" t="s">
        <v>2749</v>
      </c>
      <c r="L263">
        <v>9</v>
      </c>
      <c r="M263"/>
      <c r="N263" t="s">
        <v>2756</v>
      </c>
      <c r="O263"/>
      <c r="P263" s="34" t="str">
        <f>HYPERLINK("https://eprel.ec.europa.eu/qr/1774334")</f>
        <v>https://eprel.ec.europa.eu/qr/1774334</v>
      </c>
      <c r="Q263"/>
    </row>
    <row r="264" spans="1:17" ht="14.4" x14ac:dyDescent="0.3">
      <c r="A264" t="s">
        <v>10</v>
      </c>
      <c r="B264" t="s">
        <v>1316</v>
      </c>
      <c r="C264" t="s">
        <v>1258</v>
      </c>
      <c r="D264" t="s">
        <v>1373</v>
      </c>
      <c r="E264" t="s">
        <v>1374</v>
      </c>
      <c r="F264" t="s">
        <v>837</v>
      </c>
      <c r="G264" s="35">
        <v>106.56</v>
      </c>
      <c r="H264" s="33">
        <f>G264*(1-IFERROR(VLOOKUP(F264,'enter the discount'!$D$10:$E$40,2,FALSE),0))</f>
        <v>106.56</v>
      </c>
      <c r="I264" s="35" t="s">
        <v>2609</v>
      </c>
      <c r="J264" s="33" t="s">
        <v>2617</v>
      </c>
      <c r="K264" s="33" t="s">
        <v>2749</v>
      </c>
      <c r="L264">
        <v>9</v>
      </c>
      <c r="M264"/>
      <c r="N264" t="s">
        <v>2756</v>
      </c>
      <c r="O264" s="34" t="str">
        <f>HYPERLINK("https://b2b.kobi.pl/pl/product/12150,oprawa-liniowa-led-koline-k2-30w-3cct-ugr-19-biala-kobi-pro?currency=PLN")</f>
        <v>https://b2b.kobi.pl/pl/product/12150,oprawa-liniowa-led-koline-k2-30w-3cct-ugr-19-biala-kobi-pro?currency=PLN</v>
      </c>
      <c r="P264" s="34" t="str">
        <f>HYPERLINK("https://eprel.ec.europa.eu/qr/2221866")</f>
        <v>https://eprel.ec.europa.eu/qr/2221866</v>
      </c>
      <c r="Q264"/>
    </row>
    <row r="265" spans="1:17" ht="14.4" x14ac:dyDescent="0.3">
      <c r="A265" t="s">
        <v>10</v>
      </c>
      <c r="B265" t="s">
        <v>1316</v>
      </c>
      <c r="C265" t="s">
        <v>1258</v>
      </c>
      <c r="D265" t="s">
        <v>1375</v>
      </c>
      <c r="E265" t="s">
        <v>1376</v>
      </c>
      <c r="F265" t="s">
        <v>837</v>
      </c>
      <c r="G265" s="35">
        <v>106.56</v>
      </c>
      <c r="H265" s="33">
        <f>G265*(1-IFERROR(VLOOKUP(F265,'enter the discount'!$D$10:$E$40,2,FALSE),0))</f>
        <v>106.56</v>
      </c>
      <c r="I265" s="35" t="s">
        <v>2609</v>
      </c>
      <c r="J265" s="33" t="s">
        <v>2618</v>
      </c>
      <c r="K265" s="33" t="s">
        <v>2749</v>
      </c>
      <c r="L265">
        <v>9</v>
      </c>
      <c r="M265"/>
      <c r="N265" t="s">
        <v>2756</v>
      </c>
      <c r="O265" s="34" t="str">
        <f>HYPERLINK("https://b2b.kobi.pl/pl/product/12151,oprawa-liniowa-led-koline-k2-30w-3cct-ugr-19-czarna-kobi-pro?currency=PLN")</f>
        <v>https://b2b.kobi.pl/pl/product/12151,oprawa-liniowa-led-koline-k2-30w-3cct-ugr-19-czarna-kobi-pro?currency=PLN</v>
      </c>
      <c r="P265" s="34" t="str">
        <f>HYPERLINK("https://eprel.ec.europa.eu/qr/2221866")</f>
        <v>https://eprel.ec.europa.eu/qr/2221866</v>
      </c>
      <c r="Q265"/>
    </row>
    <row r="266" spans="1:17" ht="14.4" x14ac:dyDescent="0.3">
      <c r="A266" t="s">
        <v>10</v>
      </c>
      <c r="B266" t="s">
        <v>1316</v>
      </c>
      <c r="C266" t="s">
        <v>1258</v>
      </c>
      <c r="D266" t="s">
        <v>1377</v>
      </c>
      <c r="E266" t="s">
        <v>1378</v>
      </c>
      <c r="F266" t="s">
        <v>837</v>
      </c>
      <c r="G266" s="35">
        <v>99.06</v>
      </c>
      <c r="H266" s="33">
        <f>G266*(1-IFERROR(VLOOKUP(F266,'enter the discount'!$D$10:$E$40,2,FALSE),0))</f>
        <v>99.06</v>
      </c>
      <c r="I266" s="35" t="s">
        <v>2609</v>
      </c>
      <c r="J266" s="33" t="s">
        <v>2619</v>
      </c>
      <c r="K266" s="33" t="s">
        <v>2749</v>
      </c>
      <c r="L266">
        <v>9</v>
      </c>
      <c r="M266"/>
      <c r="N266" t="s">
        <v>2756</v>
      </c>
      <c r="O266" s="34" t="str">
        <f>HYPERLINK("https://b2b.kobi.pl/pl/product/12148,oprawa-liniowa-led-koline-k2-40w-3cct-biala-kobi-pro?currency=PLN")</f>
        <v>https://b2b.kobi.pl/pl/product/12148,oprawa-liniowa-led-koline-k2-40w-3cct-biala-kobi-pro?currency=PLN</v>
      </c>
      <c r="P266" s="34" t="str">
        <f>HYPERLINK("https://eprel.ec.europa.eu/qr/2221062")</f>
        <v>https://eprel.ec.europa.eu/qr/2221062</v>
      </c>
      <c r="Q266"/>
    </row>
    <row r="267" spans="1:17" ht="14.4" x14ac:dyDescent="0.3">
      <c r="A267" t="s">
        <v>10</v>
      </c>
      <c r="B267" t="s">
        <v>1316</v>
      </c>
      <c r="C267" t="s">
        <v>1258</v>
      </c>
      <c r="D267" t="s">
        <v>1379</v>
      </c>
      <c r="E267" t="s">
        <v>1380</v>
      </c>
      <c r="F267" t="s">
        <v>837</v>
      </c>
      <c r="G267" s="35">
        <v>93.71</v>
      </c>
      <c r="H267" s="33">
        <f>G267*(1-IFERROR(VLOOKUP(F267,'enter the discount'!$D$10:$E$40,2,FALSE),0))</f>
        <v>93.71</v>
      </c>
      <c r="I267" s="35" t="s">
        <v>2609</v>
      </c>
      <c r="J267" s="33" t="s">
        <v>2620</v>
      </c>
      <c r="K267" s="33" t="s">
        <v>2749</v>
      </c>
      <c r="L267">
        <v>9</v>
      </c>
      <c r="M267"/>
      <c r="N267" t="s">
        <v>2756</v>
      </c>
      <c r="O267" s="34" t="str">
        <f>HYPERLINK("https://b2b.kobi.pl/pl/product/12146,oprawa-liniowa-led-koline-k2-20w-3cct-biala-kobi-pro?currency=PLN")</f>
        <v>https://b2b.kobi.pl/pl/product/12146,oprawa-liniowa-led-koline-k2-20w-3cct-biala-kobi-pro?currency=PLN</v>
      </c>
      <c r="P267" s="34" t="str">
        <f>HYPERLINK("https://eprel.ec.europa.eu/qr/2221032")</f>
        <v>https://eprel.ec.europa.eu/qr/2221032</v>
      </c>
      <c r="Q267"/>
    </row>
    <row r="268" spans="1:17" ht="14.4" x14ac:dyDescent="0.3">
      <c r="A268" t="s">
        <v>10</v>
      </c>
      <c r="B268" t="s">
        <v>1316</v>
      </c>
      <c r="C268" t="s">
        <v>1258</v>
      </c>
      <c r="D268" t="s">
        <v>1381</v>
      </c>
      <c r="E268" t="s">
        <v>1382</v>
      </c>
      <c r="F268" t="s">
        <v>837</v>
      </c>
      <c r="G268" s="35">
        <v>93.71</v>
      </c>
      <c r="H268" s="33">
        <f>G268*(1-IFERROR(VLOOKUP(F268,'enter the discount'!$D$10:$E$40,2,FALSE),0))</f>
        <v>93.71</v>
      </c>
      <c r="I268" s="35" t="s">
        <v>2609</v>
      </c>
      <c r="J268" s="33" t="s">
        <v>2621</v>
      </c>
      <c r="K268" s="33" t="s">
        <v>2749</v>
      </c>
      <c r="L268">
        <v>9</v>
      </c>
      <c r="M268"/>
      <c r="N268" t="s">
        <v>2756</v>
      </c>
      <c r="O268" s="34" t="str">
        <f>HYPERLINK("https://b2b.kobi.pl/pl/product/12147,oprawa-liniowa-led-koline-k2-20w-3cct-czarna-kobi-pro?currency=PLN")</f>
        <v>https://b2b.kobi.pl/pl/product/12147,oprawa-liniowa-led-koline-k2-20w-3cct-czarna-kobi-pro?currency=PLN</v>
      </c>
      <c r="P268" s="34" t="str">
        <f>HYPERLINK("https://eprel.ec.europa.eu/qr/2221032")</f>
        <v>https://eprel.ec.europa.eu/qr/2221032</v>
      </c>
      <c r="Q268"/>
    </row>
    <row r="269" spans="1:17" ht="14.4" x14ac:dyDescent="0.3">
      <c r="A269" t="s">
        <v>10</v>
      </c>
      <c r="B269" t="s">
        <v>1316</v>
      </c>
      <c r="C269" t="s">
        <v>1258</v>
      </c>
      <c r="D269" t="s">
        <v>1383</v>
      </c>
      <c r="E269" t="s">
        <v>1384</v>
      </c>
      <c r="F269" t="s">
        <v>837</v>
      </c>
      <c r="G269" s="35">
        <v>99.06</v>
      </c>
      <c r="H269" s="33">
        <f>G269*(1-IFERROR(VLOOKUP(F269,'enter the discount'!$D$10:$E$40,2,FALSE),0))</f>
        <v>99.06</v>
      </c>
      <c r="I269" s="35" t="s">
        <v>2609</v>
      </c>
      <c r="J269" s="33" t="s">
        <v>2622</v>
      </c>
      <c r="K269" s="33" t="s">
        <v>2749</v>
      </c>
      <c r="L269">
        <v>9</v>
      </c>
      <c r="M269"/>
      <c r="N269" t="s">
        <v>2756</v>
      </c>
      <c r="O269" s="34" t="str">
        <f>HYPERLINK("https://b2b.kobi.pl/pl/product/12149,oprawa-liniowa-led-koline-k2-40w-3cct-czarna-kobi-pro?currency=PLN")</f>
        <v>https://b2b.kobi.pl/pl/product/12149,oprawa-liniowa-led-koline-k2-40w-3cct-czarna-kobi-pro?currency=PLN</v>
      </c>
      <c r="P269" s="34" t="str">
        <f>HYPERLINK("https://eprel.ec.europa.eu/qr/2221062")</f>
        <v>https://eprel.ec.europa.eu/qr/2221062</v>
      </c>
      <c r="Q269"/>
    </row>
    <row r="270" spans="1:17" ht="14.4" x14ac:dyDescent="0.3">
      <c r="A270" t="s">
        <v>10</v>
      </c>
      <c r="B270" t="s">
        <v>1316</v>
      </c>
      <c r="C270" t="s">
        <v>1258</v>
      </c>
      <c r="D270" t="s">
        <v>1385</v>
      </c>
      <c r="E270" t="s">
        <v>1386</v>
      </c>
      <c r="F270" t="s">
        <v>837</v>
      </c>
      <c r="G270" s="35">
        <v>74.430000000000007</v>
      </c>
      <c r="H270" s="33">
        <f>G270*(1-IFERROR(VLOOKUP(F270,'enter the discount'!$D$10:$E$40,2,FALSE),0))</f>
        <v>74.430000000000007</v>
      </c>
      <c r="I270" s="35" t="s">
        <v>2609</v>
      </c>
      <c r="J270" s="33" t="s">
        <v>2623</v>
      </c>
      <c r="K270" s="33" t="s">
        <v>2749</v>
      </c>
      <c r="L270">
        <v>5</v>
      </c>
      <c r="M270"/>
      <c r="N270" t="s">
        <v>2756</v>
      </c>
      <c r="O270" s="34" t="str">
        <f>HYPERLINK("https://b2b.kobi.pl/pl/product/12152,lacznik-x-do-led-koline-k2-bialy-kobi-pro?currency=PLN")</f>
        <v>https://b2b.kobi.pl/pl/product/12152,lacznik-x-do-led-koline-k2-bialy-kobi-pro?currency=PLN</v>
      </c>
      <c r="P270" s="34" t="str">
        <f>HYPERLINK("https://eprel.ec.europa.eu/qr/2225172")</f>
        <v>https://eprel.ec.europa.eu/qr/2225172</v>
      </c>
      <c r="Q270"/>
    </row>
    <row r="271" spans="1:17" ht="14.4" x14ac:dyDescent="0.3">
      <c r="A271" t="s">
        <v>10</v>
      </c>
      <c r="B271" t="s">
        <v>1316</v>
      </c>
      <c r="C271" t="s">
        <v>1258</v>
      </c>
      <c r="D271" t="s">
        <v>1387</v>
      </c>
      <c r="E271" t="s">
        <v>1388</v>
      </c>
      <c r="F271" t="s">
        <v>837</v>
      </c>
      <c r="G271" s="35">
        <v>74.430000000000007</v>
      </c>
      <c r="H271" s="33">
        <f>G271*(1-IFERROR(VLOOKUP(F271,'enter the discount'!$D$10:$E$40,2,FALSE),0))</f>
        <v>74.430000000000007</v>
      </c>
      <c r="I271" s="35" t="s">
        <v>2609</v>
      </c>
      <c r="J271" s="33" t="s">
        <v>2624</v>
      </c>
      <c r="K271" s="33" t="s">
        <v>2749</v>
      </c>
      <c r="L271">
        <v>5</v>
      </c>
      <c r="M271"/>
      <c r="N271" t="s">
        <v>2756</v>
      </c>
      <c r="O271" s="34" t="str">
        <f>HYPERLINK("https://b2b.kobi.pl/pl/product/12153,lacznik-x-do-led-koline-k2-czarny-kobi-pro?currency=PLN")</f>
        <v>https://b2b.kobi.pl/pl/product/12153,lacznik-x-do-led-koline-k2-czarny-kobi-pro?currency=PLN</v>
      </c>
      <c r="P271" s="34" t="str">
        <f>HYPERLINK("https://eprel.ec.europa.eu/qr/2225172")</f>
        <v>https://eprel.ec.europa.eu/qr/2225172</v>
      </c>
      <c r="Q271"/>
    </row>
    <row r="272" spans="1:17" ht="14.4" x14ac:dyDescent="0.3">
      <c r="A272" t="s">
        <v>10</v>
      </c>
      <c r="B272" t="s">
        <v>1316</v>
      </c>
      <c r="C272" t="s">
        <v>1258</v>
      </c>
      <c r="D272" t="s">
        <v>1389</v>
      </c>
      <c r="E272" t="s">
        <v>1390</v>
      </c>
      <c r="F272" t="s">
        <v>837</v>
      </c>
      <c r="G272" s="35">
        <v>63.72</v>
      </c>
      <c r="H272" s="33">
        <f>G272*(1-IFERROR(VLOOKUP(F272,'enter the discount'!$D$10:$E$40,2,FALSE),0))</f>
        <v>63.72</v>
      </c>
      <c r="I272" s="35" t="s">
        <v>2609</v>
      </c>
      <c r="J272" s="33" t="s">
        <v>2625</v>
      </c>
      <c r="K272" s="33" t="s">
        <v>2749</v>
      </c>
      <c r="L272">
        <v>5</v>
      </c>
      <c r="M272"/>
      <c r="N272" t="s">
        <v>2756</v>
      </c>
      <c r="O272" s="34" t="str">
        <f>HYPERLINK("https://b2b.kobi.pl/pl/product/12154,lacznik-t-do-led-koline-k2-bialy-kobi-pro?currency=PLN")</f>
        <v>https://b2b.kobi.pl/pl/product/12154,lacznik-t-do-led-koline-k2-bialy-kobi-pro?currency=PLN</v>
      </c>
      <c r="P272" s="34" t="str">
        <f>HYPERLINK("https://eprel.ec.europa.eu/qr/2225270")</f>
        <v>https://eprel.ec.europa.eu/qr/2225270</v>
      </c>
      <c r="Q272"/>
    </row>
    <row r="273" spans="1:17" ht="14.4" x14ac:dyDescent="0.3">
      <c r="A273" t="s">
        <v>10</v>
      </c>
      <c r="B273" t="s">
        <v>1316</v>
      </c>
      <c r="C273" t="s">
        <v>1258</v>
      </c>
      <c r="D273" t="s">
        <v>1391</v>
      </c>
      <c r="E273" t="s">
        <v>1392</v>
      </c>
      <c r="F273" t="s">
        <v>837</v>
      </c>
      <c r="G273" s="35">
        <v>63.72</v>
      </c>
      <c r="H273" s="33">
        <f>G273*(1-IFERROR(VLOOKUP(F273,'enter the discount'!$D$10:$E$40,2,FALSE),0))</f>
        <v>63.72</v>
      </c>
      <c r="I273" s="35" t="s">
        <v>2609</v>
      </c>
      <c r="J273" s="33" t="s">
        <v>2626</v>
      </c>
      <c r="K273" s="33" t="s">
        <v>2749</v>
      </c>
      <c r="L273">
        <v>5</v>
      </c>
      <c r="M273"/>
      <c r="N273" t="s">
        <v>2756</v>
      </c>
      <c r="O273" s="34" t="str">
        <f>HYPERLINK("https://b2b.kobi.pl/pl/product/12155,lacznik-t-do-led-koline-k2-czarny-kobi-pro?currency=PLN")</f>
        <v>https://b2b.kobi.pl/pl/product/12155,lacznik-t-do-led-koline-k2-czarny-kobi-pro?currency=PLN</v>
      </c>
      <c r="P273" s="34" t="str">
        <f>HYPERLINK("https://eprel.ec.europa.eu/qr/2225270")</f>
        <v>https://eprel.ec.europa.eu/qr/2225270</v>
      </c>
      <c r="Q273"/>
    </row>
    <row r="274" spans="1:17" ht="14.4" x14ac:dyDescent="0.3">
      <c r="A274" t="s">
        <v>10</v>
      </c>
      <c r="B274" t="s">
        <v>1316</v>
      </c>
      <c r="C274" t="s">
        <v>30</v>
      </c>
      <c r="D274" t="s">
        <v>1393</v>
      </c>
      <c r="E274" t="s">
        <v>1394</v>
      </c>
      <c r="F274" t="s">
        <v>837</v>
      </c>
      <c r="G274" s="35">
        <v>8.67</v>
      </c>
      <c r="H274" s="33">
        <f>G274*(1-IFERROR(VLOOKUP(F274,'enter the discount'!$D$10:$E$40,2,FALSE),0))</f>
        <v>8.67</v>
      </c>
      <c r="I274" s="35" t="s">
        <v>2609</v>
      </c>
      <c r="J274" s="33" t="s">
        <v>802</v>
      </c>
      <c r="K274" s="33" t="s">
        <v>2749</v>
      </c>
      <c r="L274"/>
      <c r="M274"/>
      <c r="N274" t="s">
        <v>2754</v>
      </c>
      <c r="O274" s="34" t="str">
        <f>HYPERLINK("https://b2b.kobi.pl/pl/product/12108,oprawa-hermetyczna-led-cortez-18w-4000k-ip65-led2b?currency=PLN")</f>
        <v>https://b2b.kobi.pl/pl/product/12108,oprawa-hermetyczna-led-cortez-18w-4000k-ip65-led2b?currency=PLN</v>
      </c>
      <c r="P274" t="s">
        <v>3</v>
      </c>
      <c r="Q274"/>
    </row>
    <row r="275" spans="1:17" ht="14.4" x14ac:dyDescent="0.3">
      <c r="A275" t="s">
        <v>10</v>
      </c>
      <c r="B275" t="s">
        <v>1316</v>
      </c>
      <c r="C275" t="s">
        <v>30</v>
      </c>
      <c r="D275" t="s">
        <v>1395</v>
      </c>
      <c r="E275" t="s">
        <v>1396</v>
      </c>
      <c r="F275" t="s">
        <v>837</v>
      </c>
      <c r="G275" s="35">
        <v>14.46</v>
      </c>
      <c r="H275" s="33">
        <f>G275*(1-IFERROR(VLOOKUP(F275,'enter the discount'!$D$10:$E$40,2,FALSE),0))</f>
        <v>14.46</v>
      </c>
      <c r="I275" s="35" t="s">
        <v>2609</v>
      </c>
      <c r="J275" s="33" t="s">
        <v>803</v>
      </c>
      <c r="K275" s="33" t="s">
        <v>2749</v>
      </c>
      <c r="L275"/>
      <c r="M275"/>
      <c r="N275" t="s">
        <v>2754</v>
      </c>
      <c r="O275" s="34" t="str">
        <f>HYPERLINK("https://b2b.kobi.pl/pl/product/12109,oprawa-hermetyczna-led-cortez-36w-4000k-ip65-led2b?currency=PLN")</f>
        <v>https://b2b.kobi.pl/pl/product/12109,oprawa-hermetyczna-led-cortez-36w-4000k-ip65-led2b?currency=PLN</v>
      </c>
      <c r="P275" t="s">
        <v>3</v>
      </c>
      <c r="Q275"/>
    </row>
    <row r="276" spans="1:17" ht="14.4" x14ac:dyDescent="0.3">
      <c r="A276" t="s">
        <v>10</v>
      </c>
      <c r="B276" t="s">
        <v>1316</v>
      </c>
      <c r="C276" t="s">
        <v>30</v>
      </c>
      <c r="D276" t="s">
        <v>1397</v>
      </c>
      <c r="E276" t="s">
        <v>1398</v>
      </c>
      <c r="F276" t="s">
        <v>837</v>
      </c>
      <c r="G276" s="35">
        <v>18.8</v>
      </c>
      <c r="H276" s="33">
        <f>G276*(1-IFERROR(VLOOKUP(F276,'enter the discount'!$D$10:$E$40,2,FALSE),0))</f>
        <v>18.8</v>
      </c>
      <c r="I276" s="35" t="s">
        <v>2609</v>
      </c>
      <c r="J276" s="33" t="s">
        <v>804</v>
      </c>
      <c r="K276" s="33" t="s">
        <v>2749</v>
      </c>
      <c r="L276"/>
      <c r="M276"/>
      <c r="N276" t="s">
        <v>2754</v>
      </c>
      <c r="O276" s="34" t="str">
        <f>HYPERLINK("https://b2b.kobi.pl/pl/product/12110,oprawa-hermetyczna-led-cortez-48w-4000k-ip65-led2b?currency=PLN")</f>
        <v>https://b2b.kobi.pl/pl/product/12110,oprawa-hermetyczna-led-cortez-48w-4000k-ip65-led2b?currency=PLN</v>
      </c>
      <c r="P276" t="s">
        <v>3</v>
      </c>
      <c r="Q276"/>
    </row>
    <row r="277" spans="1:17" ht="14.4" x14ac:dyDescent="0.3">
      <c r="A277" t="s">
        <v>10</v>
      </c>
      <c r="B277" t="s">
        <v>1316</v>
      </c>
      <c r="C277" t="s">
        <v>1321</v>
      </c>
      <c r="D277" t="s">
        <v>2760</v>
      </c>
      <c r="E277" t="s">
        <v>1399</v>
      </c>
      <c r="F277" t="s">
        <v>837</v>
      </c>
      <c r="G277" s="35">
        <v>118.22</v>
      </c>
      <c r="H277" s="33">
        <f>G277*(1-IFERROR(VLOOKUP(F277,'enter the discount'!$D$10:$E$40,2,FALSE),0))</f>
        <v>118.22</v>
      </c>
      <c r="I277" s="35" t="s">
        <v>2609</v>
      </c>
      <c r="J277" s="33" t="s">
        <v>2627</v>
      </c>
      <c r="K277" s="33" t="s">
        <v>2749</v>
      </c>
      <c r="L277">
        <v>2</v>
      </c>
      <c r="M277"/>
      <c r="N277" t="s">
        <v>2756</v>
      </c>
      <c r="O277"/>
      <c r="P277" s="34" t="str">
        <f>HYPERLINK("https://eprel.ec.europa.eu/qr/1159028")</f>
        <v>https://eprel.ec.europa.eu/qr/1159028</v>
      </c>
      <c r="Q277"/>
    </row>
    <row r="278" spans="1:17" ht="14.4" x14ac:dyDescent="0.3">
      <c r="A278" t="s">
        <v>10</v>
      </c>
      <c r="B278" t="s">
        <v>1316</v>
      </c>
      <c r="C278" t="s">
        <v>1321</v>
      </c>
      <c r="D278" t="s">
        <v>642</v>
      </c>
      <c r="E278" t="s">
        <v>1400</v>
      </c>
      <c r="F278" t="s">
        <v>837</v>
      </c>
      <c r="G278" s="35">
        <v>229.88</v>
      </c>
      <c r="H278" s="33">
        <f>G278*(1-IFERROR(VLOOKUP(F278,'enter the discount'!$D$10:$E$40,2,FALSE),0))</f>
        <v>229.88</v>
      </c>
      <c r="I278" s="35" t="s">
        <v>2598</v>
      </c>
      <c r="J278" s="33" t="s">
        <v>407</v>
      </c>
      <c r="K278" s="33" t="s">
        <v>2749</v>
      </c>
      <c r="L278">
        <v>1</v>
      </c>
      <c r="M278"/>
      <c r="N278" t="s">
        <v>2756</v>
      </c>
      <c r="O278"/>
      <c r="P278" s="34" t="str">
        <f>HYPERLINK("https://eprel.ec.europa.eu/qr/953680")</f>
        <v>https://eprel.ec.europa.eu/qr/953680</v>
      </c>
      <c r="Q278"/>
    </row>
    <row r="279" spans="1:17" ht="14.4" x14ac:dyDescent="0.3">
      <c r="A279" t="s">
        <v>10</v>
      </c>
      <c r="B279" t="s">
        <v>1316</v>
      </c>
      <c r="C279" t="s">
        <v>1321</v>
      </c>
      <c r="D279" t="s">
        <v>643</v>
      </c>
      <c r="E279" t="s">
        <v>1401</v>
      </c>
      <c r="F279" t="s">
        <v>837</v>
      </c>
      <c r="G279" s="35">
        <v>415.66</v>
      </c>
      <c r="H279" s="33">
        <f>G279*(1-IFERROR(VLOOKUP(F279,'enter the discount'!$D$10:$E$40,2,FALSE),0))</f>
        <v>415.66</v>
      </c>
      <c r="I279" s="35" t="s">
        <v>2598</v>
      </c>
      <c r="J279" s="33" t="s">
        <v>408</v>
      </c>
      <c r="K279" s="33" t="s">
        <v>2749</v>
      </c>
      <c r="L279">
        <v>1</v>
      </c>
      <c r="M279"/>
      <c r="N279" t="s">
        <v>2756</v>
      </c>
      <c r="O279"/>
      <c r="P279" s="34" t="str">
        <f>HYPERLINK("https://eprel.ec.europa.eu/qr/953694")</f>
        <v>https://eprel.ec.europa.eu/qr/953694</v>
      </c>
      <c r="Q279"/>
    </row>
    <row r="280" spans="1:17" ht="14.4" x14ac:dyDescent="0.3">
      <c r="A280" t="s">
        <v>10</v>
      </c>
      <c r="B280" t="s">
        <v>28</v>
      </c>
      <c r="C280" t="s">
        <v>30</v>
      </c>
      <c r="D280" t="s">
        <v>1402</v>
      </c>
      <c r="E280" t="s">
        <v>1403</v>
      </c>
      <c r="F280" t="s">
        <v>843</v>
      </c>
      <c r="G280" s="35">
        <v>7.93</v>
      </c>
      <c r="H280" s="33">
        <f>G280*(1-IFERROR(VLOOKUP(F280,'enter the discount'!$D$10:$E$40,2,FALSE),0))</f>
        <v>7.93</v>
      </c>
      <c r="I280" s="35" t="s">
        <v>2593</v>
      </c>
      <c r="J280" s="33" t="s">
        <v>478</v>
      </c>
      <c r="K280" s="33" t="s">
        <v>2749</v>
      </c>
      <c r="L280">
        <v>60</v>
      </c>
      <c r="M280">
        <v>1800</v>
      </c>
      <c r="N280" t="s">
        <v>2754</v>
      </c>
      <c r="O280" s="34" t="str">
        <f>HYPERLINK("https://b2b.kobi.pl/pl/product/9979,naswietlacz-led-mh-10w-3000k-ip65-czarny-led2b?currency=PLN")</f>
        <v>https://b2b.kobi.pl/pl/product/9979,naswietlacz-led-mh-10w-3000k-ip65-czarny-led2b?currency=PLN</v>
      </c>
      <c r="P280" s="34" t="str">
        <f>HYPERLINK("https://eprel.ec.europa.eu/qr/934475")</f>
        <v>https://eprel.ec.europa.eu/qr/934475</v>
      </c>
      <c r="Q280" t="s">
        <v>2775</v>
      </c>
    </row>
    <row r="281" spans="1:17" ht="14.4" x14ac:dyDescent="0.3">
      <c r="A281" t="s">
        <v>10</v>
      </c>
      <c r="B281" t="s">
        <v>28</v>
      </c>
      <c r="C281" t="s">
        <v>30</v>
      </c>
      <c r="D281" t="s">
        <v>1404</v>
      </c>
      <c r="E281" t="s">
        <v>1405</v>
      </c>
      <c r="F281" t="s">
        <v>843</v>
      </c>
      <c r="G281" s="35">
        <v>7.93</v>
      </c>
      <c r="H281" s="33">
        <f>G281*(1-IFERROR(VLOOKUP(F281,'enter the discount'!$D$10:$E$40,2,FALSE),0))</f>
        <v>7.93</v>
      </c>
      <c r="I281" s="35" t="s">
        <v>2593</v>
      </c>
      <c r="J281" s="33" t="s">
        <v>191</v>
      </c>
      <c r="K281" s="33" t="s">
        <v>2749</v>
      </c>
      <c r="L281">
        <v>60</v>
      </c>
      <c r="M281">
        <v>1800</v>
      </c>
      <c r="N281" t="s">
        <v>2754</v>
      </c>
      <c r="O281" s="34" t="str">
        <f>HYPERLINK("https://b2b.kobi.pl/pl/product/9980,naswietlacz-led-mh-10w-4000k-ip65-czarny-led2b?currency=PLN")</f>
        <v>https://b2b.kobi.pl/pl/product/9980,naswietlacz-led-mh-10w-4000k-ip65-czarny-led2b?currency=PLN</v>
      </c>
      <c r="P281" s="34" t="str">
        <f>HYPERLINK("https://eprel.ec.europa.eu/qr/760350")</f>
        <v>https://eprel.ec.europa.eu/qr/760350</v>
      </c>
      <c r="Q281"/>
    </row>
    <row r="282" spans="1:17" ht="14.4" x14ac:dyDescent="0.3">
      <c r="A282" t="s">
        <v>10</v>
      </c>
      <c r="B282" t="s">
        <v>28</v>
      </c>
      <c r="C282" t="s">
        <v>30</v>
      </c>
      <c r="D282" t="s">
        <v>1406</v>
      </c>
      <c r="E282" t="s">
        <v>1407</v>
      </c>
      <c r="F282" t="s">
        <v>843</v>
      </c>
      <c r="G282" s="35">
        <v>7.93</v>
      </c>
      <c r="H282" s="33">
        <f>G282*(1-IFERROR(VLOOKUP(F282,'enter the discount'!$D$10:$E$40,2,FALSE),0))</f>
        <v>7.93</v>
      </c>
      <c r="I282" s="35" t="s">
        <v>2593</v>
      </c>
      <c r="J282" s="33" t="s">
        <v>192</v>
      </c>
      <c r="K282" s="33" t="s">
        <v>2749</v>
      </c>
      <c r="L282">
        <v>60</v>
      </c>
      <c r="M282">
        <v>1800</v>
      </c>
      <c r="N282" t="s">
        <v>2754</v>
      </c>
      <c r="O282" s="34" t="str">
        <f>HYPERLINK("https://b2b.kobi.pl/pl/product/9982,naswietlacz-led-mh-10w-6500k-ip65-czarny-led2b?currency=PLN")</f>
        <v>https://b2b.kobi.pl/pl/product/9982,naswietlacz-led-mh-10w-6500k-ip65-czarny-led2b?currency=PLN</v>
      </c>
      <c r="P282" s="34" t="str">
        <f>HYPERLINK("https://eprel.ec.europa.eu/qr/760357")</f>
        <v>https://eprel.ec.europa.eu/qr/760357</v>
      </c>
      <c r="Q282"/>
    </row>
    <row r="283" spans="1:17" ht="14.4" x14ac:dyDescent="0.3">
      <c r="A283" t="s">
        <v>10</v>
      </c>
      <c r="B283" t="s">
        <v>28</v>
      </c>
      <c r="C283" t="s">
        <v>30</v>
      </c>
      <c r="D283" t="s">
        <v>1408</v>
      </c>
      <c r="E283" t="s">
        <v>1409</v>
      </c>
      <c r="F283" t="s">
        <v>843</v>
      </c>
      <c r="G283" s="35">
        <v>11.33</v>
      </c>
      <c r="H283" s="33">
        <f>G283*(1-IFERROR(VLOOKUP(F283,'enter the discount'!$D$10:$E$40,2,FALSE),0))</f>
        <v>11.33</v>
      </c>
      <c r="I283" s="35" t="s">
        <v>2593</v>
      </c>
      <c r="J283" s="33" t="s">
        <v>479</v>
      </c>
      <c r="K283" s="33" t="s">
        <v>2749</v>
      </c>
      <c r="L283">
        <v>40</v>
      </c>
      <c r="M283">
        <v>1600</v>
      </c>
      <c r="N283" t="s">
        <v>2754</v>
      </c>
      <c r="O283" s="34" t="str">
        <f>HYPERLINK("https://b2b.kobi.pl/pl/product/9984,naswietlacz-led-mh-20w-3000k-ip65-czarny-led2b?currency=PLN")</f>
        <v>https://b2b.kobi.pl/pl/product/9984,naswietlacz-led-mh-20w-3000k-ip65-czarny-led2b?currency=PLN</v>
      </c>
      <c r="P283" s="34" t="str">
        <f>HYPERLINK("https://eprel.ec.europa.eu/qr/941464")</f>
        <v>https://eprel.ec.europa.eu/qr/941464</v>
      </c>
      <c r="Q283" t="s">
        <v>2775</v>
      </c>
    </row>
    <row r="284" spans="1:17" ht="14.4" x14ac:dyDescent="0.3">
      <c r="A284" t="s">
        <v>10</v>
      </c>
      <c r="B284" t="s">
        <v>28</v>
      </c>
      <c r="C284" t="s">
        <v>30</v>
      </c>
      <c r="D284" t="s">
        <v>1410</v>
      </c>
      <c r="E284" t="s">
        <v>1411</v>
      </c>
      <c r="F284" t="s">
        <v>843</v>
      </c>
      <c r="G284" s="35">
        <v>11.33</v>
      </c>
      <c r="H284" s="33">
        <f>G284*(1-IFERROR(VLOOKUP(F284,'enter the discount'!$D$10:$E$40,2,FALSE),0))</f>
        <v>11.33</v>
      </c>
      <c r="I284" s="35" t="s">
        <v>2593</v>
      </c>
      <c r="J284" s="33" t="s">
        <v>193</v>
      </c>
      <c r="K284" s="33" t="s">
        <v>2749</v>
      </c>
      <c r="L284">
        <v>40</v>
      </c>
      <c r="M284">
        <v>1600</v>
      </c>
      <c r="N284" t="s">
        <v>2754</v>
      </c>
      <c r="O284" s="34" t="str">
        <f>HYPERLINK("https://b2b.kobi.pl/pl/product/9987,naswietlacz-led-mh-20w-6500k-ip65-czarny-led2b?currency=PLN")</f>
        <v>https://b2b.kobi.pl/pl/product/9987,naswietlacz-led-mh-20w-6500k-ip65-czarny-led2b?currency=PLN</v>
      </c>
      <c r="P284" s="34" t="str">
        <f>HYPERLINK("https://eprel.ec.europa.eu/qr/760361")</f>
        <v>https://eprel.ec.europa.eu/qr/760361</v>
      </c>
      <c r="Q284"/>
    </row>
    <row r="285" spans="1:17" ht="14.4" x14ac:dyDescent="0.3">
      <c r="A285" t="s">
        <v>10</v>
      </c>
      <c r="B285" t="s">
        <v>28</v>
      </c>
      <c r="C285" t="s">
        <v>30</v>
      </c>
      <c r="D285" t="s">
        <v>1412</v>
      </c>
      <c r="E285" t="s">
        <v>1413</v>
      </c>
      <c r="F285" t="s">
        <v>843</v>
      </c>
      <c r="G285" s="35">
        <v>22.29</v>
      </c>
      <c r="H285" s="33">
        <f>G285*(1-IFERROR(VLOOKUP(F285,'enter the discount'!$D$10:$E$40,2,FALSE),0))</f>
        <v>22.29</v>
      </c>
      <c r="I285" s="35" t="s">
        <v>2593</v>
      </c>
      <c r="J285" s="33" t="s">
        <v>480</v>
      </c>
      <c r="K285" s="33" t="s">
        <v>2749</v>
      </c>
      <c r="L285">
        <v>60</v>
      </c>
      <c r="M285">
        <v>960</v>
      </c>
      <c r="N285" t="s">
        <v>2754</v>
      </c>
      <c r="O285" s="34" t="str">
        <f>HYPERLINK("https://b2b.kobi.pl/pl/product/10000,naswietlaczz-czujnikiem-ruchu-led-mhc-10w-3000k-ip44-czarny-led2b?currency=PLN")</f>
        <v>https://b2b.kobi.pl/pl/product/10000,naswietlaczz-czujnikiem-ruchu-led-mhc-10w-3000k-ip44-czarny-led2b?currency=PLN</v>
      </c>
      <c r="P285" s="34" t="str">
        <f>HYPERLINK("https://eprel.ec.europa.eu/qr/941688")</f>
        <v>https://eprel.ec.europa.eu/qr/941688</v>
      </c>
      <c r="Q285" t="s">
        <v>2775</v>
      </c>
    </row>
    <row r="286" spans="1:17" ht="14.4" x14ac:dyDescent="0.3">
      <c r="A286" t="s">
        <v>10</v>
      </c>
      <c r="B286" t="s">
        <v>28</v>
      </c>
      <c r="C286" t="s">
        <v>30</v>
      </c>
      <c r="D286" t="s">
        <v>1414</v>
      </c>
      <c r="E286" t="s">
        <v>1415</v>
      </c>
      <c r="F286" t="s">
        <v>843</v>
      </c>
      <c r="G286" s="35">
        <v>22.29</v>
      </c>
      <c r="H286" s="33">
        <f>G286*(1-IFERROR(VLOOKUP(F286,'enter the discount'!$D$10:$E$40,2,FALSE),0))</f>
        <v>22.29</v>
      </c>
      <c r="I286" s="35" t="s">
        <v>2593</v>
      </c>
      <c r="J286" s="33" t="s">
        <v>203</v>
      </c>
      <c r="K286" s="33" t="s">
        <v>2749</v>
      </c>
      <c r="L286">
        <v>60</v>
      </c>
      <c r="M286">
        <v>960</v>
      </c>
      <c r="N286" t="s">
        <v>2754</v>
      </c>
      <c r="O286" s="34" t="str">
        <f>HYPERLINK("https://b2b.kobi.pl/pl/product/10001,naswietlaczz-czujnikiem-ruchu-led-mhc-10w-4000k-ip44-czarny-led2b?currency=PLN")</f>
        <v>https://b2b.kobi.pl/pl/product/10001,naswietlaczz-czujnikiem-ruchu-led-mhc-10w-4000k-ip44-czarny-led2b?currency=PLN</v>
      </c>
      <c r="P286" s="34" t="str">
        <f>HYPERLINK("https://eprel.ec.europa.eu/qr/760375")</f>
        <v>https://eprel.ec.europa.eu/qr/760375</v>
      </c>
      <c r="Q286"/>
    </row>
    <row r="287" spans="1:17" ht="14.4" x14ac:dyDescent="0.3">
      <c r="A287" t="s">
        <v>10</v>
      </c>
      <c r="B287" t="s">
        <v>28</v>
      </c>
      <c r="C287" t="s">
        <v>30</v>
      </c>
      <c r="D287" t="s">
        <v>1416</v>
      </c>
      <c r="E287" t="s">
        <v>1417</v>
      </c>
      <c r="F287" t="s">
        <v>843</v>
      </c>
      <c r="G287" s="35">
        <v>22.29</v>
      </c>
      <c r="H287" s="33">
        <f>G287*(1-IFERROR(VLOOKUP(F287,'enter the discount'!$D$10:$E$40,2,FALSE),0))</f>
        <v>22.29</v>
      </c>
      <c r="I287" s="35" t="s">
        <v>2593</v>
      </c>
      <c r="J287" s="33" t="s">
        <v>204</v>
      </c>
      <c r="K287" s="33" t="s">
        <v>2749</v>
      </c>
      <c r="L287">
        <v>60</v>
      </c>
      <c r="M287">
        <v>960</v>
      </c>
      <c r="N287" t="s">
        <v>2754</v>
      </c>
      <c r="O287" s="34" t="str">
        <f>HYPERLINK("https://b2b.kobi.pl/pl/product/10003,naswietlacz-z-czujnikiem-ruchu-led-mhc-10w-6500k-ip44-czarny-led2b?currency=PLN")</f>
        <v>https://b2b.kobi.pl/pl/product/10003,naswietlacz-z-czujnikiem-ruchu-led-mhc-10w-6500k-ip44-czarny-led2b?currency=PLN</v>
      </c>
      <c r="P287" s="34" t="str">
        <f>HYPERLINK("https://eprel.ec.europa.eu/qr/760379")</f>
        <v>https://eprel.ec.europa.eu/qr/760379</v>
      </c>
      <c r="Q287"/>
    </row>
    <row r="288" spans="1:17" ht="14.4" x14ac:dyDescent="0.3">
      <c r="A288" t="s">
        <v>10</v>
      </c>
      <c r="B288" t="s">
        <v>28</v>
      </c>
      <c r="C288" t="s">
        <v>30</v>
      </c>
      <c r="D288" t="s">
        <v>1418</v>
      </c>
      <c r="E288" t="s">
        <v>1419</v>
      </c>
      <c r="F288" t="s">
        <v>843</v>
      </c>
      <c r="G288" s="35">
        <v>30.6</v>
      </c>
      <c r="H288" s="33">
        <f>G288*(1-IFERROR(VLOOKUP(F288,'enter the discount'!$D$10:$E$40,2,FALSE),0))</f>
        <v>30.6</v>
      </c>
      <c r="I288" s="35" t="s">
        <v>2593</v>
      </c>
      <c r="J288" s="33" t="s">
        <v>205</v>
      </c>
      <c r="K288" s="33" t="s">
        <v>2749</v>
      </c>
      <c r="L288">
        <v>20</v>
      </c>
      <c r="M288">
        <v>480</v>
      </c>
      <c r="N288" t="s">
        <v>2754</v>
      </c>
      <c r="O288" s="34" t="str">
        <f>HYPERLINK("https://b2b.kobi.pl/pl/product/10013,naswietlacz-z-czujnikiem-ruchu-led-mhc-30w-6500k-ip44-czarny-led2b?currency=PLN")</f>
        <v>https://b2b.kobi.pl/pl/product/10013,naswietlacz-z-czujnikiem-ruchu-led-mhc-30w-6500k-ip44-czarny-led2b?currency=PLN</v>
      </c>
      <c r="P288" s="34" t="str">
        <f>HYPERLINK("https://eprel.ec.europa.eu/qr/760445")</f>
        <v>https://eprel.ec.europa.eu/qr/760445</v>
      </c>
      <c r="Q288"/>
    </row>
    <row r="289" spans="1:17" ht="14.4" x14ac:dyDescent="0.3">
      <c r="A289" t="s">
        <v>10</v>
      </c>
      <c r="B289" t="s">
        <v>28</v>
      </c>
      <c r="C289" t="s">
        <v>30</v>
      </c>
      <c r="D289" t="s">
        <v>1420</v>
      </c>
      <c r="E289" t="s">
        <v>1421</v>
      </c>
      <c r="F289" t="s">
        <v>843</v>
      </c>
      <c r="G289" s="35">
        <v>35.659999999999997</v>
      </c>
      <c r="H289" s="33">
        <f>G289*(1-IFERROR(VLOOKUP(F289,'enter the discount'!$D$10:$E$40,2,FALSE),0))</f>
        <v>35.659999999999997</v>
      </c>
      <c r="I289" s="35" t="s">
        <v>2593</v>
      </c>
      <c r="J289" s="33" t="s">
        <v>481</v>
      </c>
      <c r="K289" s="33" t="s">
        <v>2749</v>
      </c>
      <c r="L289">
        <v>20</v>
      </c>
      <c r="M289">
        <v>400</v>
      </c>
      <c r="N289" t="s">
        <v>2754</v>
      </c>
      <c r="O289" s="34" t="str">
        <f>HYPERLINK("https://b2b.kobi.pl/pl/product/10015,naswietlacz-z-czujnikiem-ruchu-led-mhc-50w-3000k-ip44-czarny-led2b?currency=PLN")</f>
        <v>https://b2b.kobi.pl/pl/product/10015,naswietlacz-z-czujnikiem-ruchu-led-mhc-50w-3000k-ip44-czarny-led2b?currency=PLN</v>
      </c>
      <c r="P289" s="34" t="str">
        <f>HYPERLINK("https://eprel.ec.europa.eu/qr/943719")</f>
        <v>https://eprel.ec.europa.eu/qr/943719</v>
      </c>
      <c r="Q289" t="s">
        <v>2775</v>
      </c>
    </row>
    <row r="290" spans="1:17" ht="14.4" x14ac:dyDescent="0.3">
      <c r="A290" t="s">
        <v>10</v>
      </c>
      <c r="B290" t="s">
        <v>28</v>
      </c>
      <c r="C290" t="s">
        <v>860</v>
      </c>
      <c r="D290" t="s">
        <v>1422</v>
      </c>
      <c r="E290" t="s">
        <v>1423</v>
      </c>
      <c r="F290" t="s">
        <v>843</v>
      </c>
      <c r="G290" s="35">
        <v>4.55</v>
      </c>
      <c r="H290" s="33">
        <f>G290*(1-IFERROR(VLOOKUP(F290,'enter the discount'!$D$10:$E$40,2,FALSE),0))</f>
        <v>4.55</v>
      </c>
      <c r="I290" s="35" t="s">
        <v>2593</v>
      </c>
      <c r="J290" s="33" t="s">
        <v>776</v>
      </c>
      <c r="K290" s="33" t="s">
        <v>2749</v>
      </c>
      <c r="L290">
        <v>40</v>
      </c>
      <c r="M290"/>
      <c r="N290" t="s">
        <v>2754</v>
      </c>
      <c r="O290" s="34" t="str">
        <f>HYPERLINK("https://b2b.kobi.pl/pl/product/9981,naswietlacz-led-mh-10w-4000k-ip65-czarny-led2b-red?currency=PLN")</f>
        <v>https://b2b.kobi.pl/pl/product/9981,naswietlacz-led-mh-10w-4000k-ip65-czarny-led2b-red?currency=PLN</v>
      </c>
      <c r="P290" s="34" t="str">
        <f>HYPERLINK("https://eprel.ec.europa.eu/qr/1984162")</f>
        <v>https://eprel.ec.europa.eu/qr/1984162</v>
      </c>
      <c r="Q290" t="s">
        <v>2775</v>
      </c>
    </row>
    <row r="291" spans="1:17" ht="14.4" x14ac:dyDescent="0.3">
      <c r="A291" t="s">
        <v>10</v>
      </c>
      <c r="B291" t="s">
        <v>28</v>
      </c>
      <c r="C291" t="s">
        <v>860</v>
      </c>
      <c r="D291" t="s">
        <v>1424</v>
      </c>
      <c r="E291" t="s">
        <v>1425</v>
      </c>
      <c r="F291" t="s">
        <v>843</v>
      </c>
      <c r="G291" s="35">
        <v>4.55</v>
      </c>
      <c r="H291" s="33">
        <f>G291*(1-IFERROR(VLOOKUP(F291,'enter the discount'!$D$10:$E$40,2,FALSE),0))</f>
        <v>4.55</v>
      </c>
      <c r="I291" s="35" t="s">
        <v>2593</v>
      </c>
      <c r="J291" s="33" t="s">
        <v>777</v>
      </c>
      <c r="K291" s="33" t="s">
        <v>2749</v>
      </c>
      <c r="L291">
        <v>40</v>
      </c>
      <c r="M291"/>
      <c r="N291" t="s">
        <v>2754</v>
      </c>
      <c r="O291" s="34" t="str">
        <f>HYPERLINK("https://b2b.kobi.pl/pl/product/9983,naswietlacz-led-mh-10w-6500k-ip65-czarny-led2b-red?currency=PLN")</f>
        <v>https://b2b.kobi.pl/pl/product/9983,naswietlacz-led-mh-10w-6500k-ip65-czarny-led2b-red?currency=PLN</v>
      </c>
      <c r="P291" s="34" t="str">
        <f>HYPERLINK("https://eprel.ec.europa.eu/qr/1984170")</f>
        <v>https://eprel.ec.europa.eu/qr/1984170</v>
      </c>
      <c r="Q291" t="s">
        <v>2775</v>
      </c>
    </row>
    <row r="292" spans="1:17" ht="14.4" x14ac:dyDescent="0.3">
      <c r="A292" t="s">
        <v>10</v>
      </c>
      <c r="B292" t="s">
        <v>28</v>
      </c>
      <c r="C292" t="s">
        <v>860</v>
      </c>
      <c r="D292" t="s">
        <v>1426</v>
      </c>
      <c r="E292" t="s">
        <v>1427</v>
      </c>
      <c r="F292" t="s">
        <v>843</v>
      </c>
      <c r="G292" s="35">
        <v>7.2</v>
      </c>
      <c r="H292" s="33">
        <f>G292*(1-IFERROR(VLOOKUP(F292,'enter the discount'!$D$10:$E$40,2,FALSE),0))</f>
        <v>7.2</v>
      </c>
      <c r="I292" s="35" t="s">
        <v>2593</v>
      </c>
      <c r="J292" s="33" t="s">
        <v>778</v>
      </c>
      <c r="K292" s="33" t="s">
        <v>2749</v>
      </c>
      <c r="L292">
        <v>20</v>
      </c>
      <c r="M292"/>
      <c r="N292" t="s">
        <v>2754</v>
      </c>
      <c r="O292" s="34" t="str">
        <f>HYPERLINK("https://b2b.kobi.pl/pl/product/9986,naswietlacz-led-mh-20w-4000k-ip65-czarny-led2b-red?currency=PLN")</f>
        <v>https://b2b.kobi.pl/pl/product/9986,naswietlacz-led-mh-20w-4000k-ip65-czarny-led2b-red?currency=PLN</v>
      </c>
      <c r="P292" s="34" t="str">
        <f>HYPERLINK("https://eprel.ec.europa.eu/qr/1984182")</f>
        <v>https://eprel.ec.europa.eu/qr/1984182</v>
      </c>
      <c r="Q292" t="s">
        <v>2775</v>
      </c>
    </row>
    <row r="293" spans="1:17" ht="14.4" x14ac:dyDescent="0.3">
      <c r="A293" t="s">
        <v>10</v>
      </c>
      <c r="B293" t="s">
        <v>28</v>
      </c>
      <c r="C293" t="s">
        <v>860</v>
      </c>
      <c r="D293" t="s">
        <v>1428</v>
      </c>
      <c r="E293" t="s">
        <v>1429</v>
      </c>
      <c r="F293" t="s">
        <v>843</v>
      </c>
      <c r="G293" s="35">
        <v>7.2</v>
      </c>
      <c r="H293" s="33">
        <f>G293*(1-IFERROR(VLOOKUP(F293,'enter the discount'!$D$10:$E$40,2,FALSE),0))</f>
        <v>7.2</v>
      </c>
      <c r="I293" s="35" t="s">
        <v>2593</v>
      </c>
      <c r="J293" s="33" t="s">
        <v>779</v>
      </c>
      <c r="K293" s="33" t="s">
        <v>2749</v>
      </c>
      <c r="L293">
        <v>20</v>
      </c>
      <c r="M293"/>
      <c r="N293" t="s">
        <v>2754</v>
      </c>
      <c r="O293" s="34" t="str">
        <f>HYPERLINK("https://b2b.kobi.pl/pl/product/9988,naswietlacz-led-mh-20w-6500k-ip65-czarny-led2b-red?currency=PLN")</f>
        <v>https://b2b.kobi.pl/pl/product/9988,naswietlacz-led-mh-20w-6500k-ip65-czarny-led2b-red?currency=PLN</v>
      </c>
      <c r="P293" s="34" t="str">
        <f>HYPERLINK("https://eprel.ec.europa.eu/qr/1984224")</f>
        <v>https://eprel.ec.europa.eu/qr/1984224</v>
      </c>
      <c r="Q293" t="s">
        <v>2775</v>
      </c>
    </row>
    <row r="294" spans="1:17" ht="14.4" x14ac:dyDescent="0.3">
      <c r="A294" t="s">
        <v>10</v>
      </c>
      <c r="B294" t="s">
        <v>28</v>
      </c>
      <c r="C294" t="s">
        <v>860</v>
      </c>
      <c r="D294" t="s">
        <v>1430</v>
      </c>
      <c r="E294" t="s">
        <v>1431</v>
      </c>
      <c r="F294" t="s">
        <v>843</v>
      </c>
      <c r="G294" s="35">
        <v>9.1999999999999993</v>
      </c>
      <c r="H294" s="33">
        <f>G294*(1-IFERROR(VLOOKUP(F294,'enter the discount'!$D$10:$E$40,2,FALSE),0))</f>
        <v>9.1999999999999993</v>
      </c>
      <c r="I294" s="35" t="s">
        <v>2593</v>
      </c>
      <c r="J294" s="33" t="s">
        <v>780</v>
      </c>
      <c r="K294" s="33" t="s">
        <v>2749</v>
      </c>
      <c r="L294">
        <v>20</v>
      </c>
      <c r="M294"/>
      <c r="N294" t="s">
        <v>2754</v>
      </c>
      <c r="O294" s="34" t="str">
        <f>HYPERLINK("https://b2b.kobi.pl/pl/product/9991,naswietlacz-led-mh-30w-4000k-ip65-czarny-led2b-red?currency=PLN")</f>
        <v>https://b2b.kobi.pl/pl/product/9991,naswietlacz-led-mh-30w-4000k-ip65-czarny-led2b-red?currency=PLN</v>
      </c>
      <c r="P294" s="34" t="str">
        <f>HYPERLINK("https://eprel.ec.europa.eu/qr/1984250")</f>
        <v>https://eprel.ec.europa.eu/qr/1984250</v>
      </c>
      <c r="Q294" t="s">
        <v>2775</v>
      </c>
    </row>
    <row r="295" spans="1:17" ht="14.4" x14ac:dyDescent="0.3">
      <c r="A295" t="s">
        <v>10</v>
      </c>
      <c r="B295" t="s">
        <v>28</v>
      </c>
      <c r="C295" t="s">
        <v>860</v>
      </c>
      <c r="D295" t="s">
        <v>1432</v>
      </c>
      <c r="E295" t="s">
        <v>1433</v>
      </c>
      <c r="F295" t="s">
        <v>843</v>
      </c>
      <c r="G295" s="35">
        <v>9.1999999999999993</v>
      </c>
      <c r="H295" s="33">
        <f>G295*(1-IFERROR(VLOOKUP(F295,'enter the discount'!$D$10:$E$40,2,FALSE),0))</f>
        <v>9.1999999999999993</v>
      </c>
      <c r="I295" s="35" t="s">
        <v>2593</v>
      </c>
      <c r="J295" s="33" t="s">
        <v>781</v>
      </c>
      <c r="K295" s="33" t="s">
        <v>2749</v>
      </c>
      <c r="L295">
        <v>20</v>
      </c>
      <c r="M295"/>
      <c r="N295" t="s">
        <v>2754</v>
      </c>
      <c r="O295" s="34" t="str">
        <f>HYPERLINK("https://b2b.kobi.pl/pl/product/9993,naswietlacz-led-mh-30w-6500k-ip65-czarny-led2b-red?currency=PLN")</f>
        <v>https://b2b.kobi.pl/pl/product/9993,naswietlacz-led-mh-30w-6500k-ip65-czarny-led2b-red?currency=PLN</v>
      </c>
      <c r="P295" s="34" t="str">
        <f>HYPERLINK("https://eprel.ec.europa.eu/qr/1984257")</f>
        <v>https://eprel.ec.europa.eu/qr/1984257</v>
      </c>
      <c r="Q295" t="s">
        <v>2775</v>
      </c>
    </row>
    <row r="296" spans="1:17" ht="14.4" x14ac:dyDescent="0.3">
      <c r="A296" t="s">
        <v>10</v>
      </c>
      <c r="B296" t="s">
        <v>28</v>
      </c>
      <c r="C296" t="s">
        <v>860</v>
      </c>
      <c r="D296" t="s">
        <v>1434</v>
      </c>
      <c r="E296" t="s">
        <v>1435</v>
      </c>
      <c r="F296" t="s">
        <v>843</v>
      </c>
      <c r="G296" s="35">
        <v>12.67</v>
      </c>
      <c r="H296" s="33">
        <f>G296*(1-IFERROR(VLOOKUP(F296,'enter the discount'!$D$10:$E$40,2,FALSE),0))</f>
        <v>12.67</v>
      </c>
      <c r="I296" s="35" t="s">
        <v>2593</v>
      </c>
      <c r="J296" s="33" t="s">
        <v>731</v>
      </c>
      <c r="K296" s="33" t="s">
        <v>2749</v>
      </c>
      <c r="L296">
        <v>20</v>
      </c>
      <c r="M296"/>
      <c r="N296" t="s">
        <v>2754</v>
      </c>
      <c r="O296" s="34" t="str">
        <f>HYPERLINK("https://b2b.kobi.pl/pl/product/9996,naswietlacz-led-mh-50w-4000k-ip65-czarny-led2b-red?currency=PLN")</f>
        <v>https://b2b.kobi.pl/pl/product/9996,naswietlacz-led-mh-50w-4000k-ip65-czarny-led2b-red?currency=PLN</v>
      </c>
      <c r="P296" s="34" t="str">
        <f>HYPERLINK("https://eprel.ec.europa.eu/qr/1984267")</f>
        <v>https://eprel.ec.europa.eu/qr/1984267</v>
      </c>
      <c r="Q296" t="s">
        <v>2775</v>
      </c>
    </row>
    <row r="297" spans="1:17" ht="14.4" x14ac:dyDescent="0.3">
      <c r="A297" t="s">
        <v>10</v>
      </c>
      <c r="B297" t="s">
        <v>28</v>
      </c>
      <c r="C297" t="s">
        <v>860</v>
      </c>
      <c r="D297" t="s">
        <v>1436</v>
      </c>
      <c r="E297" t="s">
        <v>1437</v>
      </c>
      <c r="F297" t="s">
        <v>843</v>
      </c>
      <c r="G297" s="35">
        <v>12.67</v>
      </c>
      <c r="H297" s="33">
        <f>G297*(1-IFERROR(VLOOKUP(F297,'enter the discount'!$D$10:$E$40,2,FALSE),0))</f>
        <v>12.67</v>
      </c>
      <c r="I297" s="35" t="s">
        <v>2593</v>
      </c>
      <c r="J297" s="33" t="s">
        <v>732</v>
      </c>
      <c r="K297" s="33" t="s">
        <v>2749</v>
      </c>
      <c r="L297">
        <v>20</v>
      </c>
      <c r="M297"/>
      <c r="N297" t="s">
        <v>2754</v>
      </c>
      <c r="O297" s="34" t="str">
        <f>HYPERLINK("https://b2b.kobi.pl/pl/product/9998,naswietlacz-led-mh-50w-6500k-ip65-czarny-led2b-red?currency=PLN")</f>
        <v>https://b2b.kobi.pl/pl/product/9998,naswietlacz-led-mh-50w-6500k-ip65-czarny-led2b-red?currency=PLN</v>
      </c>
      <c r="P297" s="34" t="str">
        <f>HYPERLINK("https://eprel.ec.europa.eu/qr/1984365")</f>
        <v>https://eprel.ec.europa.eu/qr/1984365</v>
      </c>
      <c r="Q297" t="s">
        <v>2775</v>
      </c>
    </row>
    <row r="298" spans="1:17" ht="14.4" x14ac:dyDescent="0.3">
      <c r="A298" t="s">
        <v>10</v>
      </c>
      <c r="B298" t="s">
        <v>28</v>
      </c>
      <c r="C298" t="s">
        <v>860</v>
      </c>
      <c r="D298" t="s">
        <v>1438</v>
      </c>
      <c r="E298" t="s">
        <v>1439</v>
      </c>
      <c r="F298" t="s">
        <v>843</v>
      </c>
      <c r="G298" s="35">
        <v>22.62</v>
      </c>
      <c r="H298" s="33">
        <f>G298*(1-IFERROR(VLOOKUP(F298,'enter the discount'!$D$10:$E$40,2,FALSE),0))</f>
        <v>22.62</v>
      </c>
      <c r="I298" s="35" t="s">
        <v>2593</v>
      </c>
      <c r="J298" s="33" t="s">
        <v>782</v>
      </c>
      <c r="K298" s="33" t="s">
        <v>2749</v>
      </c>
      <c r="L298">
        <v>8</v>
      </c>
      <c r="M298"/>
      <c r="N298" t="s">
        <v>2754</v>
      </c>
      <c r="O298" s="34" t="str">
        <f>HYPERLINK("https://b2b.kobi.pl/pl/product/9976,naswietlacz-led-mh-100w-4000k-ip65-czarny-led2b-red?currency=PLN")</f>
        <v>https://b2b.kobi.pl/pl/product/9976,naswietlacz-led-mh-100w-4000k-ip65-czarny-led2b-red?currency=PLN</v>
      </c>
      <c r="P298" s="34" t="str">
        <f>HYPERLINK("https://eprel.ec.europa.eu/qr/1984540")</f>
        <v>https://eprel.ec.europa.eu/qr/1984540</v>
      </c>
      <c r="Q298" t="s">
        <v>2775</v>
      </c>
    </row>
    <row r="299" spans="1:17" ht="14.4" x14ac:dyDescent="0.3">
      <c r="A299" t="s">
        <v>10</v>
      </c>
      <c r="B299" t="s">
        <v>28</v>
      </c>
      <c r="C299" t="s">
        <v>860</v>
      </c>
      <c r="D299" t="s">
        <v>1440</v>
      </c>
      <c r="E299" t="s">
        <v>1441</v>
      </c>
      <c r="F299" t="s">
        <v>843</v>
      </c>
      <c r="G299" s="35">
        <v>22.62</v>
      </c>
      <c r="H299" s="33">
        <f>G299*(1-IFERROR(VLOOKUP(F299,'enter the discount'!$D$10:$E$40,2,FALSE),0))</f>
        <v>22.62</v>
      </c>
      <c r="I299" s="35" t="s">
        <v>2593</v>
      </c>
      <c r="J299" s="33" t="s">
        <v>783</v>
      </c>
      <c r="K299" s="33" t="s">
        <v>2749</v>
      </c>
      <c r="L299">
        <v>8</v>
      </c>
      <c r="M299"/>
      <c r="N299" t="s">
        <v>2754</v>
      </c>
      <c r="O299" s="34" t="str">
        <f>HYPERLINK("https://b2b.kobi.pl/pl/product/9978,naswietlacz-led-mh-100w-6500k-ip65-czarny-led2b-red?currency=PLN")</f>
        <v>https://b2b.kobi.pl/pl/product/9978,naswietlacz-led-mh-100w-6500k-ip65-czarny-led2b-red?currency=PLN</v>
      </c>
      <c r="P299" s="34" t="str">
        <f>HYPERLINK("https://eprel.ec.europa.eu/qr/1984570")</f>
        <v>https://eprel.ec.europa.eu/qr/1984570</v>
      </c>
      <c r="Q299" t="s">
        <v>2775</v>
      </c>
    </row>
    <row r="300" spans="1:17" ht="14.4" x14ac:dyDescent="0.3">
      <c r="A300" t="s">
        <v>10</v>
      </c>
      <c r="B300" t="s">
        <v>28</v>
      </c>
      <c r="C300" t="s">
        <v>860</v>
      </c>
      <c r="D300" t="s">
        <v>1442</v>
      </c>
      <c r="E300" t="s">
        <v>1443</v>
      </c>
      <c r="F300" t="s">
        <v>843</v>
      </c>
      <c r="G300" s="35">
        <v>12.05</v>
      </c>
      <c r="H300" s="33">
        <f>G300*(1-IFERROR(VLOOKUP(F300,'enter the discount'!$D$10:$E$40,2,FALSE),0))</f>
        <v>12.05</v>
      </c>
      <c r="I300" s="35" t="s">
        <v>2593</v>
      </c>
      <c r="J300" s="33" t="s">
        <v>784</v>
      </c>
      <c r="K300" s="33" t="s">
        <v>2749</v>
      </c>
      <c r="L300">
        <v>20</v>
      </c>
      <c r="M300"/>
      <c r="N300" t="s">
        <v>2754</v>
      </c>
      <c r="O300" s="34" t="str">
        <f>HYPERLINK("https://b2b.kobi.pl/pl/product/10002,naswietlacz-z-czujnikiem-ruchu-led-mhc-10w-4000k-ip44-czarny-led2b-red?currency=PLN")</f>
        <v>https://b2b.kobi.pl/pl/product/10002,naswietlacz-z-czujnikiem-ruchu-led-mhc-10w-4000k-ip44-czarny-led2b-red?currency=PLN</v>
      </c>
      <c r="P300" s="34" t="str">
        <f>HYPERLINK("https://eprel.ec.europa.eu/qr/1988260")</f>
        <v>https://eprel.ec.europa.eu/qr/1988260</v>
      </c>
      <c r="Q300" t="s">
        <v>2775</v>
      </c>
    </row>
    <row r="301" spans="1:17" ht="14.4" x14ac:dyDescent="0.3">
      <c r="A301" t="s">
        <v>10</v>
      </c>
      <c r="B301" t="s">
        <v>28</v>
      </c>
      <c r="C301" t="s">
        <v>860</v>
      </c>
      <c r="D301" t="s">
        <v>1444</v>
      </c>
      <c r="E301" t="s">
        <v>1445</v>
      </c>
      <c r="F301" t="s">
        <v>843</v>
      </c>
      <c r="G301" s="35">
        <v>12.05</v>
      </c>
      <c r="H301" s="33">
        <f>G301*(1-IFERROR(VLOOKUP(F301,'enter the discount'!$D$10:$E$40,2,FALSE),0))</f>
        <v>12.05</v>
      </c>
      <c r="I301" s="35" t="s">
        <v>2593</v>
      </c>
      <c r="J301" s="33" t="s">
        <v>785</v>
      </c>
      <c r="K301" s="33" t="s">
        <v>2749</v>
      </c>
      <c r="L301">
        <v>20</v>
      </c>
      <c r="M301"/>
      <c r="N301" t="s">
        <v>2754</v>
      </c>
      <c r="O301" s="34" t="str">
        <f>HYPERLINK("https://b2b.kobi.pl/pl/product/10004,naswietlacz-z-czujnikiem-ruchu-led-mhc-10w-6500k-ip44-czarny-led2b-red?currency=PLN")</f>
        <v>https://b2b.kobi.pl/pl/product/10004,naswietlacz-z-czujnikiem-ruchu-led-mhc-10w-6500k-ip44-czarny-led2b-red?currency=PLN</v>
      </c>
      <c r="P301" s="34" t="str">
        <f>HYPERLINK("https://eprel.ec.europa.eu/qr/1988276")</f>
        <v>https://eprel.ec.europa.eu/qr/1988276</v>
      </c>
      <c r="Q301" t="s">
        <v>2775</v>
      </c>
    </row>
    <row r="302" spans="1:17" ht="14.4" x14ac:dyDescent="0.3">
      <c r="A302" t="s">
        <v>10</v>
      </c>
      <c r="B302" t="s">
        <v>28</v>
      </c>
      <c r="C302" t="s">
        <v>860</v>
      </c>
      <c r="D302" t="s">
        <v>1446</v>
      </c>
      <c r="E302" t="s">
        <v>1447</v>
      </c>
      <c r="F302" t="s">
        <v>843</v>
      </c>
      <c r="G302" s="35">
        <v>15.65</v>
      </c>
      <c r="H302" s="33">
        <f>G302*(1-IFERROR(VLOOKUP(F302,'enter the discount'!$D$10:$E$40,2,FALSE),0))</f>
        <v>15.65</v>
      </c>
      <c r="I302" s="35" t="s">
        <v>2593</v>
      </c>
      <c r="J302" s="33" t="s">
        <v>786</v>
      </c>
      <c r="K302" s="33" t="s">
        <v>2749</v>
      </c>
      <c r="L302">
        <v>20</v>
      </c>
      <c r="M302"/>
      <c r="N302" t="s">
        <v>2754</v>
      </c>
      <c r="O302" s="34" t="str">
        <f>HYPERLINK("https://b2b.kobi.pl/pl/product/10007,naswietlacz-z-czujnikiem-ruchu-led-mhc-20w-4000k-ip44-czarny-led2b-red?currency=PLN")</f>
        <v>https://b2b.kobi.pl/pl/product/10007,naswietlacz-z-czujnikiem-ruchu-led-mhc-20w-4000k-ip44-czarny-led2b-red?currency=PLN</v>
      </c>
      <c r="P302" s="34" t="str">
        <f>HYPERLINK("https://eprel.ec.europa.eu/qr/1988366")</f>
        <v>https://eprel.ec.europa.eu/qr/1988366</v>
      </c>
      <c r="Q302" t="s">
        <v>2775</v>
      </c>
    </row>
    <row r="303" spans="1:17" ht="14.4" x14ac:dyDescent="0.3">
      <c r="A303" t="s">
        <v>10</v>
      </c>
      <c r="B303" t="s">
        <v>28</v>
      </c>
      <c r="C303" t="s">
        <v>860</v>
      </c>
      <c r="D303" t="s">
        <v>1448</v>
      </c>
      <c r="E303" t="s">
        <v>1449</v>
      </c>
      <c r="F303" t="s">
        <v>843</v>
      </c>
      <c r="G303" s="35">
        <v>15.65</v>
      </c>
      <c r="H303" s="33">
        <f>G303*(1-IFERROR(VLOOKUP(F303,'enter the discount'!$D$10:$E$40,2,FALSE),0))</f>
        <v>15.65</v>
      </c>
      <c r="I303" s="35" t="s">
        <v>2593</v>
      </c>
      <c r="J303" s="33" t="s">
        <v>787</v>
      </c>
      <c r="K303" s="33" t="s">
        <v>2749</v>
      </c>
      <c r="L303">
        <v>20</v>
      </c>
      <c r="M303"/>
      <c r="N303" t="s">
        <v>2754</v>
      </c>
      <c r="O303" s="34" t="str">
        <f>HYPERLINK("https://b2b.kobi.pl/pl/product/10009,naswietlaczz-czujnikiem-ruchu-led-mhc-20w-6500k-ip44-czarny-led2b-red?currency=PLN")</f>
        <v>https://b2b.kobi.pl/pl/product/10009,naswietlaczz-czujnikiem-ruchu-led-mhc-20w-6500k-ip44-czarny-led2b-red?currency=PLN</v>
      </c>
      <c r="P303" s="34" t="str">
        <f>HYPERLINK("https://eprel.ec.europa.eu/qr/1988379")</f>
        <v>https://eprel.ec.europa.eu/qr/1988379</v>
      </c>
      <c r="Q303" t="s">
        <v>2775</v>
      </c>
    </row>
    <row r="304" spans="1:17" ht="14.4" x14ac:dyDescent="0.3">
      <c r="A304" t="s">
        <v>10</v>
      </c>
      <c r="B304" t="s">
        <v>28</v>
      </c>
      <c r="C304" t="s">
        <v>860</v>
      </c>
      <c r="D304" t="s">
        <v>1450</v>
      </c>
      <c r="E304" t="s">
        <v>1451</v>
      </c>
      <c r="F304" t="s">
        <v>843</v>
      </c>
      <c r="G304" s="35">
        <v>17.649999999999999</v>
      </c>
      <c r="H304" s="33">
        <f>G304*(1-IFERROR(VLOOKUP(F304,'enter the discount'!$D$10:$E$40,2,FALSE),0))</f>
        <v>17.649999999999999</v>
      </c>
      <c r="I304" s="35" t="s">
        <v>2593</v>
      </c>
      <c r="J304" s="33" t="s">
        <v>788</v>
      </c>
      <c r="K304" s="33" t="s">
        <v>2749</v>
      </c>
      <c r="L304">
        <v>20</v>
      </c>
      <c r="M304"/>
      <c r="N304" t="s">
        <v>2754</v>
      </c>
      <c r="O304" s="34" t="str">
        <f>HYPERLINK("https://b2b.kobi.pl/pl/product/10012,naswietlacz-z-czujnikiem-ruchu-led-mhc-30w-4000k-ip44-czarny-led2b-red?currency=PLN")</f>
        <v>https://b2b.kobi.pl/pl/product/10012,naswietlacz-z-czujnikiem-ruchu-led-mhc-30w-4000k-ip44-czarny-led2b-red?currency=PLN</v>
      </c>
      <c r="P304" s="34" t="str">
        <f>HYPERLINK("https://eprel.ec.europa.eu/qr/1988394")</f>
        <v>https://eprel.ec.europa.eu/qr/1988394</v>
      </c>
      <c r="Q304" t="s">
        <v>2775</v>
      </c>
    </row>
    <row r="305" spans="1:17" ht="14.4" x14ac:dyDescent="0.3">
      <c r="A305" t="s">
        <v>10</v>
      </c>
      <c r="B305" t="s">
        <v>28</v>
      </c>
      <c r="C305" t="s">
        <v>860</v>
      </c>
      <c r="D305" t="s">
        <v>1452</v>
      </c>
      <c r="E305" t="s">
        <v>1453</v>
      </c>
      <c r="F305" t="s">
        <v>843</v>
      </c>
      <c r="G305" s="35">
        <v>17.649999999999999</v>
      </c>
      <c r="H305" s="33">
        <f>G305*(1-IFERROR(VLOOKUP(F305,'enter the discount'!$D$10:$E$40,2,FALSE),0))</f>
        <v>17.649999999999999</v>
      </c>
      <c r="I305" s="35" t="s">
        <v>2593</v>
      </c>
      <c r="J305" s="33" t="s">
        <v>789</v>
      </c>
      <c r="K305" s="33" t="s">
        <v>2749</v>
      </c>
      <c r="L305">
        <v>20</v>
      </c>
      <c r="M305"/>
      <c r="N305" t="s">
        <v>2754</v>
      </c>
      <c r="O305" s="34" t="str">
        <f>HYPERLINK("https://b2b.kobi.pl/pl/product/10014,naswietlacz-z-czujnikiem-ruchu-led-mhc-30w-6500k-ip44-czarny-led2b-red?currency=PLN")</f>
        <v>https://b2b.kobi.pl/pl/product/10014,naswietlacz-z-czujnikiem-ruchu-led-mhc-30w-6500k-ip44-czarny-led2b-red?currency=PLN</v>
      </c>
      <c r="P305" s="34" t="str">
        <f>HYPERLINK("https://eprel.ec.europa.eu/qr/1988404")</f>
        <v>https://eprel.ec.europa.eu/qr/1988404</v>
      </c>
      <c r="Q305" t="s">
        <v>2775</v>
      </c>
    </row>
    <row r="306" spans="1:17" ht="14.4" x14ac:dyDescent="0.3">
      <c r="A306" t="s">
        <v>10</v>
      </c>
      <c r="B306" t="s">
        <v>28</v>
      </c>
      <c r="C306" t="s">
        <v>860</v>
      </c>
      <c r="D306" t="s">
        <v>1454</v>
      </c>
      <c r="E306" t="s">
        <v>1455</v>
      </c>
      <c r="F306" t="s">
        <v>843</v>
      </c>
      <c r="G306" s="35">
        <v>21.13</v>
      </c>
      <c r="H306" s="33">
        <f>G306*(1-IFERROR(VLOOKUP(F306,'enter the discount'!$D$10:$E$40,2,FALSE),0))</f>
        <v>21.13</v>
      </c>
      <c r="I306" s="35" t="s">
        <v>2593</v>
      </c>
      <c r="J306" s="33" t="s">
        <v>790</v>
      </c>
      <c r="K306" s="33" t="s">
        <v>2749</v>
      </c>
      <c r="L306">
        <v>20</v>
      </c>
      <c r="M306"/>
      <c r="N306" t="s">
        <v>2754</v>
      </c>
      <c r="O306" s="34" t="str">
        <f>HYPERLINK("https://b2b.kobi.pl/pl/product/10017,naswietlaczz-czujnikiem-ruchu-led-mhc-50w-4000k-ip44-czarny-led2b-red?currency=PLN")</f>
        <v>https://b2b.kobi.pl/pl/product/10017,naswietlaczz-czujnikiem-ruchu-led-mhc-50w-4000k-ip44-czarny-led2b-red?currency=PLN</v>
      </c>
      <c r="P306" s="34" t="str">
        <f>HYPERLINK("https://eprel.ec.europa.eu/qr/1988420")</f>
        <v>https://eprel.ec.europa.eu/qr/1988420</v>
      </c>
      <c r="Q306" t="s">
        <v>2775</v>
      </c>
    </row>
    <row r="307" spans="1:17" ht="14.4" x14ac:dyDescent="0.3">
      <c r="A307" t="s">
        <v>10</v>
      </c>
      <c r="B307" t="s">
        <v>28</v>
      </c>
      <c r="C307" t="s">
        <v>860</v>
      </c>
      <c r="D307" t="s">
        <v>1456</v>
      </c>
      <c r="E307" t="s">
        <v>1457</v>
      </c>
      <c r="F307" t="s">
        <v>843</v>
      </c>
      <c r="G307" s="35">
        <v>21.13</v>
      </c>
      <c r="H307" s="33">
        <f>G307*(1-IFERROR(VLOOKUP(F307,'enter the discount'!$D$10:$E$40,2,FALSE),0))</f>
        <v>21.13</v>
      </c>
      <c r="I307" s="35" t="s">
        <v>2593</v>
      </c>
      <c r="J307" s="33" t="s">
        <v>791</v>
      </c>
      <c r="K307" s="33" t="s">
        <v>2749</v>
      </c>
      <c r="L307">
        <v>20</v>
      </c>
      <c r="M307"/>
      <c r="N307" t="s">
        <v>2754</v>
      </c>
      <c r="O307" s="34" t="str">
        <f>HYPERLINK("https://b2b.kobi.pl/pl/product/10019,naswietlacz-z-czujnikiem-ruchu-led-mhc-50w-6500k-ip44-czarny-led2b-red?currency=PLN")</f>
        <v>https://b2b.kobi.pl/pl/product/10019,naswietlacz-z-czujnikiem-ruchu-led-mhc-50w-6500k-ip44-czarny-led2b-red?currency=PLN</v>
      </c>
      <c r="P307" s="34" t="str">
        <f>HYPERLINK("https://eprel.ec.europa.eu/qr/1988430")</f>
        <v>https://eprel.ec.europa.eu/qr/1988430</v>
      </c>
      <c r="Q307" t="s">
        <v>2775</v>
      </c>
    </row>
    <row r="308" spans="1:17" ht="14.4" x14ac:dyDescent="0.3">
      <c r="A308" t="s">
        <v>10</v>
      </c>
      <c r="B308" t="s">
        <v>28</v>
      </c>
      <c r="C308" t="s">
        <v>885</v>
      </c>
      <c r="D308" t="s">
        <v>1458</v>
      </c>
      <c r="E308" t="s">
        <v>1459</v>
      </c>
      <c r="F308" t="s">
        <v>843</v>
      </c>
      <c r="G308" s="35">
        <v>10.72</v>
      </c>
      <c r="H308" s="33">
        <f>G308*(1-IFERROR(VLOOKUP(F308,'enter the discount'!$D$10:$E$40,2,FALSE),0))</f>
        <v>10.72</v>
      </c>
      <c r="I308" s="35" t="s">
        <v>2593</v>
      </c>
      <c r="J308" s="33" t="s">
        <v>194</v>
      </c>
      <c r="K308" s="33" t="s">
        <v>2749</v>
      </c>
      <c r="L308">
        <v>40</v>
      </c>
      <c r="M308"/>
      <c r="N308" t="s">
        <v>2755</v>
      </c>
      <c r="O308"/>
      <c r="P308" s="34" t="str">
        <f>HYPERLINK("https://eprel.ec.europa.eu/qr/780607")</f>
        <v>https://eprel.ec.europa.eu/qr/780607</v>
      </c>
      <c r="Q308" t="s">
        <v>2775</v>
      </c>
    </row>
    <row r="309" spans="1:17" ht="14.4" x14ac:dyDescent="0.3">
      <c r="A309" t="s">
        <v>10</v>
      </c>
      <c r="B309" t="s">
        <v>28</v>
      </c>
      <c r="C309" t="s">
        <v>885</v>
      </c>
      <c r="D309" t="s">
        <v>1460</v>
      </c>
      <c r="E309" t="s">
        <v>1461</v>
      </c>
      <c r="F309" t="s">
        <v>843</v>
      </c>
      <c r="G309" s="35">
        <v>13.39</v>
      </c>
      <c r="H309" s="33">
        <f>G309*(1-IFERROR(VLOOKUP(F309,'enter the discount'!$D$10:$E$40,2,FALSE),0))</f>
        <v>13.39</v>
      </c>
      <c r="I309" s="35" t="s">
        <v>2593</v>
      </c>
      <c r="J309" s="33" t="s">
        <v>195</v>
      </c>
      <c r="K309" s="33" t="s">
        <v>2749</v>
      </c>
      <c r="L309">
        <v>40</v>
      </c>
      <c r="M309"/>
      <c r="N309" t="s">
        <v>2755</v>
      </c>
      <c r="O309" s="34" t="str">
        <f>HYPERLINK("https://b2b.kobi.pl/pl/product/10077,naswietlacz-led-mhn-20w-6500k-ip65-kobi-premium?currency=PLN")</f>
        <v>https://b2b.kobi.pl/pl/product/10077,naswietlacz-led-mhn-20w-6500k-ip65-kobi-premium?currency=PLN</v>
      </c>
      <c r="P309" s="34" t="str">
        <f>HYPERLINK("https://eprel.ec.europa.eu/qr/780633")</f>
        <v>https://eprel.ec.europa.eu/qr/780633</v>
      </c>
      <c r="Q309" t="s">
        <v>2775</v>
      </c>
    </row>
    <row r="310" spans="1:17" ht="14.4" x14ac:dyDescent="0.3">
      <c r="A310" t="s">
        <v>10</v>
      </c>
      <c r="B310" t="s">
        <v>28</v>
      </c>
      <c r="C310" t="s">
        <v>885</v>
      </c>
      <c r="D310" t="s">
        <v>1462</v>
      </c>
      <c r="E310" t="s">
        <v>1463</v>
      </c>
      <c r="F310" t="s">
        <v>843</v>
      </c>
      <c r="G310" s="35">
        <v>20.04</v>
      </c>
      <c r="H310" s="33">
        <f>G310*(1-IFERROR(VLOOKUP(F310,'enter the discount'!$D$10:$E$40,2,FALSE),0))</f>
        <v>20.04</v>
      </c>
      <c r="I310" s="35" t="s">
        <v>2593</v>
      </c>
      <c r="J310" s="33" t="s">
        <v>196</v>
      </c>
      <c r="K310" s="33" t="s">
        <v>2749</v>
      </c>
      <c r="L310">
        <v>30</v>
      </c>
      <c r="M310"/>
      <c r="N310" t="s">
        <v>2755</v>
      </c>
      <c r="O310" s="34" t="str">
        <f>HYPERLINK("https://b2b.kobi.pl/pl/product/10080,naswietlacz-led-mhn-30w-6500k-ip65-kobi-premium?currency=PLN")</f>
        <v>https://b2b.kobi.pl/pl/product/10080,naswietlacz-led-mhn-30w-6500k-ip65-kobi-premium?currency=PLN</v>
      </c>
      <c r="P310" s="34" t="str">
        <f>HYPERLINK("https://eprel.ec.europa.eu/qr/780651")</f>
        <v>https://eprel.ec.europa.eu/qr/780651</v>
      </c>
      <c r="Q310" t="s">
        <v>2775</v>
      </c>
    </row>
    <row r="311" spans="1:17" ht="14.4" x14ac:dyDescent="0.3">
      <c r="A311" t="s">
        <v>10</v>
      </c>
      <c r="B311" t="s">
        <v>28</v>
      </c>
      <c r="C311" t="s">
        <v>885</v>
      </c>
      <c r="D311" t="s">
        <v>1464</v>
      </c>
      <c r="E311" t="s">
        <v>1465</v>
      </c>
      <c r="F311" t="s">
        <v>843</v>
      </c>
      <c r="G311" s="35">
        <v>77.650000000000006</v>
      </c>
      <c r="H311" s="33">
        <f>G311*(1-IFERROR(VLOOKUP(F311,'enter the discount'!$D$10:$E$40,2,FALSE),0))</f>
        <v>77.650000000000006</v>
      </c>
      <c r="I311" s="35" t="s">
        <v>2593</v>
      </c>
      <c r="J311" s="33" t="s">
        <v>350</v>
      </c>
      <c r="K311" s="33" t="s">
        <v>2749</v>
      </c>
      <c r="L311">
        <v>4</v>
      </c>
      <c r="M311"/>
      <c r="N311" t="s">
        <v>2755</v>
      </c>
      <c r="O311" s="34" t="str">
        <f>HYPERLINK("https://b2b.kobi.pl/pl/product/10069,naswietlacz-led-mhn-100w-6500k-ip65-kobi-premium?currency=PLN")</f>
        <v>https://b2b.kobi.pl/pl/product/10069,naswietlacz-led-mhn-100w-6500k-ip65-kobi-premium?currency=PLN</v>
      </c>
      <c r="P311" s="34" t="str">
        <f>HYPERLINK("https://eprel.ec.europa.eu/qr/830427")</f>
        <v>https://eprel.ec.europa.eu/qr/830427</v>
      </c>
      <c r="Q311" t="s">
        <v>2775</v>
      </c>
    </row>
    <row r="312" spans="1:17" ht="14.4" x14ac:dyDescent="0.3">
      <c r="A312" t="s">
        <v>10</v>
      </c>
      <c r="B312" t="s">
        <v>28</v>
      </c>
      <c r="C312" t="s">
        <v>885</v>
      </c>
      <c r="D312" t="s">
        <v>1466</v>
      </c>
      <c r="E312" t="s">
        <v>1467</v>
      </c>
      <c r="F312" t="s">
        <v>843</v>
      </c>
      <c r="G312" s="35">
        <v>27.35</v>
      </c>
      <c r="H312" s="33">
        <f>G312*(1-IFERROR(VLOOKUP(F312,'enter the discount'!$D$10:$E$40,2,FALSE),0))</f>
        <v>27.35</v>
      </c>
      <c r="I312" s="35" t="s">
        <v>2593</v>
      </c>
      <c r="J312" s="33" t="s">
        <v>2628</v>
      </c>
      <c r="K312" s="33" t="s">
        <v>2749</v>
      </c>
      <c r="L312">
        <v>30</v>
      </c>
      <c r="M312"/>
      <c r="N312" t="s">
        <v>2755</v>
      </c>
      <c r="O312" s="34" t="str">
        <f>HYPERLINK("https://b2b.kobi.pl/pl/product/10084,naswietlacz-led-mhnc-10w-3000k-ip65-kobi-premium?currency=PLN")</f>
        <v>https://b2b.kobi.pl/pl/product/10084,naswietlacz-led-mhnc-10w-3000k-ip65-kobi-premium?currency=PLN</v>
      </c>
      <c r="P312" s="34" t="str">
        <f>HYPERLINK("https://eprel.ec.europa.eu/qr/937607")</f>
        <v>https://eprel.ec.europa.eu/qr/937607</v>
      </c>
      <c r="Q312" t="s">
        <v>2775</v>
      </c>
    </row>
    <row r="313" spans="1:17" ht="14.4" x14ac:dyDescent="0.3">
      <c r="A313" t="s">
        <v>10</v>
      </c>
      <c r="B313" t="s">
        <v>28</v>
      </c>
      <c r="C313" t="s">
        <v>1258</v>
      </c>
      <c r="D313" t="s">
        <v>639</v>
      </c>
      <c r="E313" t="s">
        <v>1468</v>
      </c>
      <c r="F313" t="s">
        <v>843</v>
      </c>
      <c r="G313" s="35">
        <v>51.33</v>
      </c>
      <c r="H313" s="33">
        <f>G313*(1-IFERROR(VLOOKUP(F313,'enter the discount'!$D$10:$E$40,2,FALSE),0))</f>
        <v>51.33</v>
      </c>
      <c r="I313" s="35" t="s">
        <v>2609</v>
      </c>
      <c r="J313" s="33" t="s">
        <v>489</v>
      </c>
      <c r="K313" s="33" t="s">
        <v>2749</v>
      </c>
      <c r="L313">
        <v>10</v>
      </c>
      <c r="M313">
        <v>320</v>
      </c>
      <c r="N313" t="s">
        <v>2756</v>
      </c>
      <c r="O313" s="34" t="str">
        <f>HYPERLINK("https://b2b.kobi.pl/pl/product/10193,naswietlacz-led-kobi-seul-50w-4000k-ip65-kobi-pro?currency=PLN")</f>
        <v>https://b2b.kobi.pl/pl/product/10193,naswietlacz-led-kobi-seul-50w-4000k-ip65-kobi-pro?currency=PLN</v>
      </c>
      <c r="P313" s="34" t="str">
        <f>HYPERLINK("https://eprel.ec.europa.eu/qr/1988674")</f>
        <v>https://eprel.ec.europa.eu/qr/1988674</v>
      </c>
      <c r="Q313"/>
    </row>
    <row r="314" spans="1:17" ht="14.4" x14ac:dyDescent="0.3">
      <c r="A314" t="s">
        <v>10</v>
      </c>
      <c r="B314" t="s">
        <v>28</v>
      </c>
      <c r="C314" t="s">
        <v>1258</v>
      </c>
      <c r="D314" t="s">
        <v>636</v>
      </c>
      <c r="E314" t="s">
        <v>1469</v>
      </c>
      <c r="F314" t="s">
        <v>843</v>
      </c>
      <c r="G314" s="35">
        <v>82.41</v>
      </c>
      <c r="H314" s="33">
        <f>G314*(1-IFERROR(VLOOKUP(F314,'enter the discount'!$D$10:$E$40,2,FALSE),0))</f>
        <v>82.41</v>
      </c>
      <c r="I314" s="35" t="s">
        <v>2609</v>
      </c>
      <c r="J314" s="33" t="s">
        <v>486</v>
      </c>
      <c r="K314" s="33" t="s">
        <v>2749</v>
      </c>
      <c r="L314">
        <v>5</v>
      </c>
      <c r="M314">
        <v>240</v>
      </c>
      <c r="N314" t="s">
        <v>2756</v>
      </c>
      <c r="O314" s="34" t="str">
        <f>HYPERLINK("https://b2b.kobi.pl/pl/product/10190,naswietlacz-led-kobi-seul-100w-4000k-ip65-kobi-pro?currency=PLN")</f>
        <v>https://b2b.kobi.pl/pl/product/10190,naswietlacz-led-kobi-seul-100w-4000k-ip65-kobi-pro?currency=PLN</v>
      </c>
      <c r="P314" s="34" t="str">
        <f>HYPERLINK("https://eprel.ec.europa.eu/qr/1988700")</f>
        <v>https://eprel.ec.europa.eu/qr/1988700</v>
      </c>
      <c r="Q314"/>
    </row>
    <row r="315" spans="1:17" ht="14.4" x14ac:dyDescent="0.3">
      <c r="A315" t="s">
        <v>10</v>
      </c>
      <c r="B315" t="s">
        <v>28</v>
      </c>
      <c r="C315" t="s">
        <v>1258</v>
      </c>
      <c r="D315" t="s">
        <v>637</v>
      </c>
      <c r="E315" t="s">
        <v>1470</v>
      </c>
      <c r="F315" t="s">
        <v>843</v>
      </c>
      <c r="G315" s="35">
        <v>111.81</v>
      </c>
      <c r="H315" s="33">
        <f>G315*(1-IFERROR(VLOOKUP(F315,'enter the discount'!$D$10:$E$40,2,FALSE),0))</f>
        <v>111.81</v>
      </c>
      <c r="I315" s="35" t="s">
        <v>2609</v>
      </c>
      <c r="J315" s="33" t="s">
        <v>487</v>
      </c>
      <c r="K315" s="33" t="s">
        <v>2749</v>
      </c>
      <c r="L315">
        <v>4</v>
      </c>
      <c r="M315">
        <v>128</v>
      </c>
      <c r="N315" t="s">
        <v>2756</v>
      </c>
      <c r="O315" s="34" t="str">
        <f>HYPERLINK("https://b2b.kobi.pl/pl/product/10191,naswietlacz-led-kobi-seul-150w-4000k-ip65-kobi-pro?currency=PLN")</f>
        <v>https://b2b.kobi.pl/pl/product/10191,naswietlacz-led-kobi-seul-150w-4000k-ip65-kobi-pro?currency=PLN</v>
      </c>
      <c r="P315" s="34" t="str">
        <f>HYPERLINK("https://eprel.ec.europa.eu/qr/1988707")</f>
        <v>https://eprel.ec.europa.eu/qr/1988707</v>
      </c>
      <c r="Q315"/>
    </row>
    <row r="316" spans="1:17" ht="14.4" x14ac:dyDescent="0.3">
      <c r="A316" t="s">
        <v>10</v>
      </c>
      <c r="B316" t="s">
        <v>28</v>
      </c>
      <c r="C316" t="s">
        <v>1258</v>
      </c>
      <c r="D316" t="s">
        <v>638</v>
      </c>
      <c r="E316" t="s">
        <v>1471</v>
      </c>
      <c r="F316" t="s">
        <v>843</v>
      </c>
      <c r="G316" s="35">
        <v>121.45</v>
      </c>
      <c r="H316" s="33">
        <f>G316*(1-IFERROR(VLOOKUP(F316,'enter the discount'!$D$10:$E$40,2,FALSE),0))</f>
        <v>121.45</v>
      </c>
      <c r="I316" s="35" t="s">
        <v>2609</v>
      </c>
      <c r="J316" s="33" t="s">
        <v>488</v>
      </c>
      <c r="K316" s="33" t="s">
        <v>2749</v>
      </c>
      <c r="L316">
        <v>4</v>
      </c>
      <c r="M316">
        <v>144</v>
      </c>
      <c r="N316" t="s">
        <v>2756</v>
      </c>
      <c r="O316" s="34" t="str">
        <f>HYPERLINK("https://b2b.kobi.pl/pl/product/10192,naswietlacz-led-kobi-seul-200w-4000k-ip65-kobi-pro?currency=PLN")</f>
        <v>https://b2b.kobi.pl/pl/product/10192,naswietlacz-led-kobi-seul-200w-4000k-ip65-kobi-pro?currency=PLN</v>
      </c>
      <c r="P316" s="34" t="str">
        <f>HYPERLINK("https://eprel.ec.europa.eu/qr/1989009")</f>
        <v>https://eprel.ec.europa.eu/qr/1989009</v>
      </c>
      <c r="Q316"/>
    </row>
    <row r="317" spans="1:17" ht="14.4" x14ac:dyDescent="0.3">
      <c r="A317" t="s">
        <v>10</v>
      </c>
      <c r="B317" t="s">
        <v>28</v>
      </c>
      <c r="C317" t="s">
        <v>1258</v>
      </c>
      <c r="D317" t="s">
        <v>1472</v>
      </c>
      <c r="E317" t="s">
        <v>1473</v>
      </c>
      <c r="F317" t="s">
        <v>843</v>
      </c>
      <c r="G317" s="35">
        <v>299.04000000000002</v>
      </c>
      <c r="H317" s="33">
        <f>G317*(1-IFERROR(VLOOKUP(F317,'enter the discount'!$D$10:$E$40,2,FALSE),0))</f>
        <v>299.04000000000002</v>
      </c>
      <c r="I317" s="35" t="s">
        <v>2609</v>
      </c>
      <c r="J317" s="33" t="s">
        <v>2629</v>
      </c>
      <c r="K317" s="33" t="s">
        <v>2749</v>
      </c>
      <c r="L317">
        <v>3</v>
      </c>
      <c r="M317"/>
      <c r="N317" t="s">
        <v>2756</v>
      </c>
      <c r="O317" s="34" t="str">
        <f>HYPERLINK("https://b2b.kobi.pl/pl/product/10203,naswietlacz-led-us-300w-5000k-ip65-60-dim-kobi-pro?currency=PLN")</f>
        <v>https://b2b.kobi.pl/pl/product/10203,naswietlacz-led-us-300w-5000k-ip65-60-dim-kobi-pro?currency=PLN</v>
      </c>
      <c r="P317" s="34" t="str">
        <f>HYPERLINK("https://eprel.ec.europa.eu/qr/1989035")</f>
        <v>https://eprel.ec.europa.eu/qr/1989035</v>
      </c>
      <c r="Q317"/>
    </row>
    <row r="318" spans="1:17" ht="14.4" x14ac:dyDescent="0.3">
      <c r="A318" t="s">
        <v>10</v>
      </c>
      <c r="B318" t="s">
        <v>28</v>
      </c>
      <c r="C318" t="s">
        <v>1258</v>
      </c>
      <c r="D318" t="s">
        <v>1474</v>
      </c>
      <c r="E318" t="s">
        <v>1475</v>
      </c>
      <c r="F318" t="s">
        <v>843</v>
      </c>
      <c r="G318" s="35">
        <v>299.04000000000002</v>
      </c>
      <c r="H318" s="33">
        <f>G318*(1-IFERROR(VLOOKUP(F318,'enter the discount'!$D$10:$E$40,2,FALSE),0))</f>
        <v>299.04000000000002</v>
      </c>
      <c r="I318" s="35" t="s">
        <v>2609</v>
      </c>
      <c r="J318" s="33" t="s">
        <v>490</v>
      </c>
      <c r="K318" s="33" t="s">
        <v>2749</v>
      </c>
      <c r="L318">
        <v>3</v>
      </c>
      <c r="M318">
        <v>60</v>
      </c>
      <c r="N318" t="s">
        <v>2756</v>
      </c>
      <c r="O318" s="34" t="str">
        <f>HYPERLINK("https://b2b.kobi.pl/pl/product/10204,naswietlacz-led-us-300w-5000k-ip65-90-dim-kobi-pro?currency=PLN")</f>
        <v>https://b2b.kobi.pl/pl/product/10204,naswietlacz-led-us-300w-5000k-ip65-90-dim-kobi-pro?currency=PLN</v>
      </c>
      <c r="P318" s="34" t="str">
        <f>HYPERLINK("https://eprel.ec.europa.eu/qr/1989035")</f>
        <v>https://eprel.ec.europa.eu/qr/1989035</v>
      </c>
      <c r="Q318"/>
    </row>
    <row r="319" spans="1:17" ht="14.4" x14ac:dyDescent="0.3">
      <c r="A319" t="s">
        <v>10</v>
      </c>
      <c r="B319" t="s">
        <v>28</v>
      </c>
      <c r="C319" t="s">
        <v>1258</v>
      </c>
      <c r="D319" t="s">
        <v>1476</v>
      </c>
      <c r="E319" t="s">
        <v>1477</v>
      </c>
      <c r="F319" t="s">
        <v>843</v>
      </c>
      <c r="G319" s="35">
        <v>948.93</v>
      </c>
      <c r="H319" s="33">
        <f>G319*(1-IFERROR(VLOOKUP(F319,'enter the discount'!$D$10:$E$40,2,FALSE),0))</f>
        <v>948.93</v>
      </c>
      <c r="I319" s="35" t="s">
        <v>2598</v>
      </c>
      <c r="J319" s="33" t="s">
        <v>476</v>
      </c>
      <c r="K319" s="33" t="s">
        <v>2749</v>
      </c>
      <c r="L319">
        <v>1</v>
      </c>
      <c r="M319">
        <v>21</v>
      </c>
      <c r="N319" t="s">
        <v>2756</v>
      </c>
      <c r="O319" s="34" t="str">
        <f>HYPERLINK("https://b2b.kobi.pl/pl/product/10206,naswietlacz-led-us-500w-5000k-ip66-60-dim-kobi-pro?currency=PLN")</f>
        <v>https://b2b.kobi.pl/pl/product/10206,naswietlacz-led-us-500w-5000k-ip66-60-dim-kobi-pro?currency=PLN</v>
      </c>
      <c r="P319" s="34" t="str">
        <f>HYPERLINK("https://eprel.ec.europa.eu/qr/1742631")</f>
        <v>https://eprel.ec.europa.eu/qr/1742631</v>
      </c>
      <c r="Q319"/>
    </row>
    <row r="320" spans="1:17" ht="14.4" x14ac:dyDescent="0.3">
      <c r="A320" t="s">
        <v>10</v>
      </c>
      <c r="B320" t="s">
        <v>28</v>
      </c>
      <c r="C320" t="s">
        <v>1258</v>
      </c>
      <c r="D320" t="s">
        <v>1478</v>
      </c>
      <c r="E320" t="s">
        <v>1479</v>
      </c>
      <c r="F320" t="s">
        <v>843</v>
      </c>
      <c r="G320" s="35">
        <v>948.93</v>
      </c>
      <c r="H320" s="33">
        <f>G320*(1-IFERROR(VLOOKUP(F320,'enter the discount'!$D$10:$E$40,2,FALSE),0))</f>
        <v>948.93</v>
      </c>
      <c r="I320" s="35" t="s">
        <v>2598</v>
      </c>
      <c r="J320" s="33" t="s">
        <v>3</v>
      </c>
      <c r="K320" s="33" t="s">
        <v>2749</v>
      </c>
      <c r="L320">
        <v>1</v>
      </c>
      <c r="M320"/>
      <c r="N320" t="s">
        <v>2756</v>
      </c>
      <c r="O320" s="34" t="str">
        <f>HYPERLINK("https://b2b.kobi.pl/pl/product/10205,naswietlacz-led-us-500w-5000k-ip66-25-dim-kobi-pro?currency=PLN")</f>
        <v>https://b2b.kobi.pl/pl/product/10205,naswietlacz-led-us-500w-5000k-ip66-25-dim-kobi-pro?currency=PLN</v>
      </c>
      <c r="P320" s="34" t="str">
        <f>HYPERLINK("https://eprel.ec.europa.eu/qr/1742631")</f>
        <v>https://eprel.ec.europa.eu/qr/1742631</v>
      </c>
      <c r="Q320"/>
    </row>
    <row r="321" spans="1:17" ht="14.4" x14ac:dyDescent="0.3">
      <c r="A321" t="s">
        <v>10</v>
      </c>
      <c r="B321" t="s">
        <v>28</v>
      </c>
      <c r="C321" t="s">
        <v>910</v>
      </c>
      <c r="D321" t="s">
        <v>1480</v>
      </c>
      <c r="E321" t="s">
        <v>1481</v>
      </c>
      <c r="F321" t="s">
        <v>843</v>
      </c>
      <c r="G321" s="35">
        <v>90.78</v>
      </c>
      <c r="H321" s="33">
        <f>G321*(1-IFERROR(VLOOKUP(F321,'enter the discount'!$D$10:$E$40,2,FALSE),0))</f>
        <v>90.78</v>
      </c>
      <c r="I321" s="35" t="s">
        <v>2593</v>
      </c>
      <c r="J321" s="33" t="s">
        <v>389</v>
      </c>
      <c r="K321" s="33" t="s">
        <v>2749</v>
      </c>
      <c r="L321">
        <v>4</v>
      </c>
      <c r="M321"/>
      <c r="N321" t="s">
        <v>2754</v>
      </c>
      <c r="O321" s="34" t="str">
        <f>HYPERLINK("https://b2b.kobi.pl/pl/product/10105,naswietlacz-led-tigra-s-2x30w-4000k-ip65-kobi?currency=PLN")</f>
        <v>https://b2b.kobi.pl/pl/product/10105,naswietlacz-led-tigra-s-2x30w-4000k-ip65-kobi?currency=PLN</v>
      </c>
      <c r="P321" s="34" t="str">
        <f>HYPERLINK("https://eprel.ec.europa.eu/qr/1201516")</f>
        <v>https://eprel.ec.europa.eu/qr/1201516</v>
      </c>
      <c r="Q321" t="s">
        <v>2775</v>
      </c>
    </row>
    <row r="322" spans="1:17" ht="14.4" x14ac:dyDescent="0.3">
      <c r="A322" t="s">
        <v>10</v>
      </c>
      <c r="B322" t="s">
        <v>564</v>
      </c>
      <c r="C322" t="s">
        <v>885</v>
      </c>
      <c r="D322" t="s">
        <v>1482</v>
      </c>
      <c r="E322" t="s">
        <v>1483</v>
      </c>
      <c r="F322" t="s">
        <v>839</v>
      </c>
      <c r="G322" s="35">
        <v>29.88</v>
      </c>
      <c r="H322" s="33">
        <f>G322*(1-IFERROR(VLOOKUP(F322,'enter the discount'!$D$10:$E$40,2,FALSE),0))</f>
        <v>29.88</v>
      </c>
      <c r="I322" s="35" t="s">
        <v>2609</v>
      </c>
      <c r="J322" s="33" t="s">
        <v>795</v>
      </c>
      <c r="K322" s="33" t="s">
        <v>2749</v>
      </c>
      <c r="L322">
        <v>10</v>
      </c>
      <c r="M322"/>
      <c r="N322" t="s">
        <v>2755</v>
      </c>
      <c r="O322" s="34" t="str">
        <f>HYPERLINK("https://b2b.kobi.pl/pl/product/9918,oprawa-drogowa-led-cyoto-50w-4000k-lx-kobi-premium?currency=PLN")</f>
        <v>https://b2b.kobi.pl/pl/product/9918,oprawa-drogowa-led-cyoto-50w-4000k-lx-kobi-premium?currency=PLN</v>
      </c>
      <c r="P322" s="34" t="str">
        <f>HYPERLINK("https://eprel.ec.europa.eu/qr/2075978")</f>
        <v>https://eprel.ec.europa.eu/qr/2075978</v>
      </c>
      <c r="Q322"/>
    </row>
    <row r="323" spans="1:17" ht="14.4" x14ac:dyDescent="0.3">
      <c r="A323" t="s">
        <v>10</v>
      </c>
      <c r="B323" t="s">
        <v>564</v>
      </c>
      <c r="C323" t="s">
        <v>885</v>
      </c>
      <c r="D323" t="s">
        <v>1484</v>
      </c>
      <c r="E323" t="s">
        <v>1485</v>
      </c>
      <c r="F323" t="s">
        <v>839</v>
      </c>
      <c r="G323" s="35">
        <v>47.95</v>
      </c>
      <c r="H323" s="33">
        <f>G323*(1-IFERROR(VLOOKUP(F323,'enter the discount'!$D$10:$E$40,2,FALSE),0))</f>
        <v>47.95</v>
      </c>
      <c r="I323" s="35" t="s">
        <v>2609</v>
      </c>
      <c r="J323" s="33" t="s">
        <v>796</v>
      </c>
      <c r="K323" s="33" t="s">
        <v>2749</v>
      </c>
      <c r="L323">
        <v>5</v>
      </c>
      <c r="M323"/>
      <c r="N323" t="s">
        <v>2755</v>
      </c>
      <c r="O323" s="34" t="str">
        <f>HYPERLINK("https://b2b.kobi.pl/pl/product/9917,oprawa-drogowa-led-cyoto-100w-4000k-lx-kobi-premium?currency=PLN")</f>
        <v>https://b2b.kobi.pl/pl/product/9917,oprawa-drogowa-led-cyoto-100w-4000k-lx-kobi-premium?currency=PLN</v>
      </c>
      <c r="P323" s="34" t="str">
        <f>HYPERLINK("https://eprel.ec.europa.eu/qr/2075604")</f>
        <v>https://eprel.ec.europa.eu/qr/2075604</v>
      </c>
      <c r="Q323"/>
    </row>
    <row r="324" spans="1:17" ht="14.4" x14ac:dyDescent="0.3">
      <c r="A324" t="s">
        <v>10</v>
      </c>
      <c r="B324" t="s">
        <v>564</v>
      </c>
      <c r="C324" t="s">
        <v>1258</v>
      </c>
      <c r="D324" t="s">
        <v>1486</v>
      </c>
      <c r="E324" t="s">
        <v>1487</v>
      </c>
      <c r="F324" t="s">
        <v>839</v>
      </c>
      <c r="G324" s="35">
        <v>236.14</v>
      </c>
      <c r="H324" s="33">
        <f>G324*(1-IFERROR(VLOOKUP(F324,'enter the discount'!$D$10:$E$40,2,FALSE),0))</f>
        <v>236.14</v>
      </c>
      <c r="I324" s="35" t="s">
        <v>2630</v>
      </c>
      <c r="J324" s="33" t="s">
        <v>517</v>
      </c>
      <c r="K324" s="33" t="s">
        <v>2749</v>
      </c>
      <c r="L324">
        <v>1</v>
      </c>
      <c r="M324"/>
      <c r="N324" t="s">
        <v>2756</v>
      </c>
      <c r="O324" s="34" t="str">
        <f>HYPERLINK("https://b2b.kobi.pl/pl/product/10027,oprawa-drogowa-led-master-street-35w-4000k-ip66-mb-kobi-pro?currency=PLN")</f>
        <v>https://b2b.kobi.pl/pl/product/10027,oprawa-drogowa-led-master-street-35w-4000k-ip66-mb-kobi-pro?currency=PLN</v>
      </c>
      <c r="P324" s="34" t="str">
        <f>HYPERLINK("https://eprel.ec.europa.eu/qr/1852383")</f>
        <v>https://eprel.ec.europa.eu/qr/1852383</v>
      </c>
      <c r="Q324" t="s">
        <v>2775</v>
      </c>
    </row>
    <row r="325" spans="1:17" ht="14.4" x14ac:dyDescent="0.3">
      <c r="A325" t="s">
        <v>10</v>
      </c>
      <c r="B325" t="s">
        <v>564</v>
      </c>
      <c r="C325" t="s">
        <v>1258</v>
      </c>
      <c r="D325" t="s">
        <v>1488</v>
      </c>
      <c r="E325" t="s">
        <v>1489</v>
      </c>
      <c r="F325" t="s">
        <v>839</v>
      </c>
      <c r="G325" s="35">
        <v>236.14</v>
      </c>
      <c r="H325" s="33">
        <f>G325*(1-IFERROR(VLOOKUP(F325,'enter the discount'!$D$10:$E$40,2,FALSE),0))</f>
        <v>236.14</v>
      </c>
      <c r="I325" s="35" t="s">
        <v>2630</v>
      </c>
      <c r="J325" s="33" t="s">
        <v>518</v>
      </c>
      <c r="K325" s="33" t="s">
        <v>2749</v>
      </c>
      <c r="L325">
        <v>1</v>
      </c>
      <c r="M325"/>
      <c r="N325" t="s">
        <v>2756</v>
      </c>
      <c r="O325" s="34" t="str">
        <f>HYPERLINK("https://b2b.kobi.pl/pl/product/10028,oprawa-drogowa-led-master-street-35w-4000k-ip66-wb-kobi-pro?currency=PLN")</f>
        <v>https://b2b.kobi.pl/pl/product/10028,oprawa-drogowa-led-master-street-35w-4000k-ip66-wb-kobi-pro?currency=PLN</v>
      </c>
      <c r="P325" s="34" t="str">
        <f>HYPERLINK("https://eprel.ec.europa.eu/qr/1852383")</f>
        <v>https://eprel.ec.europa.eu/qr/1852383</v>
      </c>
      <c r="Q325" t="s">
        <v>2775</v>
      </c>
    </row>
    <row r="326" spans="1:17" ht="14.4" x14ac:dyDescent="0.3">
      <c r="A326" t="s">
        <v>10</v>
      </c>
      <c r="B326" t="s">
        <v>564</v>
      </c>
      <c r="C326" t="s">
        <v>1258</v>
      </c>
      <c r="D326" t="s">
        <v>1490</v>
      </c>
      <c r="E326" t="s">
        <v>1491</v>
      </c>
      <c r="F326" t="s">
        <v>839</v>
      </c>
      <c r="G326" s="35">
        <v>289.16000000000003</v>
      </c>
      <c r="H326" s="33">
        <f>G326*(1-IFERROR(VLOOKUP(F326,'enter the discount'!$D$10:$E$40,2,FALSE),0))</f>
        <v>289.16000000000003</v>
      </c>
      <c r="I326" s="35" t="s">
        <v>2630</v>
      </c>
      <c r="J326" s="33" t="s">
        <v>519</v>
      </c>
      <c r="K326" s="33" t="s">
        <v>2749</v>
      </c>
      <c r="L326">
        <v>1</v>
      </c>
      <c r="M326">
        <v>60</v>
      </c>
      <c r="N326" t="s">
        <v>2756</v>
      </c>
      <c r="O326" s="34" t="str">
        <f>HYPERLINK("https://b2b.kobi.pl/pl/product/10030,oprawa-drogowa-led-master-street-80w-4000k-ip66-wb-kobi-pro?currency=PLN")</f>
        <v>https://b2b.kobi.pl/pl/product/10030,oprawa-drogowa-led-master-street-80w-4000k-ip66-wb-kobi-pro?currency=PLN</v>
      </c>
      <c r="P326" s="34" t="str">
        <f>HYPERLINK("https://eprel.ec.europa.eu/qr/1852374")</f>
        <v>https://eprel.ec.europa.eu/qr/1852374</v>
      </c>
      <c r="Q326" t="s">
        <v>2775</v>
      </c>
    </row>
    <row r="327" spans="1:17" ht="14.4" x14ac:dyDescent="0.3">
      <c r="A327" t="s">
        <v>10</v>
      </c>
      <c r="B327" t="s">
        <v>564</v>
      </c>
      <c r="C327" t="s">
        <v>1258</v>
      </c>
      <c r="D327" t="s">
        <v>1492</v>
      </c>
      <c r="E327" t="s">
        <v>1493</v>
      </c>
      <c r="F327" t="s">
        <v>839</v>
      </c>
      <c r="G327" s="35">
        <v>367.23</v>
      </c>
      <c r="H327" s="33">
        <f>G327*(1-IFERROR(VLOOKUP(F327,'enter the discount'!$D$10:$E$40,2,FALSE),0))</f>
        <v>367.23</v>
      </c>
      <c r="I327" s="35" t="s">
        <v>2630</v>
      </c>
      <c r="J327" s="33" t="s">
        <v>515</v>
      </c>
      <c r="K327" s="33" t="s">
        <v>2749</v>
      </c>
      <c r="L327">
        <v>1</v>
      </c>
      <c r="M327"/>
      <c r="N327" t="s">
        <v>2756</v>
      </c>
      <c r="O327" s="34" t="str">
        <f>HYPERLINK("https://b2b.kobi.pl/pl/product/10023,oprawa-drogowa-led-master-street-120w-4000k-ip66-mb-kobi-pro?currency=PLN")</f>
        <v>https://b2b.kobi.pl/pl/product/10023,oprawa-drogowa-led-master-street-120w-4000k-ip66-mb-kobi-pro?currency=PLN</v>
      </c>
      <c r="P327" s="34" t="str">
        <f>HYPERLINK("https://eprel.ec.europa.eu/qr/1852358")</f>
        <v>https://eprel.ec.europa.eu/qr/1852358</v>
      </c>
      <c r="Q327" t="s">
        <v>2775</v>
      </c>
    </row>
    <row r="328" spans="1:17" ht="14.4" x14ac:dyDescent="0.3">
      <c r="A328" t="s">
        <v>10</v>
      </c>
      <c r="B328" t="s">
        <v>564</v>
      </c>
      <c r="C328" t="s">
        <v>1258</v>
      </c>
      <c r="D328" t="s">
        <v>1494</v>
      </c>
      <c r="E328" t="s">
        <v>1495</v>
      </c>
      <c r="F328" t="s">
        <v>839</v>
      </c>
      <c r="G328" s="35">
        <v>367.23</v>
      </c>
      <c r="H328" s="33">
        <f>G328*(1-IFERROR(VLOOKUP(F328,'enter the discount'!$D$10:$E$40,2,FALSE),0))</f>
        <v>367.23</v>
      </c>
      <c r="I328" s="35" t="s">
        <v>2630</v>
      </c>
      <c r="J328" s="33" t="s">
        <v>516</v>
      </c>
      <c r="K328" s="33" t="s">
        <v>2749</v>
      </c>
      <c r="L328">
        <v>1</v>
      </c>
      <c r="M328"/>
      <c r="N328" t="s">
        <v>2756</v>
      </c>
      <c r="O328" s="34" t="str">
        <f>HYPERLINK("https://b2b.kobi.pl/pl/product/10024,oprawa-drogowa-led-master-street-120w-4000k-ip66-wb-kobi-pro?currency=PLN")</f>
        <v>https://b2b.kobi.pl/pl/product/10024,oprawa-drogowa-led-master-street-120w-4000k-ip66-wb-kobi-pro?currency=PLN</v>
      </c>
      <c r="P328" s="34" t="str">
        <f>HYPERLINK("https://eprel.ec.europa.eu/qr/1852358")</f>
        <v>https://eprel.ec.europa.eu/qr/1852358</v>
      </c>
      <c r="Q328" t="s">
        <v>2775</v>
      </c>
    </row>
    <row r="329" spans="1:17" ht="14.4" x14ac:dyDescent="0.3">
      <c r="A329" t="s">
        <v>10</v>
      </c>
      <c r="B329" t="s">
        <v>564</v>
      </c>
      <c r="C329" t="s">
        <v>1258</v>
      </c>
      <c r="D329" t="s">
        <v>1496</v>
      </c>
      <c r="E329" t="s">
        <v>1497</v>
      </c>
      <c r="F329" t="s">
        <v>839</v>
      </c>
      <c r="G329" s="35">
        <v>65.900000000000006</v>
      </c>
      <c r="H329" s="33">
        <f>G329*(1-IFERROR(VLOOKUP(F329,'enter the discount'!$D$10:$E$40,2,FALSE),0))</f>
        <v>65.900000000000006</v>
      </c>
      <c r="I329" s="35" t="s">
        <v>2598</v>
      </c>
      <c r="J329" s="33" t="s">
        <v>448</v>
      </c>
      <c r="K329" s="33" t="s">
        <v>2749</v>
      </c>
      <c r="L329">
        <v>6</v>
      </c>
      <c r="M329">
        <v>96</v>
      </c>
      <c r="N329" t="s">
        <v>2756</v>
      </c>
      <c r="O329" s="34" t="str">
        <f>HYPERLINK("https://b2b.kobi.pl/pl/product/10218,oprawa-drogowa-led-vespa-pro-40w-4000k-ip66-kobi-pro?currency=PLN")</f>
        <v>https://b2b.kobi.pl/pl/product/10218,oprawa-drogowa-led-vespa-pro-40w-4000k-ip66-kobi-pro?currency=PLN</v>
      </c>
      <c r="P329" s="34" t="str">
        <f>HYPERLINK("https://eprel.ec.europa.eu/qr/1410066")</f>
        <v>https://eprel.ec.europa.eu/qr/1410066</v>
      </c>
      <c r="Q329"/>
    </row>
    <row r="330" spans="1:17" ht="14.4" x14ac:dyDescent="0.3">
      <c r="A330" t="s">
        <v>10</v>
      </c>
      <c r="B330" t="s">
        <v>564</v>
      </c>
      <c r="C330" t="s">
        <v>1258</v>
      </c>
      <c r="D330" t="s">
        <v>1498</v>
      </c>
      <c r="E330" t="s">
        <v>1499</v>
      </c>
      <c r="F330" t="s">
        <v>839</v>
      </c>
      <c r="G330" s="35">
        <v>80.62</v>
      </c>
      <c r="H330" s="33">
        <f>G330*(1-IFERROR(VLOOKUP(F330,'enter the discount'!$D$10:$E$40,2,FALSE),0))</f>
        <v>80.62</v>
      </c>
      <c r="I330" s="35" t="s">
        <v>2598</v>
      </c>
      <c r="J330" s="33" t="s">
        <v>449</v>
      </c>
      <c r="K330" s="33" t="s">
        <v>2749</v>
      </c>
      <c r="L330">
        <v>6</v>
      </c>
      <c r="M330">
        <v>96</v>
      </c>
      <c r="N330" t="s">
        <v>2756</v>
      </c>
      <c r="O330" s="34" t="str">
        <f>HYPERLINK("https://b2b.kobi.pl/pl/product/10219,oprawa-drogowa-led-vespa-pro-60w-4000k-ip66-kobi-pro?currency=PLN")</f>
        <v>https://b2b.kobi.pl/pl/product/10219,oprawa-drogowa-led-vespa-pro-60w-4000k-ip66-kobi-pro?currency=PLN</v>
      </c>
      <c r="P330" s="34" t="str">
        <f>HYPERLINK("https://eprel.ec.europa.eu/qr/1410067")</f>
        <v>https://eprel.ec.europa.eu/qr/1410067</v>
      </c>
      <c r="Q330"/>
    </row>
    <row r="331" spans="1:17" ht="14.4" x14ac:dyDescent="0.3">
      <c r="A331" t="s">
        <v>10</v>
      </c>
      <c r="B331" t="s">
        <v>564</v>
      </c>
      <c r="C331" t="s">
        <v>1258</v>
      </c>
      <c r="D331" t="s">
        <v>1500</v>
      </c>
      <c r="E331" t="s">
        <v>1501</v>
      </c>
      <c r="F331" t="s">
        <v>839</v>
      </c>
      <c r="G331" s="35">
        <v>121.8</v>
      </c>
      <c r="H331" s="33">
        <f>G331*(1-IFERROR(VLOOKUP(F331,'enter the discount'!$D$10:$E$40,2,FALSE),0))</f>
        <v>121.8</v>
      </c>
      <c r="I331" s="35" t="s">
        <v>2598</v>
      </c>
      <c r="J331" s="33" t="s">
        <v>450</v>
      </c>
      <c r="K331" s="33" t="s">
        <v>2749</v>
      </c>
      <c r="L331">
        <v>6</v>
      </c>
      <c r="M331">
        <v>54</v>
      </c>
      <c r="N331" t="s">
        <v>2756</v>
      </c>
      <c r="O331" s="34" t="str">
        <f>HYPERLINK("https://b2b.kobi.pl/pl/product/10213,oprawa-drogowa-led-vespa-pro-100w-4000k-ip66-kobi-pro?currency=PLN")</f>
        <v>https://b2b.kobi.pl/pl/product/10213,oprawa-drogowa-led-vespa-pro-100w-4000k-ip66-kobi-pro?currency=PLN</v>
      </c>
      <c r="P331" s="34" t="str">
        <f>HYPERLINK("https://eprel.ec.europa.eu/qr/1410068")</f>
        <v>https://eprel.ec.europa.eu/qr/1410068</v>
      </c>
      <c r="Q331"/>
    </row>
    <row r="332" spans="1:17" ht="14.4" x14ac:dyDescent="0.3">
      <c r="A332" t="s">
        <v>10</v>
      </c>
      <c r="B332" t="s">
        <v>564</v>
      </c>
      <c r="C332" t="s">
        <v>1258</v>
      </c>
      <c r="D332" t="s">
        <v>1502</v>
      </c>
      <c r="E332" t="s">
        <v>1503</v>
      </c>
      <c r="F332" t="s">
        <v>839</v>
      </c>
      <c r="G332" s="35">
        <v>138.12</v>
      </c>
      <c r="H332" s="33">
        <f>G332*(1-IFERROR(VLOOKUP(F332,'enter the discount'!$D$10:$E$40,2,FALSE),0))</f>
        <v>138.12</v>
      </c>
      <c r="I332" s="35" t="s">
        <v>2598</v>
      </c>
      <c r="J332" s="33" t="s">
        <v>451</v>
      </c>
      <c r="K332" s="33" t="s">
        <v>2749</v>
      </c>
      <c r="L332">
        <v>4</v>
      </c>
      <c r="M332">
        <v>48</v>
      </c>
      <c r="N332" t="s">
        <v>2756</v>
      </c>
      <c r="O332" s="34" t="str">
        <f>HYPERLINK("https://b2b.kobi.pl/pl/product/10214,oprawa-drogowa-led-vespa-pro-150w-4000k-ip66-kobi-pro?currency=PLN")</f>
        <v>https://b2b.kobi.pl/pl/product/10214,oprawa-drogowa-led-vespa-pro-150w-4000k-ip66-kobi-pro?currency=PLN</v>
      </c>
      <c r="P332" s="34" t="str">
        <f>HYPERLINK("https://eprel.ec.europa.eu/qr/1410069")</f>
        <v>https://eprel.ec.europa.eu/qr/1410069</v>
      </c>
      <c r="Q332"/>
    </row>
    <row r="333" spans="1:17" ht="14.4" x14ac:dyDescent="0.3">
      <c r="A333" t="s">
        <v>10</v>
      </c>
      <c r="B333" t="s">
        <v>564</v>
      </c>
      <c r="C333" t="s">
        <v>1258</v>
      </c>
      <c r="D333" t="s">
        <v>1504</v>
      </c>
      <c r="E333" t="s">
        <v>1505</v>
      </c>
      <c r="F333" t="s">
        <v>839</v>
      </c>
      <c r="G333" s="35">
        <v>176.4</v>
      </c>
      <c r="H333" s="33">
        <f>G333*(1-IFERROR(VLOOKUP(F333,'enter the discount'!$D$10:$E$40,2,FALSE),0))</f>
        <v>176.4</v>
      </c>
      <c r="I333" s="35" t="s">
        <v>2598</v>
      </c>
      <c r="J333" s="33" t="s">
        <v>452</v>
      </c>
      <c r="K333" s="33" t="s">
        <v>2749</v>
      </c>
      <c r="L333">
        <v>4</v>
      </c>
      <c r="M333">
        <v>36</v>
      </c>
      <c r="N333" t="s">
        <v>2756</v>
      </c>
      <c r="O333" s="34" t="str">
        <f>HYPERLINK("https://b2b.kobi.pl/pl/product/10215,oprawa-drogowa-led-vespa-pro-200w-4000k-ip66-kobi-pro?currency=PLN")</f>
        <v>https://b2b.kobi.pl/pl/product/10215,oprawa-drogowa-led-vespa-pro-200w-4000k-ip66-kobi-pro?currency=PLN</v>
      </c>
      <c r="P333" s="34" t="str">
        <f>HYPERLINK("https://eprel.ec.europa.eu/qr/1410070")</f>
        <v>https://eprel.ec.europa.eu/qr/1410070</v>
      </c>
      <c r="Q333"/>
    </row>
    <row r="334" spans="1:17" ht="14.4" x14ac:dyDescent="0.3">
      <c r="A334" t="s">
        <v>10</v>
      </c>
      <c r="B334" t="s">
        <v>29</v>
      </c>
      <c r="C334" t="s">
        <v>1258</v>
      </c>
      <c r="D334" t="s">
        <v>1506</v>
      </c>
      <c r="E334" t="s">
        <v>1507</v>
      </c>
      <c r="F334" t="s">
        <v>834</v>
      </c>
      <c r="G334" s="35">
        <v>156.63</v>
      </c>
      <c r="H334" s="33">
        <f>G334*(1-IFERROR(VLOOKUP(F334,'enter the discount'!$D$10:$E$40,2,FALSE),0))</f>
        <v>156.63</v>
      </c>
      <c r="I334" s="35" t="s">
        <v>2630</v>
      </c>
      <c r="J334" s="33" t="s">
        <v>569</v>
      </c>
      <c r="K334" s="33" t="s">
        <v>2749</v>
      </c>
      <c r="L334">
        <v>1</v>
      </c>
      <c r="M334">
        <v>62</v>
      </c>
      <c r="N334" t="s">
        <v>2757</v>
      </c>
      <c r="O334" s="34" t="str">
        <f>HYPERLINK("https://b2b.kobi.pl/pl/product/9889,high-bay-led-anica-100w-4000k-ip65-120-kobi-pro?currency=PLN")</f>
        <v>https://b2b.kobi.pl/pl/product/9889,high-bay-led-anica-100w-4000k-ip65-120-kobi-pro?currency=PLN</v>
      </c>
      <c r="P334" s="34" t="str">
        <f>HYPERLINK("https://eprel.ec.europa.eu/qr/1899009")</f>
        <v>https://eprel.ec.europa.eu/qr/1899009</v>
      </c>
      <c r="Q334"/>
    </row>
    <row r="335" spans="1:17" ht="14.4" x14ac:dyDescent="0.3">
      <c r="A335" t="s">
        <v>10</v>
      </c>
      <c r="B335" t="s">
        <v>29</v>
      </c>
      <c r="C335" t="s">
        <v>1258</v>
      </c>
      <c r="D335" t="s">
        <v>1508</v>
      </c>
      <c r="E335" t="s">
        <v>1509</v>
      </c>
      <c r="F335" t="s">
        <v>834</v>
      </c>
      <c r="G335" s="35">
        <v>156.63</v>
      </c>
      <c r="H335" s="33">
        <f>G335*(1-IFERROR(VLOOKUP(F335,'enter the discount'!$D$10:$E$40,2,FALSE),0))</f>
        <v>156.63</v>
      </c>
      <c r="I335" s="35" t="s">
        <v>2630</v>
      </c>
      <c r="J335" s="33" t="s">
        <v>570</v>
      </c>
      <c r="K335" s="33" t="s">
        <v>2749</v>
      </c>
      <c r="L335">
        <v>1</v>
      </c>
      <c r="M335">
        <v>62</v>
      </c>
      <c r="N335" t="s">
        <v>2757</v>
      </c>
      <c r="O335" s="34" t="str">
        <f>HYPERLINK("https://b2b.kobi.pl/pl/product/9890,high-bay-led-anica-100w-4000k-ip65-90-kobi-pro?currency=PLN")</f>
        <v>https://b2b.kobi.pl/pl/product/9890,high-bay-led-anica-100w-4000k-ip65-90-kobi-pro?currency=PLN</v>
      </c>
      <c r="P335" s="34" t="str">
        <f>HYPERLINK("https://eprel.ec.europa.eu/qr/1899009")</f>
        <v>https://eprel.ec.europa.eu/qr/1899009</v>
      </c>
      <c r="Q335"/>
    </row>
    <row r="336" spans="1:17" ht="14.4" x14ac:dyDescent="0.3">
      <c r="A336" t="s">
        <v>10</v>
      </c>
      <c r="B336" t="s">
        <v>29</v>
      </c>
      <c r="C336" t="s">
        <v>1258</v>
      </c>
      <c r="D336" t="s">
        <v>1510</v>
      </c>
      <c r="E336" t="s">
        <v>1511</v>
      </c>
      <c r="F336" t="s">
        <v>834</v>
      </c>
      <c r="G336" s="35">
        <v>241.69</v>
      </c>
      <c r="H336" s="33">
        <f>G336*(1-IFERROR(VLOOKUP(F336,'enter the discount'!$D$10:$E$40,2,FALSE),0))</f>
        <v>241.69</v>
      </c>
      <c r="I336" s="35" t="s">
        <v>2594</v>
      </c>
      <c r="J336" s="33" t="s">
        <v>363</v>
      </c>
      <c r="K336" s="33" t="s">
        <v>2749</v>
      </c>
      <c r="L336">
        <v>1</v>
      </c>
      <c r="M336">
        <v>54</v>
      </c>
      <c r="N336" t="s">
        <v>2756</v>
      </c>
      <c r="O336" s="34" t="str">
        <f>HYPERLINK("https://b2b.kobi.pl/pl/product/8405,high-bay-led-neo-150w-4000k-ip65-110-kobi-pro?currency=PLN")</f>
        <v>https://b2b.kobi.pl/pl/product/8405,high-bay-led-neo-150w-4000k-ip65-110-kobi-pro?currency=PLN</v>
      </c>
      <c r="P336" s="34" t="str">
        <f>HYPERLINK("https://eprel.ec.europa.eu/qr/669376")</f>
        <v>https://eprel.ec.europa.eu/qr/669376</v>
      </c>
      <c r="Q336" t="s">
        <v>2775</v>
      </c>
    </row>
    <row r="337" spans="1:17" ht="14.4" x14ac:dyDescent="0.3">
      <c r="A337" t="s">
        <v>10</v>
      </c>
      <c r="B337" t="s">
        <v>29</v>
      </c>
      <c r="C337" t="s">
        <v>1258</v>
      </c>
      <c r="D337" t="s">
        <v>1512</v>
      </c>
      <c r="E337" t="s">
        <v>1513</v>
      </c>
      <c r="F337" t="s">
        <v>834</v>
      </c>
      <c r="G337" s="35">
        <v>308.67</v>
      </c>
      <c r="H337" s="33">
        <f>G337*(1-IFERROR(VLOOKUP(F337,'enter the discount'!$D$10:$E$40,2,FALSE),0))</f>
        <v>308.67</v>
      </c>
      <c r="I337" s="35" t="s">
        <v>2594</v>
      </c>
      <c r="J337" s="33" t="s">
        <v>364</v>
      </c>
      <c r="K337" s="33" t="s">
        <v>2749</v>
      </c>
      <c r="L337">
        <v>1</v>
      </c>
      <c r="M337">
        <v>54</v>
      </c>
      <c r="N337" t="s">
        <v>2756</v>
      </c>
      <c r="O337" s="34" t="str">
        <f>HYPERLINK("https://b2b.kobi.pl/pl/product/8406,high-bay-led-neo-200w-4000k-ip65-110-kobi-pro?currency=PLN")</f>
        <v>https://b2b.kobi.pl/pl/product/8406,high-bay-led-neo-200w-4000k-ip65-110-kobi-pro?currency=PLN</v>
      </c>
      <c r="P337" s="34" t="str">
        <f>HYPERLINK("https://eprel.ec.europa.eu/qr/669377")</f>
        <v>https://eprel.ec.europa.eu/qr/669377</v>
      </c>
      <c r="Q337" t="s">
        <v>2775</v>
      </c>
    </row>
    <row r="338" spans="1:17" ht="14.4" x14ac:dyDescent="0.3">
      <c r="A338" t="s">
        <v>10</v>
      </c>
      <c r="B338" t="s">
        <v>29</v>
      </c>
      <c r="C338" t="s">
        <v>1258</v>
      </c>
      <c r="D338" t="s">
        <v>1514</v>
      </c>
      <c r="E338" t="s">
        <v>1515</v>
      </c>
      <c r="F338" t="s">
        <v>834</v>
      </c>
      <c r="G338" s="35">
        <v>241.2</v>
      </c>
      <c r="H338" s="33">
        <f>G338*(1-IFERROR(VLOOKUP(F338,'enter the discount'!$D$10:$E$40,2,FALSE),0))</f>
        <v>241.2</v>
      </c>
      <c r="I338" s="35" t="s">
        <v>2630</v>
      </c>
      <c r="J338" s="33" t="s">
        <v>793</v>
      </c>
      <c r="K338" s="33" t="s">
        <v>2749</v>
      </c>
      <c r="L338">
        <v>1</v>
      </c>
      <c r="M338">
        <v>54</v>
      </c>
      <c r="N338" t="s">
        <v>2757</v>
      </c>
      <c r="O338" s="34" t="str">
        <f>HYPERLINK("https://b2b.kobi.pl/pl/product/9893,high-bay-led-anica-200w-4000k-ip65-120-kobi-pro?currency=PLN")</f>
        <v>https://b2b.kobi.pl/pl/product/9893,high-bay-led-anica-200w-4000k-ip65-120-kobi-pro?currency=PLN</v>
      </c>
      <c r="P338" s="34" t="str">
        <f>HYPERLINK("https://eprel.ec.europa.eu/qr/2132245")</f>
        <v>https://eprel.ec.europa.eu/qr/2132245</v>
      </c>
      <c r="Q338"/>
    </row>
    <row r="339" spans="1:17" ht="14.4" x14ac:dyDescent="0.3">
      <c r="A339" t="s">
        <v>10</v>
      </c>
      <c r="B339" t="s">
        <v>29</v>
      </c>
      <c r="C339" t="s">
        <v>1258</v>
      </c>
      <c r="D339" t="s">
        <v>1516</v>
      </c>
      <c r="E339" t="s">
        <v>1517</v>
      </c>
      <c r="F339" t="s">
        <v>834</v>
      </c>
      <c r="G339" s="35">
        <v>241.2</v>
      </c>
      <c r="H339" s="33">
        <f>G339*(1-IFERROR(VLOOKUP(F339,'enter the discount'!$D$10:$E$40,2,FALSE),0))</f>
        <v>241.2</v>
      </c>
      <c r="I339" s="35" t="s">
        <v>2630</v>
      </c>
      <c r="J339" s="33" t="s">
        <v>794</v>
      </c>
      <c r="K339" s="33" t="s">
        <v>2749</v>
      </c>
      <c r="L339">
        <v>1</v>
      </c>
      <c r="M339"/>
      <c r="N339" t="s">
        <v>2757</v>
      </c>
      <c r="O339" s="34" t="str">
        <f>HYPERLINK("https://b2b.kobi.pl/pl/product/9894,high-bay-led-anica-200w-4000k-ip65-90-kobi-pro?currency=PLN")</f>
        <v>https://b2b.kobi.pl/pl/product/9894,high-bay-led-anica-200w-4000k-ip65-90-kobi-pro?currency=PLN</v>
      </c>
      <c r="P339" s="34" t="str">
        <f>HYPERLINK("https://eprel.ec.europa.eu/qr/2132245")</f>
        <v>https://eprel.ec.europa.eu/qr/2132245</v>
      </c>
      <c r="Q339"/>
    </row>
    <row r="340" spans="1:17" ht="14.4" x14ac:dyDescent="0.3">
      <c r="A340" t="s">
        <v>10</v>
      </c>
      <c r="B340" t="s">
        <v>29</v>
      </c>
      <c r="C340" t="s">
        <v>1258</v>
      </c>
      <c r="D340" t="s">
        <v>1518</v>
      </c>
      <c r="E340" t="s">
        <v>1519</v>
      </c>
      <c r="F340" t="s">
        <v>834</v>
      </c>
      <c r="G340" s="35">
        <v>151.81</v>
      </c>
      <c r="H340" s="33">
        <f>G340*(1-IFERROR(VLOOKUP(F340,'enter the discount'!$D$10:$E$40,2,FALSE),0))</f>
        <v>151.81</v>
      </c>
      <c r="I340" s="35" t="s">
        <v>2595</v>
      </c>
      <c r="J340" s="33" t="s">
        <v>571</v>
      </c>
      <c r="K340" s="33" t="s">
        <v>2749</v>
      </c>
      <c r="L340">
        <v>1</v>
      </c>
      <c r="M340"/>
      <c r="N340" t="s">
        <v>2756</v>
      </c>
      <c r="O340" s="34" t="str">
        <f>HYPERLINK("https://b2b.kobi.pl/pl/product/10107,high-bay-led-nico-120w-4000k-ip65-60x90-kobi-pro?currency=PLN")</f>
        <v>https://b2b.kobi.pl/pl/product/10107,high-bay-led-nico-120w-4000k-ip65-60x90-kobi-pro?currency=PLN</v>
      </c>
      <c r="P340" s="34" t="str">
        <f>HYPERLINK("https://eprel.ec.europa.eu/qr/1960269")</f>
        <v>https://eprel.ec.europa.eu/qr/1960269</v>
      </c>
      <c r="Q340"/>
    </row>
    <row r="341" spans="1:17" ht="14.4" x14ac:dyDescent="0.3">
      <c r="A341" t="s">
        <v>10</v>
      </c>
      <c r="B341" t="s">
        <v>29</v>
      </c>
      <c r="C341" t="s">
        <v>1258</v>
      </c>
      <c r="D341" t="s">
        <v>1520</v>
      </c>
      <c r="E341" t="s">
        <v>1521</v>
      </c>
      <c r="F341" t="s">
        <v>834</v>
      </c>
      <c r="G341" s="35">
        <v>74.7</v>
      </c>
      <c r="H341" s="33">
        <f>G341*(1-IFERROR(VLOOKUP(F341,'enter the discount'!$D$10:$E$40,2,FALSE),0))</f>
        <v>74.7</v>
      </c>
      <c r="I341" s="35" t="s">
        <v>2598</v>
      </c>
      <c r="J341" s="33" t="s">
        <v>514</v>
      </c>
      <c r="K341" s="33" t="s">
        <v>2749</v>
      </c>
      <c r="L341">
        <v>1</v>
      </c>
      <c r="M341">
        <v>108</v>
      </c>
      <c r="N341" t="s">
        <v>2756</v>
      </c>
      <c r="O341" s="34" t="str">
        <f>HYPERLINK("https://b2b.kobi.pl/pl/product/10177,high-bay-led-rio-pro-100w-4000k-ip66-kobi-pro?currency=PLN")</f>
        <v>https://b2b.kobi.pl/pl/product/10177,high-bay-led-rio-pro-100w-4000k-ip66-kobi-pro?currency=PLN</v>
      </c>
      <c r="P341" s="34" t="str">
        <f>HYPERLINK("https://eprel.ec.europa.eu/qr/2166588")</f>
        <v>https://eprel.ec.europa.eu/qr/2166588</v>
      </c>
      <c r="Q341"/>
    </row>
    <row r="342" spans="1:17" ht="14.4" x14ac:dyDescent="0.3">
      <c r="A342" t="s">
        <v>10</v>
      </c>
      <c r="B342" t="s">
        <v>29</v>
      </c>
      <c r="C342" t="s">
        <v>1258</v>
      </c>
      <c r="D342" t="s">
        <v>1522</v>
      </c>
      <c r="E342" t="s">
        <v>1523</v>
      </c>
      <c r="F342" t="s">
        <v>834</v>
      </c>
      <c r="G342" s="35">
        <v>98.8</v>
      </c>
      <c r="H342" s="33">
        <f>G342*(1-IFERROR(VLOOKUP(F342,'enter the discount'!$D$10:$E$40,2,FALSE),0))</f>
        <v>98.8</v>
      </c>
      <c r="I342" s="35" t="s">
        <v>2598</v>
      </c>
      <c r="J342" s="33" t="s">
        <v>640</v>
      </c>
      <c r="K342" s="33" t="s">
        <v>2749</v>
      </c>
      <c r="L342">
        <v>1</v>
      </c>
      <c r="M342"/>
      <c r="N342" t="s">
        <v>2756</v>
      </c>
      <c r="O342" s="34" t="str">
        <f>HYPERLINK("https://b2b.kobi.pl/pl/product/10178,high-bay-led-rio-pro-150w-4000k-ip66-kobi-pro?currency=PLN")</f>
        <v>https://b2b.kobi.pl/pl/product/10178,high-bay-led-rio-pro-150w-4000k-ip66-kobi-pro?currency=PLN</v>
      </c>
      <c r="P342" t="s">
        <v>3</v>
      </c>
      <c r="Q342"/>
    </row>
    <row r="343" spans="1:17" ht="14.4" x14ac:dyDescent="0.3">
      <c r="A343" t="s">
        <v>10</v>
      </c>
      <c r="B343" t="s">
        <v>29</v>
      </c>
      <c r="C343" t="s">
        <v>1258</v>
      </c>
      <c r="D343" t="s">
        <v>1524</v>
      </c>
      <c r="E343" t="s">
        <v>1525</v>
      </c>
      <c r="F343" t="s">
        <v>834</v>
      </c>
      <c r="G343" s="35">
        <v>118.07</v>
      </c>
      <c r="H343" s="33">
        <f>G343*(1-IFERROR(VLOOKUP(F343,'enter the discount'!$D$10:$E$40,2,FALSE),0))</f>
        <v>118.07</v>
      </c>
      <c r="I343" s="35" t="s">
        <v>2598</v>
      </c>
      <c r="J343" s="33" t="s">
        <v>641</v>
      </c>
      <c r="K343" s="33" t="s">
        <v>2749</v>
      </c>
      <c r="L343">
        <v>1</v>
      </c>
      <c r="M343">
        <v>60</v>
      </c>
      <c r="N343" t="s">
        <v>2756</v>
      </c>
      <c r="O343" s="34" t="str">
        <f>HYPERLINK("https://b2b.kobi.pl/pl/product/10180,high-bay-led-rio-pro-200w-4000k-ip66-kobi-pro?currency=PLN")</f>
        <v>https://b2b.kobi.pl/pl/product/10180,high-bay-led-rio-pro-200w-4000k-ip66-kobi-pro?currency=PLN</v>
      </c>
      <c r="P343" s="34" t="str">
        <f>HYPERLINK("https://eprel.ec.europa.eu/qr/2166659")</f>
        <v>https://eprel.ec.europa.eu/qr/2166659</v>
      </c>
      <c r="Q343"/>
    </row>
    <row r="344" spans="1:17" ht="14.4" x14ac:dyDescent="0.3">
      <c r="A344" t="s">
        <v>10</v>
      </c>
      <c r="B344" t="s">
        <v>29</v>
      </c>
      <c r="C344" t="s">
        <v>1258</v>
      </c>
      <c r="D344" t="s">
        <v>1526</v>
      </c>
      <c r="E344" t="s">
        <v>1527</v>
      </c>
      <c r="F344" t="s">
        <v>834</v>
      </c>
      <c r="G344" s="35">
        <v>133.33000000000001</v>
      </c>
      <c r="H344" s="33">
        <f>G344*(1-IFERROR(VLOOKUP(F344,'enter the discount'!$D$10:$E$40,2,FALSE),0))</f>
        <v>133.33000000000001</v>
      </c>
      <c r="I344" s="35" t="s">
        <v>2595</v>
      </c>
      <c r="J344" s="33" t="s">
        <v>805</v>
      </c>
      <c r="K344" s="33" t="s">
        <v>2749</v>
      </c>
      <c r="L344">
        <v>1</v>
      </c>
      <c r="M344">
        <v>60</v>
      </c>
      <c r="N344" t="s">
        <v>2756</v>
      </c>
      <c r="O344" s="34" t="str">
        <f>HYPERLINK("https://b2b.kobi.pl/pl/product/10179,high-bay-led-rio-pro-200w-2cct-kobi-pro?currency=PLN")</f>
        <v>https://b2b.kobi.pl/pl/product/10179,high-bay-led-rio-pro-200w-2cct-kobi-pro?currency=PLN</v>
      </c>
      <c r="P344" s="34" t="str">
        <f>HYPERLINK("https://eprel.ec.europa.eu/qr/2166664")</f>
        <v>https://eprel.ec.europa.eu/qr/2166664</v>
      </c>
      <c r="Q344"/>
    </row>
    <row r="345" spans="1:17" ht="14.4" x14ac:dyDescent="0.3">
      <c r="A345" t="s">
        <v>10</v>
      </c>
      <c r="B345" t="s">
        <v>29</v>
      </c>
      <c r="C345" t="s">
        <v>1258</v>
      </c>
      <c r="D345" t="s">
        <v>1528</v>
      </c>
      <c r="E345" t="s">
        <v>1529</v>
      </c>
      <c r="F345" t="s">
        <v>834</v>
      </c>
      <c r="G345" s="35">
        <v>149.4</v>
      </c>
      <c r="H345" s="33">
        <f>G345*(1-IFERROR(VLOOKUP(F345,'enter the discount'!$D$10:$E$40,2,FALSE),0))</f>
        <v>149.4</v>
      </c>
      <c r="I345" s="35" t="s">
        <v>2598</v>
      </c>
      <c r="J345" s="33" t="s">
        <v>2631</v>
      </c>
      <c r="K345" s="33" t="s">
        <v>2749</v>
      </c>
      <c r="L345">
        <v>1</v>
      </c>
      <c r="M345"/>
      <c r="N345" t="s">
        <v>2756</v>
      </c>
      <c r="O345" s="34" t="str">
        <f>HYPERLINK("https://b2b.kobi.pl/pl/product/10046,high-bay-led-nina-100w-4000k-110-kobi-pro?currency=PLN")</f>
        <v>https://b2b.kobi.pl/pl/product/10046,high-bay-led-nina-100w-4000k-110-kobi-pro?currency=PLN</v>
      </c>
      <c r="P345" s="34" t="str">
        <f>HYPERLINK("https://eprel.ec.europa.eu/qr/1252696")</f>
        <v>https://eprel.ec.europa.eu/qr/1252696</v>
      </c>
      <c r="Q345" t="s">
        <v>2775</v>
      </c>
    </row>
    <row r="346" spans="1:17" ht="14.4" x14ac:dyDescent="0.3">
      <c r="A346" t="s">
        <v>10</v>
      </c>
      <c r="B346" t="s">
        <v>29</v>
      </c>
      <c r="C346" t="s">
        <v>1258</v>
      </c>
      <c r="D346" t="s">
        <v>1530</v>
      </c>
      <c r="E346" t="s">
        <v>1531</v>
      </c>
      <c r="F346" t="s">
        <v>834</v>
      </c>
      <c r="G346" s="35">
        <v>183.13</v>
      </c>
      <c r="H346" s="33">
        <f>G346*(1-IFERROR(VLOOKUP(F346,'enter the discount'!$D$10:$E$40,2,FALSE),0))</f>
        <v>183.13</v>
      </c>
      <c r="I346" s="35" t="s">
        <v>2598</v>
      </c>
      <c r="J346" s="33" t="s">
        <v>434</v>
      </c>
      <c r="K346" s="33" t="s">
        <v>2749</v>
      </c>
      <c r="L346">
        <v>1</v>
      </c>
      <c r="M346"/>
      <c r="N346" t="s">
        <v>2756</v>
      </c>
      <c r="O346" s="34" t="str">
        <f>HYPERLINK("https://b2b.kobi.pl/pl/product/10048,high-bay-led-nina-150w-4000k-110-kobi-pro?currency=PLN")</f>
        <v>https://b2b.kobi.pl/pl/product/10048,high-bay-led-nina-150w-4000k-110-kobi-pro?currency=PLN</v>
      </c>
      <c r="P346" s="34" t="str">
        <f>HYPERLINK("https://eprel.ec.europa.eu/qr/1252697")</f>
        <v>https://eprel.ec.europa.eu/qr/1252697</v>
      </c>
      <c r="Q346" t="s">
        <v>2775</v>
      </c>
    </row>
    <row r="347" spans="1:17" ht="14.4" x14ac:dyDescent="0.3">
      <c r="A347" t="s">
        <v>10</v>
      </c>
      <c r="B347" t="s">
        <v>29</v>
      </c>
      <c r="C347" t="s">
        <v>1258</v>
      </c>
      <c r="D347" t="s">
        <v>1532</v>
      </c>
      <c r="E347" t="s">
        <v>1533</v>
      </c>
      <c r="F347" t="s">
        <v>834</v>
      </c>
      <c r="G347" s="35">
        <v>183.13</v>
      </c>
      <c r="H347" s="33">
        <f>G347*(1-IFERROR(VLOOKUP(F347,'enter the discount'!$D$10:$E$40,2,FALSE),0))</f>
        <v>183.13</v>
      </c>
      <c r="I347" s="35" t="s">
        <v>2598</v>
      </c>
      <c r="J347" s="33" t="s">
        <v>477</v>
      </c>
      <c r="K347" s="33" t="s">
        <v>2749</v>
      </c>
      <c r="L347">
        <v>1</v>
      </c>
      <c r="M347">
        <v>91</v>
      </c>
      <c r="N347" t="s">
        <v>2756</v>
      </c>
      <c r="O347" s="34" t="str">
        <f>HYPERLINK("https://b2b.kobi.pl/pl/product/10049,high-bay-led-nina-150w-4000k-90-kobi-pro?currency=PLN")</f>
        <v>https://b2b.kobi.pl/pl/product/10049,high-bay-led-nina-150w-4000k-90-kobi-pro?currency=PLN</v>
      </c>
      <c r="P347" s="34" t="str">
        <f>HYPERLINK("https://eprel.ec.europa.eu/qr/1521961")</f>
        <v>https://eprel.ec.europa.eu/qr/1521961</v>
      </c>
      <c r="Q347" t="s">
        <v>2775</v>
      </c>
    </row>
    <row r="348" spans="1:17" ht="14.4" x14ac:dyDescent="0.3">
      <c r="A348" t="s">
        <v>10</v>
      </c>
      <c r="B348" t="s">
        <v>29</v>
      </c>
      <c r="C348" t="s">
        <v>1258</v>
      </c>
      <c r="D348" t="s">
        <v>1534</v>
      </c>
      <c r="E348" t="s">
        <v>1535</v>
      </c>
      <c r="F348" t="s">
        <v>834</v>
      </c>
      <c r="G348" s="35">
        <v>265.06</v>
      </c>
      <c r="H348" s="33">
        <f>G348*(1-IFERROR(VLOOKUP(F348,'enter the discount'!$D$10:$E$40,2,FALSE),0))</f>
        <v>265.06</v>
      </c>
      <c r="I348" s="35" t="s">
        <v>2598</v>
      </c>
      <c r="J348" s="33" t="s">
        <v>435</v>
      </c>
      <c r="K348" s="33" t="s">
        <v>2749</v>
      </c>
      <c r="L348">
        <v>1</v>
      </c>
      <c r="M348"/>
      <c r="N348" t="s">
        <v>2756</v>
      </c>
      <c r="O348" s="34" t="str">
        <f>HYPERLINK("https://b2b.kobi.pl/pl/product/10050,high-bay-led-nina-200w-4000k-110-kobi-pro?currency=PLN")</f>
        <v>https://b2b.kobi.pl/pl/product/10050,high-bay-led-nina-200w-4000k-110-kobi-pro?currency=PLN</v>
      </c>
      <c r="P348" s="34" t="str">
        <f>HYPERLINK("https://eprel.ec.europa.eu/qr/1252699")</f>
        <v>https://eprel.ec.europa.eu/qr/1252699</v>
      </c>
      <c r="Q348" t="s">
        <v>2775</v>
      </c>
    </row>
    <row r="349" spans="1:17" ht="14.4" x14ac:dyDescent="0.3">
      <c r="A349" t="s">
        <v>10</v>
      </c>
      <c r="B349" t="s">
        <v>29</v>
      </c>
      <c r="C349" t="s">
        <v>1258</v>
      </c>
      <c r="D349" t="s">
        <v>1536</v>
      </c>
      <c r="E349" t="s">
        <v>1537</v>
      </c>
      <c r="F349" t="s">
        <v>834</v>
      </c>
      <c r="G349" s="35">
        <v>18.7</v>
      </c>
      <c r="H349" s="33">
        <f>G349*(1-IFERROR(VLOOKUP(F349,'enter the discount'!$D$10:$E$40,2,FALSE),0))</f>
        <v>18.7</v>
      </c>
      <c r="I349" s="35" t="s">
        <v>2609</v>
      </c>
      <c r="J349" s="33" t="s">
        <v>513</v>
      </c>
      <c r="K349" s="33" t="s">
        <v>2749</v>
      </c>
      <c r="L349">
        <v>20</v>
      </c>
      <c r="M349"/>
      <c r="N349" t="s">
        <v>2754</v>
      </c>
      <c r="O349" s="34" t="str">
        <f>HYPERLINK("https://b2b.kobi.pl/pl/product/10045,oslona-do-led-nina-hb-100w-kobi?currency=PLN")</f>
        <v>https://b2b.kobi.pl/pl/product/10045,oslona-do-led-nina-hb-100w-kobi?currency=PLN</v>
      </c>
      <c r="P349" t="s">
        <v>3</v>
      </c>
      <c r="Q349" t="s">
        <v>2775</v>
      </c>
    </row>
    <row r="350" spans="1:17" ht="14.4" x14ac:dyDescent="0.3">
      <c r="A350" t="s">
        <v>10</v>
      </c>
      <c r="B350" t="s">
        <v>29</v>
      </c>
      <c r="C350" t="s">
        <v>1258</v>
      </c>
      <c r="D350" t="s">
        <v>1538</v>
      </c>
      <c r="E350" t="s">
        <v>1539</v>
      </c>
      <c r="F350" t="s">
        <v>834</v>
      </c>
      <c r="G350" s="35">
        <v>21.04</v>
      </c>
      <c r="H350" s="33">
        <f>G350*(1-IFERROR(VLOOKUP(F350,'enter the discount'!$D$10:$E$40,2,FALSE),0))</f>
        <v>21.04</v>
      </c>
      <c r="I350" s="35" t="s">
        <v>2609</v>
      </c>
      <c r="J350" s="33" t="s">
        <v>438</v>
      </c>
      <c r="K350" s="33" t="s">
        <v>2749</v>
      </c>
      <c r="L350">
        <v>20</v>
      </c>
      <c r="M350"/>
      <c r="N350" t="s">
        <v>2754</v>
      </c>
      <c r="O350" s="34" t="str">
        <f>HYPERLINK("https://b2b.kobi.pl/pl/product/10053,oslona-do-led-nina-hb-200w-kobi?currency=PLN")</f>
        <v>https://b2b.kobi.pl/pl/product/10053,oslona-do-led-nina-hb-200w-kobi?currency=PLN</v>
      </c>
      <c r="P350" t="s">
        <v>3</v>
      </c>
      <c r="Q350" t="s">
        <v>2775</v>
      </c>
    </row>
    <row r="351" spans="1:17" ht="14.4" x14ac:dyDescent="0.3">
      <c r="A351" t="s">
        <v>10</v>
      </c>
      <c r="B351" t="s">
        <v>29</v>
      </c>
      <c r="C351" t="s">
        <v>1258</v>
      </c>
      <c r="D351" t="s">
        <v>1540</v>
      </c>
      <c r="E351" t="s">
        <v>1541</v>
      </c>
      <c r="F351" t="s">
        <v>834</v>
      </c>
      <c r="G351" s="35">
        <v>10.84</v>
      </c>
      <c r="H351" s="33">
        <f>G351*(1-IFERROR(VLOOKUP(F351,'enter the discount'!$D$10:$E$40,2,FALSE),0))</f>
        <v>10.84</v>
      </c>
      <c r="I351" s="35" t="s">
        <v>2609</v>
      </c>
      <c r="J351" s="33" t="s">
        <v>368</v>
      </c>
      <c r="K351" s="33" t="s">
        <v>2749</v>
      </c>
      <c r="L351">
        <v>1</v>
      </c>
      <c r="M351"/>
      <c r="N351" t="s">
        <v>2754</v>
      </c>
      <c r="O351" s="34" t="str">
        <f>HYPERLINK("https://b2b.kobi.pl/pl/product/11109,oslona-do-neo-150w-200w-kobi-pro?currency=PLN")</f>
        <v>https://b2b.kobi.pl/pl/product/11109,oslona-do-neo-150w-200w-kobi-pro?currency=PLN</v>
      </c>
      <c r="P351" t="s">
        <v>3</v>
      </c>
      <c r="Q351" t="s">
        <v>2775</v>
      </c>
    </row>
    <row r="352" spans="1:17" ht="14.4" x14ac:dyDescent="0.3">
      <c r="A352" t="s">
        <v>10</v>
      </c>
      <c r="B352" t="s">
        <v>29</v>
      </c>
      <c r="C352" t="s">
        <v>1258</v>
      </c>
      <c r="D352" t="s">
        <v>1542</v>
      </c>
      <c r="E352" t="s">
        <v>1543</v>
      </c>
      <c r="F352" t="s">
        <v>834</v>
      </c>
      <c r="G352" s="35">
        <v>25.73</v>
      </c>
      <c r="H352" s="33">
        <f>G352*(1-IFERROR(VLOOKUP(F352,'enter the discount'!$D$10:$E$40,2,FALSE),0))</f>
        <v>25.73</v>
      </c>
      <c r="I352" s="35" t="s">
        <v>2609</v>
      </c>
      <c r="J352" s="33" t="s">
        <v>439</v>
      </c>
      <c r="K352" s="33" t="s">
        <v>2749</v>
      </c>
      <c r="L352">
        <v>12</v>
      </c>
      <c r="M352"/>
      <c r="N352" t="s">
        <v>2754</v>
      </c>
      <c r="O352" s="34" t="str">
        <f>HYPERLINK("https://b2b.kobi.pl/pl/product/10054,uchwyt-do-led-nina-hb-100w-kobi?currency=PLN")</f>
        <v>https://b2b.kobi.pl/pl/product/10054,uchwyt-do-led-nina-hb-100w-kobi?currency=PLN</v>
      </c>
      <c r="P352" t="s">
        <v>3</v>
      </c>
      <c r="Q352" t="s">
        <v>2775</v>
      </c>
    </row>
    <row r="353" spans="1:17" ht="14.4" x14ac:dyDescent="0.3">
      <c r="A353" t="s">
        <v>10</v>
      </c>
      <c r="B353" t="s">
        <v>29</v>
      </c>
      <c r="C353" t="s">
        <v>1258</v>
      </c>
      <c r="D353" t="s">
        <v>634</v>
      </c>
      <c r="E353" t="s">
        <v>1544</v>
      </c>
      <c r="F353" t="s">
        <v>834</v>
      </c>
      <c r="G353" s="35">
        <v>27.47</v>
      </c>
      <c r="H353" s="33">
        <f>G353*(1-IFERROR(VLOOKUP(F353,'enter the discount'!$D$10:$E$40,2,FALSE),0))</f>
        <v>27.47</v>
      </c>
      <c r="I353" s="35" t="s">
        <v>2609</v>
      </c>
      <c r="J353" s="33" t="s">
        <v>432</v>
      </c>
      <c r="K353" s="33" t="s">
        <v>2749</v>
      </c>
      <c r="L353">
        <v>12</v>
      </c>
      <c r="M353"/>
      <c r="N353" t="s">
        <v>2754</v>
      </c>
      <c r="O353" s="34" t="str">
        <f>HYPERLINK("https://b2b.kobi.pl/pl/product/10055,uchwyt-do-led-nina-hb-150w-kobi?currency=PLN")</f>
        <v>https://b2b.kobi.pl/pl/product/10055,uchwyt-do-led-nina-hb-150w-kobi?currency=PLN</v>
      </c>
      <c r="P353" t="s">
        <v>3</v>
      </c>
      <c r="Q353" t="s">
        <v>2775</v>
      </c>
    </row>
    <row r="354" spans="1:17" ht="14.4" x14ac:dyDescent="0.3">
      <c r="A354" t="s">
        <v>10</v>
      </c>
      <c r="B354" t="s">
        <v>29</v>
      </c>
      <c r="C354" t="s">
        <v>1258</v>
      </c>
      <c r="D354" t="s">
        <v>635</v>
      </c>
      <c r="E354" t="s">
        <v>1545</v>
      </c>
      <c r="F354" t="s">
        <v>834</v>
      </c>
      <c r="G354" s="35">
        <v>30.12</v>
      </c>
      <c r="H354" s="33">
        <f>G354*(1-IFERROR(VLOOKUP(F354,'enter the discount'!$D$10:$E$40,2,FALSE),0))</f>
        <v>30.12</v>
      </c>
      <c r="I354" s="35" t="s">
        <v>2609</v>
      </c>
      <c r="J354" s="33" t="s">
        <v>433</v>
      </c>
      <c r="K354" s="33" t="s">
        <v>2749</v>
      </c>
      <c r="L354">
        <v>12</v>
      </c>
      <c r="M354"/>
      <c r="N354" t="s">
        <v>2754</v>
      </c>
      <c r="O354" s="34" t="str">
        <f>HYPERLINK("https://b2b.kobi.pl/pl/product/10056,uchwyt-do-led-nina-hb-200w-kobi?currency=PLN")</f>
        <v>https://b2b.kobi.pl/pl/product/10056,uchwyt-do-led-nina-hb-200w-kobi?currency=PLN</v>
      </c>
      <c r="P354" t="s">
        <v>3</v>
      </c>
      <c r="Q354" t="s">
        <v>2775</v>
      </c>
    </row>
    <row r="355" spans="1:17" ht="14.4" x14ac:dyDescent="0.3">
      <c r="A355" t="s">
        <v>10</v>
      </c>
      <c r="B355" t="s">
        <v>29</v>
      </c>
      <c r="C355" t="s">
        <v>910</v>
      </c>
      <c r="D355" t="s">
        <v>1546</v>
      </c>
      <c r="E355" t="s">
        <v>1547</v>
      </c>
      <c r="F355" t="s">
        <v>834</v>
      </c>
      <c r="G355" s="35">
        <v>12.29</v>
      </c>
      <c r="H355" s="33">
        <f>G355*(1-IFERROR(VLOOKUP(F355,'enter the discount'!$D$10:$E$40,2,FALSE),0))</f>
        <v>12.29</v>
      </c>
      <c r="I355" s="35" t="s">
        <v>2609</v>
      </c>
      <c r="J355" s="33" t="s">
        <v>520</v>
      </c>
      <c r="K355" s="33" t="s">
        <v>2749</v>
      </c>
      <c r="L355">
        <v>54</v>
      </c>
      <c r="M355"/>
      <c r="N355" t="s">
        <v>2754</v>
      </c>
      <c r="O355" s="34" t="str">
        <f>HYPERLINK("https://b2b.kobi.pl/pl/product/10181,uchwyt-do-led-rio-pro-100w-kobi?currency=PLN")</f>
        <v>https://b2b.kobi.pl/pl/product/10181,uchwyt-do-led-rio-pro-100w-kobi?currency=PLN</v>
      </c>
      <c r="P355" t="s">
        <v>3</v>
      </c>
      <c r="Q355" t="s">
        <v>2775</v>
      </c>
    </row>
    <row r="356" spans="1:17" ht="14.4" x14ac:dyDescent="0.3">
      <c r="A356" t="s">
        <v>10</v>
      </c>
      <c r="B356" t="s">
        <v>29</v>
      </c>
      <c r="C356" t="s">
        <v>910</v>
      </c>
      <c r="D356" t="s">
        <v>1548</v>
      </c>
      <c r="E356" t="s">
        <v>1549</v>
      </c>
      <c r="F356" t="s">
        <v>834</v>
      </c>
      <c r="G356" s="35">
        <v>14.7</v>
      </c>
      <c r="H356" s="33">
        <f>G356*(1-IFERROR(VLOOKUP(F356,'enter the discount'!$D$10:$E$40,2,FALSE),0))</f>
        <v>14.7</v>
      </c>
      <c r="I356" s="35" t="s">
        <v>2609</v>
      </c>
      <c r="J356" s="33" t="s">
        <v>651</v>
      </c>
      <c r="K356" s="33" t="s">
        <v>2749</v>
      </c>
      <c r="L356">
        <v>54</v>
      </c>
      <c r="M356"/>
      <c r="N356" t="s">
        <v>2754</v>
      </c>
      <c r="O356" s="34" t="str">
        <f>HYPERLINK("https://b2b.kobi.pl/pl/product/10182,uchwyt-do-led-rio-pro-150w-kobi?currency=PLN")</f>
        <v>https://b2b.kobi.pl/pl/product/10182,uchwyt-do-led-rio-pro-150w-kobi?currency=PLN</v>
      </c>
      <c r="P356" t="s">
        <v>3</v>
      </c>
      <c r="Q356" t="s">
        <v>2775</v>
      </c>
    </row>
    <row r="357" spans="1:17" ht="14.4" x14ac:dyDescent="0.3">
      <c r="A357" t="s">
        <v>10</v>
      </c>
      <c r="B357" t="s">
        <v>29</v>
      </c>
      <c r="C357" t="s">
        <v>910</v>
      </c>
      <c r="D357" t="s">
        <v>1550</v>
      </c>
      <c r="E357" t="s">
        <v>1551</v>
      </c>
      <c r="F357" t="s">
        <v>834</v>
      </c>
      <c r="G357" s="35">
        <v>17.11</v>
      </c>
      <c r="H357" s="33">
        <f>G357*(1-IFERROR(VLOOKUP(F357,'enter the discount'!$D$10:$E$40,2,FALSE),0))</f>
        <v>17.11</v>
      </c>
      <c r="I357" s="35" t="s">
        <v>2609</v>
      </c>
      <c r="J357" s="33" t="s">
        <v>652</v>
      </c>
      <c r="K357" s="33" t="s">
        <v>2749</v>
      </c>
      <c r="L357">
        <v>36</v>
      </c>
      <c r="M357"/>
      <c r="N357" t="s">
        <v>2754</v>
      </c>
      <c r="O357" s="34" t="str">
        <f>HYPERLINK("https://b2b.kobi.pl/pl/product/10183,uchwyt-do-led-rio-pro-200w-kobi?currency=PLN")</f>
        <v>https://b2b.kobi.pl/pl/product/10183,uchwyt-do-led-rio-pro-200w-kobi?currency=PLN</v>
      </c>
      <c r="P357" t="s">
        <v>3</v>
      </c>
      <c r="Q357" t="s">
        <v>2775</v>
      </c>
    </row>
    <row r="358" spans="1:17" ht="14.4" x14ac:dyDescent="0.3">
      <c r="A358" t="s">
        <v>10</v>
      </c>
      <c r="B358" t="s">
        <v>29</v>
      </c>
      <c r="C358" t="s">
        <v>1258</v>
      </c>
      <c r="D358" t="s">
        <v>1552</v>
      </c>
      <c r="E358" t="s">
        <v>1553</v>
      </c>
      <c r="F358" t="s">
        <v>834</v>
      </c>
      <c r="G358" s="35">
        <v>27.47</v>
      </c>
      <c r="H358" s="33">
        <f>G358*(1-IFERROR(VLOOKUP(F358,'enter the discount'!$D$10:$E$40,2,FALSE),0))</f>
        <v>27.47</v>
      </c>
      <c r="I358" s="35" t="s">
        <v>2609</v>
      </c>
      <c r="J358" s="33" t="s">
        <v>369</v>
      </c>
      <c r="K358" s="33" t="s">
        <v>2749</v>
      </c>
      <c r="L358">
        <v>10</v>
      </c>
      <c r="M358">
        <v>200</v>
      </c>
      <c r="N358" t="s">
        <v>2756</v>
      </c>
      <c r="O358" s="34" t="str">
        <f>HYPERLINK("https://b2b.kobi.pl/pl/product/11116,uchwyt-do-neo-150w-200w-kobi-pro?currency=PLN")</f>
        <v>https://b2b.kobi.pl/pl/product/11116,uchwyt-do-neo-150w-200w-kobi-pro?currency=PLN</v>
      </c>
      <c r="P358" t="s">
        <v>3</v>
      </c>
      <c r="Q358" t="s">
        <v>2775</v>
      </c>
    </row>
    <row r="359" spans="1:17" ht="14.4" x14ac:dyDescent="0.3">
      <c r="A359" t="s">
        <v>10</v>
      </c>
      <c r="B359" t="s">
        <v>29</v>
      </c>
      <c r="C359" t="s">
        <v>1258</v>
      </c>
      <c r="D359" t="s">
        <v>1554</v>
      </c>
      <c r="E359" t="s">
        <v>1555</v>
      </c>
      <c r="F359" t="s">
        <v>834</v>
      </c>
      <c r="G359" s="35">
        <v>14.46</v>
      </c>
      <c r="H359" s="33">
        <f>G359*(1-IFERROR(VLOOKUP(F359,'enter the discount'!$D$10:$E$40,2,FALSE),0))</f>
        <v>14.46</v>
      </c>
      <c r="I359" s="35" t="s">
        <v>2609</v>
      </c>
      <c r="J359" s="33" t="s">
        <v>581</v>
      </c>
      <c r="K359" s="33" t="s">
        <v>2749</v>
      </c>
      <c r="L359">
        <v>20</v>
      </c>
      <c r="M359"/>
      <c r="N359" t="s">
        <v>2754</v>
      </c>
      <c r="O359" s="34" t="str">
        <f>HYPERLINK("https://b2b.kobi.pl/pl/product/9895,uniwersalny-uchwyt-do-high-bay-m10-kobi-pro?currency=PLN")</f>
        <v>https://b2b.kobi.pl/pl/product/9895,uniwersalny-uchwyt-do-high-bay-m10-kobi-pro?currency=PLN</v>
      </c>
      <c r="P359" t="s">
        <v>3</v>
      </c>
      <c r="Q359"/>
    </row>
    <row r="360" spans="1:17" ht="14.4" x14ac:dyDescent="0.3">
      <c r="A360" t="s">
        <v>11</v>
      </c>
      <c r="B360" t="s">
        <v>1556</v>
      </c>
      <c r="C360" t="s">
        <v>910</v>
      </c>
      <c r="D360" t="s">
        <v>1557</v>
      </c>
      <c r="E360" t="s">
        <v>1558</v>
      </c>
      <c r="F360" t="s">
        <v>854</v>
      </c>
      <c r="G360" s="35">
        <v>15.73</v>
      </c>
      <c r="H360" s="33">
        <f>G360*(1-IFERROR(VLOOKUP(F360,'enter the discount'!$D$10:$E$40,2,FALSE),0))</f>
        <v>15.73</v>
      </c>
      <c r="I360" s="35" t="s">
        <v>2609</v>
      </c>
      <c r="J360" s="33" t="s">
        <v>241</v>
      </c>
      <c r="K360" s="33" t="s">
        <v>2749</v>
      </c>
      <c r="L360">
        <v>20</v>
      </c>
      <c r="M360">
        <v>1120</v>
      </c>
      <c r="N360" t="s">
        <v>2754</v>
      </c>
      <c r="O360" s="34" t="str">
        <f>HYPERLINK("https://b2b.kobi.pl/pl/product/10339,oprawa-do-nabudowania-aquarius-1xgu10-okragly-ip44-bialy-kobi?currency=PLN")</f>
        <v>https://b2b.kobi.pl/pl/product/10339,oprawa-do-nabudowania-aquarius-1xgu10-okragly-ip44-bialy-kobi?currency=PLN</v>
      </c>
      <c r="P360" t="s">
        <v>3</v>
      </c>
      <c r="Q360"/>
    </row>
    <row r="361" spans="1:17" ht="14.4" x14ac:dyDescent="0.3">
      <c r="A361" t="s">
        <v>11</v>
      </c>
      <c r="B361" t="s">
        <v>1556</v>
      </c>
      <c r="C361" t="s">
        <v>910</v>
      </c>
      <c r="D361" t="s">
        <v>1559</v>
      </c>
      <c r="E361" t="s">
        <v>1560</v>
      </c>
      <c r="F361" t="s">
        <v>854</v>
      </c>
      <c r="G361" s="35">
        <v>15.73</v>
      </c>
      <c r="H361" s="33">
        <f>G361*(1-IFERROR(VLOOKUP(F361,'enter the discount'!$D$10:$E$40,2,FALSE),0))</f>
        <v>15.73</v>
      </c>
      <c r="I361" s="35" t="s">
        <v>2609</v>
      </c>
      <c r="J361" s="33" t="s">
        <v>239</v>
      </c>
      <c r="K361" s="33" t="s">
        <v>2749</v>
      </c>
      <c r="L361">
        <v>20</v>
      </c>
      <c r="M361">
        <v>1120</v>
      </c>
      <c r="N361" t="s">
        <v>2754</v>
      </c>
      <c r="O361" s="34" t="str">
        <f>HYPERLINK("https://b2b.kobi.pl/pl/product/10341,oprawa-do-nabudowania-aquarius-1xgu10-okragly-ip44-czarny-kobi?currency=PLN")</f>
        <v>https://b2b.kobi.pl/pl/product/10341,oprawa-do-nabudowania-aquarius-1xgu10-okragly-ip44-czarny-kobi?currency=PLN</v>
      </c>
      <c r="P361" t="s">
        <v>3</v>
      </c>
      <c r="Q361"/>
    </row>
    <row r="362" spans="1:17" ht="14.4" x14ac:dyDescent="0.3">
      <c r="A362" t="s">
        <v>11</v>
      </c>
      <c r="B362" t="s">
        <v>1556</v>
      </c>
      <c r="C362" t="s">
        <v>910</v>
      </c>
      <c r="D362" t="s">
        <v>1561</v>
      </c>
      <c r="E362" t="s">
        <v>1562</v>
      </c>
      <c r="F362" t="s">
        <v>854</v>
      </c>
      <c r="G362" s="35">
        <v>15.73</v>
      </c>
      <c r="H362" s="33">
        <f>G362*(1-IFERROR(VLOOKUP(F362,'enter the discount'!$D$10:$E$40,2,FALSE),0))</f>
        <v>15.73</v>
      </c>
      <c r="I362" s="35" t="s">
        <v>2609</v>
      </c>
      <c r="J362" s="33" t="s">
        <v>240</v>
      </c>
      <c r="K362" s="33" t="s">
        <v>2749</v>
      </c>
      <c r="L362">
        <v>20</v>
      </c>
      <c r="M362">
        <v>840</v>
      </c>
      <c r="N362" t="s">
        <v>2754</v>
      </c>
      <c r="O362" s="34" t="str">
        <f>HYPERLINK("https://b2b.kobi.pl/pl/product/10340,oprawa-do-nabudowania-aquarius-1xgu10-okragly-ip44-chrom-kobi?currency=PLN")</f>
        <v>https://b2b.kobi.pl/pl/product/10340,oprawa-do-nabudowania-aquarius-1xgu10-okragly-ip44-chrom-kobi?currency=PLN</v>
      </c>
      <c r="P362" t="s">
        <v>3</v>
      </c>
      <c r="Q362" t="s">
        <v>2775</v>
      </c>
    </row>
    <row r="363" spans="1:17" ht="14.4" x14ac:dyDescent="0.3">
      <c r="A363" t="s">
        <v>11</v>
      </c>
      <c r="B363" t="s">
        <v>1556</v>
      </c>
      <c r="C363" t="s">
        <v>910</v>
      </c>
      <c r="D363" t="s">
        <v>1563</v>
      </c>
      <c r="E363" t="s">
        <v>1564</v>
      </c>
      <c r="F363" t="s">
        <v>854</v>
      </c>
      <c r="G363" s="35">
        <v>19.11</v>
      </c>
      <c r="H363" s="33">
        <f>G363*(1-IFERROR(VLOOKUP(F363,'enter the discount'!$D$10:$E$40,2,FALSE),0))</f>
        <v>19.11</v>
      </c>
      <c r="I363" s="35" t="s">
        <v>2609</v>
      </c>
      <c r="J363" s="33" t="s">
        <v>243</v>
      </c>
      <c r="K363" s="33" t="s">
        <v>2749</v>
      </c>
      <c r="L363">
        <v>20</v>
      </c>
      <c r="M363"/>
      <c r="N363" t="s">
        <v>2754</v>
      </c>
      <c r="O363" s="34" t="str">
        <f>HYPERLINK("https://b2b.kobi.pl/pl/product/10342,oprawa-do-nabudowania-aquarius-1xgu10-kwadrat-ip44-bialy-kobi?currency=PLN")</f>
        <v>https://b2b.kobi.pl/pl/product/10342,oprawa-do-nabudowania-aquarius-1xgu10-kwadrat-ip44-bialy-kobi?currency=PLN</v>
      </c>
      <c r="P363" t="s">
        <v>3</v>
      </c>
      <c r="Q363" t="s">
        <v>2775</v>
      </c>
    </row>
    <row r="364" spans="1:17" ht="14.4" x14ac:dyDescent="0.3">
      <c r="A364" t="s">
        <v>11</v>
      </c>
      <c r="B364" t="s">
        <v>1556</v>
      </c>
      <c r="C364" t="s">
        <v>910</v>
      </c>
      <c r="D364" t="s">
        <v>1565</v>
      </c>
      <c r="E364" t="s">
        <v>1566</v>
      </c>
      <c r="F364" t="s">
        <v>854</v>
      </c>
      <c r="G364" s="35">
        <v>19.11</v>
      </c>
      <c r="H364" s="33">
        <f>G364*(1-IFERROR(VLOOKUP(F364,'enter the discount'!$D$10:$E$40,2,FALSE),0))</f>
        <v>19.11</v>
      </c>
      <c r="I364" s="35" t="s">
        <v>2609</v>
      </c>
      <c r="J364" s="33" t="s">
        <v>242</v>
      </c>
      <c r="K364" s="33" t="s">
        <v>2749</v>
      </c>
      <c r="L364">
        <v>20</v>
      </c>
      <c r="M364"/>
      <c r="N364" t="s">
        <v>2754</v>
      </c>
      <c r="O364" s="34" t="str">
        <f>HYPERLINK("https://b2b.kobi.pl/pl/product/10344,oprawa-do-nabudowania-aquarius-1xgu10-kwadrat-ip44-czarny-kobi?currency=PLN")</f>
        <v>https://b2b.kobi.pl/pl/product/10344,oprawa-do-nabudowania-aquarius-1xgu10-kwadrat-ip44-czarny-kobi?currency=PLN</v>
      </c>
      <c r="P364" t="s">
        <v>3</v>
      </c>
      <c r="Q364" t="s">
        <v>2775</v>
      </c>
    </row>
    <row r="365" spans="1:17" ht="14.4" x14ac:dyDescent="0.3">
      <c r="A365" t="s">
        <v>11</v>
      </c>
      <c r="B365" t="s">
        <v>1556</v>
      </c>
      <c r="C365" t="s">
        <v>910</v>
      </c>
      <c r="D365" t="s">
        <v>1567</v>
      </c>
      <c r="E365" t="s">
        <v>1568</v>
      </c>
      <c r="F365" t="s">
        <v>854</v>
      </c>
      <c r="G365" s="35">
        <v>11.08</v>
      </c>
      <c r="H365" s="33">
        <f>G365*(1-IFERROR(VLOOKUP(F365,'enter the discount'!$D$10:$E$40,2,FALSE),0))</f>
        <v>11.08</v>
      </c>
      <c r="I365" s="35" t="s">
        <v>2609</v>
      </c>
      <c r="J365" s="33" t="s">
        <v>229</v>
      </c>
      <c r="K365" s="33" t="s">
        <v>2749</v>
      </c>
      <c r="L365">
        <v>20</v>
      </c>
      <c r="M365">
        <v>1120</v>
      </c>
      <c r="N365" t="s">
        <v>2754</v>
      </c>
      <c r="O365" s="34" t="str">
        <f>HYPERLINK("https://b2b.kobi.pl/pl/product/10426,oprawa-do-nadbudowania-oh36-biala-kobi?currency=PLN")</f>
        <v>https://b2b.kobi.pl/pl/product/10426,oprawa-do-nadbudowania-oh36-biala-kobi?currency=PLN</v>
      </c>
      <c r="P365" t="s">
        <v>3</v>
      </c>
      <c r="Q365"/>
    </row>
    <row r="366" spans="1:17" ht="14.4" x14ac:dyDescent="0.3">
      <c r="A366" t="s">
        <v>11</v>
      </c>
      <c r="B366" t="s">
        <v>1556</v>
      </c>
      <c r="C366" t="s">
        <v>910</v>
      </c>
      <c r="D366" t="s">
        <v>1569</v>
      </c>
      <c r="E366" t="s">
        <v>1570</v>
      </c>
      <c r="F366" t="s">
        <v>854</v>
      </c>
      <c r="G366" s="35">
        <v>11.08</v>
      </c>
      <c r="H366" s="33">
        <f>G366*(1-IFERROR(VLOOKUP(F366,'enter the discount'!$D$10:$E$40,2,FALSE),0))</f>
        <v>11.08</v>
      </c>
      <c r="I366" s="35" t="s">
        <v>2609</v>
      </c>
      <c r="J366" s="33" t="s">
        <v>230</v>
      </c>
      <c r="K366" s="33" t="s">
        <v>2749</v>
      </c>
      <c r="L366">
        <v>20</v>
      </c>
      <c r="M366">
        <v>1120</v>
      </c>
      <c r="N366" t="s">
        <v>2754</v>
      </c>
      <c r="O366" s="34" t="str">
        <f>HYPERLINK("https://b2b.kobi.pl/pl/product/10428,oprawa-do-nadbudowania-oh36-czarna-kobi?currency=PLN")</f>
        <v>https://b2b.kobi.pl/pl/product/10428,oprawa-do-nadbudowania-oh36-czarna-kobi?currency=PLN</v>
      </c>
      <c r="P366" t="s">
        <v>3</v>
      </c>
      <c r="Q366"/>
    </row>
    <row r="367" spans="1:17" ht="14.4" x14ac:dyDescent="0.3">
      <c r="A367" t="s">
        <v>11</v>
      </c>
      <c r="B367" t="s">
        <v>1556</v>
      </c>
      <c r="C367" t="s">
        <v>910</v>
      </c>
      <c r="D367" t="s">
        <v>1571</v>
      </c>
      <c r="E367" t="s">
        <v>1572</v>
      </c>
      <c r="F367" t="s">
        <v>854</v>
      </c>
      <c r="G367" s="35">
        <v>13.73</v>
      </c>
      <c r="H367" s="33">
        <f>G367*(1-IFERROR(VLOOKUP(F367,'enter the discount'!$D$10:$E$40,2,FALSE),0))</f>
        <v>13.73</v>
      </c>
      <c r="I367" s="35" t="s">
        <v>2609</v>
      </c>
      <c r="J367" s="33" t="s">
        <v>231</v>
      </c>
      <c r="K367" s="33" t="s">
        <v>2749</v>
      </c>
      <c r="L367">
        <v>20</v>
      </c>
      <c r="M367">
        <v>700</v>
      </c>
      <c r="N367" t="s">
        <v>2754</v>
      </c>
      <c r="O367" s="34" t="str">
        <f>HYPERLINK("https://b2b.kobi.pl/pl/product/10429,oprawa-do-nadbudowania-oh36-l-biala-kobi?currency=PLN")</f>
        <v>https://b2b.kobi.pl/pl/product/10429,oprawa-do-nadbudowania-oh36-l-biala-kobi?currency=PLN</v>
      </c>
      <c r="P367" t="s">
        <v>3</v>
      </c>
      <c r="Q367"/>
    </row>
    <row r="368" spans="1:17" ht="14.4" x14ac:dyDescent="0.3">
      <c r="A368" t="s">
        <v>11</v>
      </c>
      <c r="B368" t="s">
        <v>1556</v>
      </c>
      <c r="C368" t="s">
        <v>910</v>
      </c>
      <c r="D368" t="s">
        <v>1573</v>
      </c>
      <c r="E368" t="s">
        <v>1574</v>
      </c>
      <c r="F368" t="s">
        <v>854</v>
      </c>
      <c r="G368" s="35">
        <v>13.73</v>
      </c>
      <c r="H368" s="33">
        <f>G368*(1-IFERROR(VLOOKUP(F368,'enter the discount'!$D$10:$E$40,2,FALSE),0))</f>
        <v>13.73</v>
      </c>
      <c r="I368" s="35" t="s">
        <v>2609</v>
      </c>
      <c r="J368" s="33" t="s">
        <v>2632</v>
      </c>
      <c r="K368" s="33" t="s">
        <v>2749</v>
      </c>
      <c r="L368">
        <v>20</v>
      </c>
      <c r="M368">
        <v>700</v>
      </c>
      <c r="N368" t="s">
        <v>2754</v>
      </c>
      <c r="O368" s="34" t="str">
        <f>HYPERLINK("https://b2b.kobi.pl/pl/product/10430,oprawa-do-nadbudowania-oh36-l-chrom-kobi?currency=PLN")</f>
        <v>https://b2b.kobi.pl/pl/product/10430,oprawa-do-nadbudowania-oh36-l-chrom-kobi?currency=PLN</v>
      </c>
      <c r="P368" t="s">
        <v>3</v>
      </c>
      <c r="Q368" t="s">
        <v>2775</v>
      </c>
    </row>
    <row r="369" spans="1:17" ht="14.4" x14ac:dyDescent="0.3">
      <c r="A369" t="s">
        <v>11</v>
      </c>
      <c r="B369" t="s">
        <v>1556</v>
      </c>
      <c r="C369" t="s">
        <v>910</v>
      </c>
      <c r="D369" t="s">
        <v>1575</v>
      </c>
      <c r="E369" t="s">
        <v>1576</v>
      </c>
      <c r="F369" t="s">
        <v>854</v>
      </c>
      <c r="G369" s="35">
        <v>13.73</v>
      </c>
      <c r="H369" s="33">
        <f>G369*(1-IFERROR(VLOOKUP(F369,'enter the discount'!$D$10:$E$40,2,FALSE),0))</f>
        <v>13.73</v>
      </c>
      <c r="I369" s="35" t="s">
        <v>2609</v>
      </c>
      <c r="J369" s="33" t="s">
        <v>232</v>
      </c>
      <c r="K369" s="33" t="s">
        <v>2749</v>
      </c>
      <c r="L369">
        <v>20</v>
      </c>
      <c r="M369">
        <v>700</v>
      </c>
      <c r="N369" t="s">
        <v>2754</v>
      </c>
      <c r="O369" s="34" t="str">
        <f>HYPERLINK("https://b2b.kobi.pl/pl/product/10431,oprawa-do-nadbudowania-oh36-l-czarna-kobi?currency=PLN")</f>
        <v>https://b2b.kobi.pl/pl/product/10431,oprawa-do-nadbudowania-oh36-l-czarna-kobi?currency=PLN</v>
      </c>
      <c r="P369" t="s">
        <v>3</v>
      </c>
      <c r="Q369"/>
    </row>
    <row r="370" spans="1:17" ht="14.4" x14ac:dyDescent="0.3">
      <c r="A370" t="s">
        <v>11</v>
      </c>
      <c r="B370" t="s">
        <v>1556</v>
      </c>
      <c r="C370" t="s">
        <v>910</v>
      </c>
      <c r="D370" t="s">
        <v>1577</v>
      </c>
      <c r="E370" t="s">
        <v>1578</v>
      </c>
      <c r="F370" t="s">
        <v>854</v>
      </c>
      <c r="G370" s="35">
        <v>10.36</v>
      </c>
      <c r="H370" s="33">
        <f>G370*(1-IFERROR(VLOOKUP(F370,'enter the discount'!$D$10:$E$40,2,FALSE),0))</f>
        <v>10.36</v>
      </c>
      <c r="I370" s="35" t="s">
        <v>2609</v>
      </c>
      <c r="J370" s="33" t="s">
        <v>233</v>
      </c>
      <c r="K370" s="33" t="s">
        <v>2749</v>
      </c>
      <c r="L370">
        <v>20</v>
      </c>
      <c r="M370">
        <v>1600</v>
      </c>
      <c r="N370" t="s">
        <v>2754</v>
      </c>
      <c r="O370" s="34" t="str">
        <f>HYPERLINK("https://b2b.kobi.pl/pl/product/10432,oprawa-do-nadbudowania-oh36-s-biala-kobi?currency=PLN")</f>
        <v>https://b2b.kobi.pl/pl/product/10432,oprawa-do-nadbudowania-oh36-s-biala-kobi?currency=PLN</v>
      </c>
      <c r="P370" t="s">
        <v>3</v>
      </c>
      <c r="Q370"/>
    </row>
    <row r="371" spans="1:17" ht="14.4" x14ac:dyDescent="0.3">
      <c r="A371" t="s">
        <v>11</v>
      </c>
      <c r="B371" t="s">
        <v>1556</v>
      </c>
      <c r="C371" t="s">
        <v>910</v>
      </c>
      <c r="D371" t="s">
        <v>1579</v>
      </c>
      <c r="E371" t="s">
        <v>1580</v>
      </c>
      <c r="F371" t="s">
        <v>854</v>
      </c>
      <c r="G371" s="35">
        <v>10.36</v>
      </c>
      <c r="H371" s="33">
        <f>G371*(1-IFERROR(VLOOKUP(F371,'enter the discount'!$D$10:$E$40,2,FALSE),0))</f>
        <v>10.36</v>
      </c>
      <c r="I371" s="35" t="s">
        <v>2609</v>
      </c>
      <c r="J371" s="33" t="s">
        <v>234</v>
      </c>
      <c r="K371" s="33" t="s">
        <v>2749</v>
      </c>
      <c r="L371">
        <v>20</v>
      </c>
      <c r="M371">
        <v>1600</v>
      </c>
      <c r="N371" t="s">
        <v>2754</v>
      </c>
      <c r="O371" s="34" t="str">
        <f>HYPERLINK("https://b2b.kobi.pl/pl/product/10434,oprawa-do-nadbudowania-oh36-s-czarna-kobi?currency=PLN")</f>
        <v>https://b2b.kobi.pl/pl/product/10434,oprawa-do-nadbudowania-oh36-s-czarna-kobi?currency=PLN</v>
      </c>
      <c r="P371" t="s">
        <v>3</v>
      </c>
      <c r="Q371"/>
    </row>
    <row r="372" spans="1:17" ht="14.4" x14ac:dyDescent="0.3">
      <c r="A372" t="s">
        <v>11</v>
      </c>
      <c r="B372" t="s">
        <v>1556</v>
      </c>
      <c r="C372" t="s">
        <v>910</v>
      </c>
      <c r="D372" t="s">
        <v>1581</v>
      </c>
      <c r="E372" t="s">
        <v>1582</v>
      </c>
      <c r="F372" t="s">
        <v>854</v>
      </c>
      <c r="G372" s="35">
        <v>13.37</v>
      </c>
      <c r="H372" s="33">
        <f>G372*(1-IFERROR(VLOOKUP(F372,'enter the discount'!$D$10:$E$40,2,FALSE),0))</f>
        <v>13.37</v>
      </c>
      <c r="I372" s="35" t="s">
        <v>2609</v>
      </c>
      <c r="J372" s="33" t="s">
        <v>235</v>
      </c>
      <c r="K372" s="33" t="s">
        <v>2749</v>
      </c>
      <c r="L372">
        <v>20</v>
      </c>
      <c r="M372">
        <v>980</v>
      </c>
      <c r="N372" t="s">
        <v>2754</v>
      </c>
      <c r="O372" s="34" t="str">
        <f>HYPERLINK("https://b2b.kobi.pl/pl/product/10436,oprawa-do-nadbudowania-oh37-chrom-kobi?currency=PLN")</f>
        <v>https://b2b.kobi.pl/pl/product/10436,oprawa-do-nadbudowania-oh37-chrom-kobi?currency=PLN</v>
      </c>
      <c r="P372" t="s">
        <v>3</v>
      </c>
      <c r="Q372" t="s">
        <v>2775</v>
      </c>
    </row>
    <row r="373" spans="1:17" ht="14.4" x14ac:dyDescent="0.3">
      <c r="A373" t="s">
        <v>11</v>
      </c>
      <c r="B373" t="s">
        <v>1556</v>
      </c>
      <c r="C373" t="s">
        <v>910</v>
      </c>
      <c r="D373" t="s">
        <v>1583</v>
      </c>
      <c r="E373" t="s">
        <v>1584</v>
      </c>
      <c r="F373" t="s">
        <v>854</v>
      </c>
      <c r="G373" s="35">
        <v>13.37</v>
      </c>
      <c r="H373" s="33">
        <f>G373*(1-IFERROR(VLOOKUP(F373,'enter the discount'!$D$10:$E$40,2,FALSE),0))</f>
        <v>13.37</v>
      </c>
      <c r="I373" s="35" t="s">
        <v>2609</v>
      </c>
      <c r="J373" s="33" t="s">
        <v>236</v>
      </c>
      <c r="K373" s="33" t="s">
        <v>2749</v>
      </c>
      <c r="L373">
        <v>20</v>
      </c>
      <c r="M373">
        <v>980</v>
      </c>
      <c r="N373" t="s">
        <v>2754</v>
      </c>
      <c r="O373" s="34" t="str">
        <f>HYPERLINK("https://b2b.kobi.pl/pl/product/10437,oprawa-do-nadbudowania-oh37-czarna-kobi?currency=PLN")</f>
        <v>https://b2b.kobi.pl/pl/product/10437,oprawa-do-nadbudowania-oh37-czarna-kobi?currency=PLN</v>
      </c>
      <c r="P373" t="s">
        <v>3</v>
      </c>
      <c r="Q373"/>
    </row>
    <row r="374" spans="1:17" ht="14.4" x14ac:dyDescent="0.3">
      <c r="A374" t="s">
        <v>11</v>
      </c>
      <c r="B374" t="s">
        <v>1556</v>
      </c>
      <c r="C374" t="s">
        <v>910</v>
      </c>
      <c r="D374" t="s">
        <v>1585</v>
      </c>
      <c r="E374" t="s">
        <v>1586</v>
      </c>
      <c r="F374" t="s">
        <v>854</v>
      </c>
      <c r="G374" s="35">
        <v>16.02</v>
      </c>
      <c r="H374" s="33">
        <f>G374*(1-IFERROR(VLOOKUP(F374,'enter the discount'!$D$10:$E$40,2,FALSE),0))</f>
        <v>16.02</v>
      </c>
      <c r="I374" s="35" t="s">
        <v>2609</v>
      </c>
      <c r="J374" s="33" t="s">
        <v>2633</v>
      </c>
      <c r="K374" s="33" t="s">
        <v>2749</v>
      </c>
      <c r="L374">
        <v>20</v>
      </c>
      <c r="M374"/>
      <c r="N374" t="s">
        <v>2754</v>
      </c>
      <c r="O374" s="34" t="str">
        <f>HYPERLINK("https://b2b.kobi.pl/pl/product/10439,oprawa-do-nadbudowania-oh37-l-chrom-kobi?currency=PLN")</f>
        <v>https://b2b.kobi.pl/pl/product/10439,oprawa-do-nadbudowania-oh37-l-chrom-kobi?currency=PLN</v>
      </c>
      <c r="P374" t="s">
        <v>3</v>
      </c>
      <c r="Q374" t="s">
        <v>2775</v>
      </c>
    </row>
    <row r="375" spans="1:17" ht="14.4" x14ac:dyDescent="0.3">
      <c r="A375" t="s">
        <v>11</v>
      </c>
      <c r="B375" t="s">
        <v>1556</v>
      </c>
      <c r="C375" t="s">
        <v>910</v>
      </c>
      <c r="D375" t="s">
        <v>1587</v>
      </c>
      <c r="E375" t="s">
        <v>1588</v>
      </c>
      <c r="F375" t="s">
        <v>854</v>
      </c>
      <c r="G375" s="35">
        <v>12.53</v>
      </c>
      <c r="H375" s="33">
        <f>G375*(1-IFERROR(VLOOKUP(F375,'enter the discount'!$D$10:$E$40,2,FALSE),0))</f>
        <v>12.53</v>
      </c>
      <c r="I375" s="35" t="s">
        <v>2609</v>
      </c>
      <c r="J375" s="33" t="s">
        <v>237</v>
      </c>
      <c r="K375" s="33" t="s">
        <v>2749</v>
      </c>
      <c r="L375">
        <v>20</v>
      </c>
      <c r="M375">
        <v>1260</v>
      </c>
      <c r="N375" t="s">
        <v>2754</v>
      </c>
      <c r="O375" s="34" t="str">
        <f>HYPERLINK("https://b2b.kobi.pl/pl/product/10443,oprawa-do-nadbudowania-oh37-s-czarna-kobi?currency=PLN")</f>
        <v>https://b2b.kobi.pl/pl/product/10443,oprawa-do-nadbudowania-oh37-s-czarna-kobi?currency=PLN</v>
      </c>
      <c r="P375" t="s">
        <v>3</v>
      </c>
      <c r="Q375"/>
    </row>
    <row r="376" spans="1:17" ht="14.4" x14ac:dyDescent="0.3">
      <c r="A376" t="s">
        <v>11</v>
      </c>
      <c r="B376" t="s">
        <v>21</v>
      </c>
      <c r="C376" t="s">
        <v>910</v>
      </c>
      <c r="D376" t="s">
        <v>1589</v>
      </c>
      <c r="E376" t="s">
        <v>1590</v>
      </c>
      <c r="F376" t="s">
        <v>850</v>
      </c>
      <c r="G376" s="35">
        <v>40.270000000000003</v>
      </c>
      <c r="H376" s="33">
        <f>G376*(1-IFERROR(VLOOKUP(F376,'enter the discount'!$D$10:$E$40,2,FALSE),0))</f>
        <v>40.270000000000003</v>
      </c>
      <c r="I376" s="35" t="s">
        <v>2609</v>
      </c>
      <c r="J376" s="33" t="s">
        <v>258</v>
      </c>
      <c r="K376" s="33" t="s">
        <v>2749</v>
      </c>
      <c r="L376">
        <v>4</v>
      </c>
      <c r="M376">
        <v>60</v>
      </c>
      <c r="N376" t="s">
        <v>2754</v>
      </c>
      <c r="O376" s="34" t="str">
        <f>HYPERLINK("https://b2b.kobi.pl/pl/product/10564,lampa-ogrodowa-garden-ball-s-1xe27-ip65-kobi?currency=PLN")</f>
        <v>https://b2b.kobi.pl/pl/product/10564,lampa-ogrodowa-garden-ball-s-1xe27-ip65-kobi?currency=PLN</v>
      </c>
      <c r="P376" t="s">
        <v>3</v>
      </c>
      <c r="Q376"/>
    </row>
    <row r="377" spans="1:17" ht="14.4" x14ac:dyDescent="0.3">
      <c r="A377" t="s">
        <v>11</v>
      </c>
      <c r="B377" t="s">
        <v>21</v>
      </c>
      <c r="C377" t="s">
        <v>910</v>
      </c>
      <c r="D377" t="s">
        <v>1591</v>
      </c>
      <c r="E377" t="s">
        <v>1592</v>
      </c>
      <c r="F377" t="s">
        <v>850</v>
      </c>
      <c r="G377" s="35">
        <v>54.75</v>
      </c>
      <c r="H377" s="33">
        <f>G377*(1-IFERROR(VLOOKUP(F377,'enter the discount'!$D$10:$E$40,2,FALSE),0))</f>
        <v>54.75</v>
      </c>
      <c r="I377" s="35" t="s">
        <v>2609</v>
      </c>
      <c r="J377" s="33" t="s">
        <v>257</v>
      </c>
      <c r="K377" s="33" t="s">
        <v>2749</v>
      </c>
      <c r="L377">
        <v>4</v>
      </c>
      <c r="M377">
        <v>40</v>
      </c>
      <c r="N377" t="s">
        <v>2754</v>
      </c>
      <c r="O377" s="34" t="str">
        <f>HYPERLINK("https://b2b.kobi.pl/pl/product/10563,lampa-ogrodowa-garden-ball-m-1xe27-ip65-kobi?currency=PLN")</f>
        <v>https://b2b.kobi.pl/pl/product/10563,lampa-ogrodowa-garden-ball-m-1xe27-ip65-kobi?currency=PLN</v>
      </c>
      <c r="P377" t="s">
        <v>3</v>
      </c>
      <c r="Q377"/>
    </row>
    <row r="378" spans="1:17" ht="14.4" x14ac:dyDescent="0.3">
      <c r="A378" t="s">
        <v>11</v>
      </c>
      <c r="B378" t="s">
        <v>21</v>
      </c>
      <c r="C378" t="s">
        <v>910</v>
      </c>
      <c r="D378" t="s">
        <v>1593</v>
      </c>
      <c r="E378" t="s">
        <v>1594</v>
      </c>
      <c r="F378" t="s">
        <v>850</v>
      </c>
      <c r="G378" s="35">
        <v>70.430000000000007</v>
      </c>
      <c r="H378" s="33">
        <f>G378*(1-IFERROR(VLOOKUP(F378,'enter the discount'!$D$10:$E$40,2,FALSE),0))</f>
        <v>70.430000000000007</v>
      </c>
      <c r="I378" s="35" t="s">
        <v>2609</v>
      </c>
      <c r="J378" s="33" t="s">
        <v>256</v>
      </c>
      <c r="K378" s="33" t="s">
        <v>2749</v>
      </c>
      <c r="L378">
        <v>1</v>
      </c>
      <c r="M378">
        <v>24</v>
      </c>
      <c r="N378" t="s">
        <v>2754</v>
      </c>
      <c r="O378" s="34" t="str">
        <f>HYPERLINK("https://b2b.kobi.pl/pl/product/10562,lampa-ogrodowa-garden-ball-l-1xe27-ip65-kobi?currency=PLN")</f>
        <v>https://b2b.kobi.pl/pl/product/10562,lampa-ogrodowa-garden-ball-l-1xe27-ip65-kobi?currency=PLN</v>
      </c>
      <c r="P378" t="s">
        <v>3</v>
      </c>
      <c r="Q378"/>
    </row>
    <row r="379" spans="1:17" ht="14.4" x14ac:dyDescent="0.3">
      <c r="A379" t="s">
        <v>11</v>
      </c>
      <c r="B379" t="s">
        <v>21</v>
      </c>
      <c r="C379" t="s">
        <v>910</v>
      </c>
      <c r="D379" t="s">
        <v>1595</v>
      </c>
      <c r="E379" t="s">
        <v>1596</v>
      </c>
      <c r="F379" t="s">
        <v>850</v>
      </c>
      <c r="G379" s="35">
        <v>14.89</v>
      </c>
      <c r="H379" s="33">
        <f>G379*(1-IFERROR(VLOOKUP(F379,'enter the discount'!$D$10:$E$40,2,FALSE),0))</f>
        <v>14.89</v>
      </c>
      <c r="I379" s="35" t="s">
        <v>2609</v>
      </c>
      <c r="J379" s="33" t="s">
        <v>2634</v>
      </c>
      <c r="K379" s="33" t="s">
        <v>2749</v>
      </c>
      <c r="L379">
        <v>10</v>
      </c>
      <c r="M379">
        <v>110</v>
      </c>
      <c r="N379" t="s">
        <v>2754</v>
      </c>
      <c r="O379" s="34" t="str">
        <f>HYPERLINK("https://b2b.kobi.pl/pl/product/10584,kinkiet-ogrodowy-lo4101-1xe27-ip54-bialy-kobi?currency=PLN")</f>
        <v>https://b2b.kobi.pl/pl/product/10584,kinkiet-ogrodowy-lo4101-1xe27-ip54-bialy-kobi?currency=PLN</v>
      </c>
      <c r="P379" t="s">
        <v>3</v>
      </c>
      <c r="Q379"/>
    </row>
    <row r="380" spans="1:17" ht="14.4" x14ac:dyDescent="0.3">
      <c r="A380" t="s">
        <v>11</v>
      </c>
      <c r="B380" t="s">
        <v>21</v>
      </c>
      <c r="C380" t="s">
        <v>910</v>
      </c>
      <c r="D380" t="s">
        <v>1597</v>
      </c>
      <c r="E380" t="s">
        <v>1598</v>
      </c>
      <c r="F380" t="s">
        <v>850</v>
      </c>
      <c r="G380" s="35">
        <v>14.89</v>
      </c>
      <c r="H380" s="33">
        <f>G380*(1-IFERROR(VLOOKUP(F380,'enter the discount'!$D$10:$E$40,2,FALSE),0))</f>
        <v>14.89</v>
      </c>
      <c r="I380" s="35" t="s">
        <v>2609</v>
      </c>
      <c r="J380" s="33" t="s">
        <v>534</v>
      </c>
      <c r="K380" s="33" t="s">
        <v>2749</v>
      </c>
      <c r="L380">
        <v>10</v>
      </c>
      <c r="M380">
        <v>110</v>
      </c>
      <c r="N380" t="s">
        <v>2754</v>
      </c>
      <c r="O380" s="34" t="str">
        <f>HYPERLINK("https://b2b.kobi.pl/pl/product/10585,kinkiet-ogrodowy-lo4101-1xe27-ip54-czarny-kobi?currency=PLN")</f>
        <v>https://b2b.kobi.pl/pl/product/10585,kinkiet-ogrodowy-lo4101-1xe27-ip54-czarny-kobi?currency=PLN</v>
      </c>
      <c r="P380" t="s">
        <v>3</v>
      </c>
      <c r="Q380"/>
    </row>
    <row r="381" spans="1:17" ht="14.4" x14ac:dyDescent="0.3">
      <c r="A381" t="s">
        <v>11</v>
      </c>
      <c r="B381" t="s">
        <v>21</v>
      </c>
      <c r="C381" t="s">
        <v>910</v>
      </c>
      <c r="D381" t="s">
        <v>1599</v>
      </c>
      <c r="E381" t="s">
        <v>1600</v>
      </c>
      <c r="F381" t="s">
        <v>850</v>
      </c>
      <c r="G381" s="35">
        <v>14.89</v>
      </c>
      <c r="H381" s="33">
        <f>G381*(1-IFERROR(VLOOKUP(F381,'enter the discount'!$D$10:$E$40,2,FALSE),0))</f>
        <v>14.89</v>
      </c>
      <c r="I381" s="35" t="s">
        <v>2609</v>
      </c>
      <c r="J381" s="33" t="s">
        <v>535</v>
      </c>
      <c r="K381" s="33" t="s">
        <v>2749</v>
      </c>
      <c r="L381">
        <v>10</v>
      </c>
      <c r="M381">
        <v>110</v>
      </c>
      <c r="N381" t="s">
        <v>2754</v>
      </c>
      <c r="O381" s="34" t="str">
        <f>HYPERLINK("https://b2b.kobi.pl/pl/product/10587,kinkiet-ogrodowy-lo4101-1xe27-ip54-zloty-kobi?currency=PLN")</f>
        <v>https://b2b.kobi.pl/pl/product/10587,kinkiet-ogrodowy-lo4101-1xe27-ip54-zloty-kobi?currency=PLN</v>
      </c>
      <c r="P381" t="s">
        <v>3</v>
      </c>
      <c r="Q381"/>
    </row>
    <row r="382" spans="1:17" ht="14.4" x14ac:dyDescent="0.3">
      <c r="A382" t="s">
        <v>11</v>
      </c>
      <c r="B382" t="s">
        <v>21</v>
      </c>
      <c r="C382" t="s">
        <v>910</v>
      </c>
      <c r="D382" t="s">
        <v>1601</v>
      </c>
      <c r="E382" t="s">
        <v>1602</v>
      </c>
      <c r="F382" t="s">
        <v>850</v>
      </c>
      <c r="G382" s="35">
        <v>14.89</v>
      </c>
      <c r="H382" s="33">
        <f>G382*(1-IFERROR(VLOOKUP(F382,'enter the discount'!$D$10:$E$40,2,FALSE),0))</f>
        <v>14.89</v>
      </c>
      <c r="I382" s="35" t="s">
        <v>2609</v>
      </c>
      <c r="J382" s="33" t="s">
        <v>2635</v>
      </c>
      <c r="K382" s="33" t="s">
        <v>2749</v>
      </c>
      <c r="L382">
        <v>10</v>
      </c>
      <c r="M382">
        <v>110</v>
      </c>
      <c r="N382" t="s">
        <v>2754</v>
      </c>
      <c r="O382" s="34" t="str">
        <f>HYPERLINK("https://b2b.kobi.pl/pl/product/10588,kinkiet-ogrodowy-lo4102-1xe27-ip54-bialy-kobi?currency=PLN")</f>
        <v>https://b2b.kobi.pl/pl/product/10588,kinkiet-ogrodowy-lo4102-1xe27-ip54-bialy-kobi?currency=PLN</v>
      </c>
      <c r="P382" t="s">
        <v>3</v>
      </c>
      <c r="Q382"/>
    </row>
    <row r="383" spans="1:17" ht="14.4" x14ac:dyDescent="0.3">
      <c r="A383" t="s">
        <v>11</v>
      </c>
      <c r="B383" t="s">
        <v>21</v>
      </c>
      <c r="C383" t="s">
        <v>910</v>
      </c>
      <c r="D383" t="s">
        <v>1603</v>
      </c>
      <c r="E383" t="s">
        <v>1604</v>
      </c>
      <c r="F383" t="s">
        <v>850</v>
      </c>
      <c r="G383" s="35">
        <v>14.89</v>
      </c>
      <c r="H383" s="33">
        <f>G383*(1-IFERROR(VLOOKUP(F383,'enter the discount'!$D$10:$E$40,2,FALSE),0))</f>
        <v>14.89</v>
      </c>
      <c r="I383" s="35" t="s">
        <v>2609</v>
      </c>
      <c r="J383" s="33" t="s">
        <v>532</v>
      </c>
      <c r="K383" s="33" t="s">
        <v>2749</v>
      </c>
      <c r="L383">
        <v>10</v>
      </c>
      <c r="M383">
        <v>160</v>
      </c>
      <c r="N383" t="s">
        <v>2754</v>
      </c>
      <c r="O383" s="34" t="str">
        <f>HYPERLINK("https://b2b.kobi.pl/pl/product/10589,kinkiet-ogrodowy-lo4102-1xe27-ip54-czarny-kobi?currency=PLN")</f>
        <v>https://b2b.kobi.pl/pl/product/10589,kinkiet-ogrodowy-lo4102-1xe27-ip54-czarny-kobi?currency=PLN</v>
      </c>
      <c r="P383" t="s">
        <v>3</v>
      </c>
      <c r="Q383"/>
    </row>
    <row r="384" spans="1:17" ht="14.4" x14ac:dyDescent="0.3">
      <c r="A384" t="s">
        <v>11</v>
      </c>
      <c r="B384" t="s">
        <v>21</v>
      </c>
      <c r="C384" t="s">
        <v>910</v>
      </c>
      <c r="D384" t="s">
        <v>1605</v>
      </c>
      <c r="E384" t="s">
        <v>1606</v>
      </c>
      <c r="F384" t="s">
        <v>850</v>
      </c>
      <c r="G384" s="35">
        <v>14.89</v>
      </c>
      <c r="H384" s="33">
        <f>G384*(1-IFERROR(VLOOKUP(F384,'enter the discount'!$D$10:$E$40,2,FALSE),0))</f>
        <v>14.89</v>
      </c>
      <c r="I384" s="35" t="s">
        <v>2609</v>
      </c>
      <c r="J384" s="33" t="s">
        <v>533</v>
      </c>
      <c r="K384" s="33" t="s">
        <v>2749</v>
      </c>
      <c r="L384">
        <v>10</v>
      </c>
      <c r="M384">
        <v>110</v>
      </c>
      <c r="N384" t="s">
        <v>2754</v>
      </c>
      <c r="O384" s="34" t="str">
        <f>HYPERLINK("https://b2b.kobi.pl/pl/product/10591,kinkiet-ogrodowy-lo4102-1xe27-ip54-zloty-kobi?currency=PLN")</f>
        <v>https://b2b.kobi.pl/pl/product/10591,kinkiet-ogrodowy-lo4102-1xe27-ip54-zloty-kobi?currency=PLN</v>
      </c>
      <c r="P384" t="s">
        <v>3</v>
      </c>
      <c r="Q384"/>
    </row>
    <row r="385" spans="1:17" ht="14.4" x14ac:dyDescent="0.3">
      <c r="A385" t="s">
        <v>11</v>
      </c>
      <c r="B385" t="s">
        <v>21</v>
      </c>
      <c r="C385" t="s">
        <v>910</v>
      </c>
      <c r="D385" t="s">
        <v>1607</v>
      </c>
      <c r="E385" t="s">
        <v>1608</v>
      </c>
      <c r="F385" t="s">
        <v>850</v>
      </c>
      <c r="G385" s="35">
        <v>23.6</v>
      </c>
      <c r="H385" s="33">
        <f>G385*(1-IFERROR(VLOOKUP(F385,'enter the discount'!$D$10:$E$40,2,FALSE),0))</f>
        <v>23.6</v>
      </c>
      <c r="I385" s="35" t="s">
        <v>2609</v>
      </c>
      <c r="J385" s="33" t="s">
        <v>2636</v>
      </c>
      <c r="K385" s="33" t="s">
        <v>2749</v>
      </c>
      <c r="L385">
        <v>10</v>
      </c>
      <c r="M385"/>
      <c r="N385" t="s">
        <v>2754</v>
      </c>
      <c r="O385"/>
      <c r="P385" t="s">
        <v>3</v>
      </c>
      <c r="Q385" t="s">
        <v>2775</v>
      </c>
    </row>
    <row r="386" spans="1:17" ht="14.4" x14ac:dyDescent="0.3">
      <c r="A386" t="s">
        <v>11</v>
      </c>
      <c r="B386" t="s">
        <v>21</v>
      </c>
      <c r="C386" t="s">
        <v>910</v>
      </c>
      <c r="D386" t="s">
        <v>1609</v>
      </c>
      <c r="E386" t="s">
        <v>1610</v>
      </c>
      <c r="F386" t="s">
        <v>850</v>
      </c>
      <c r="G386" s="35">
        <v>20.45</v>
      </c>
      <c r="H386" s="33">
        <f>G386*(1-IFERROR(VLOOKUP(F386,'enter the discount'!$D$10:$E$40,2,FALSE),0))</f>
        <v>20.45</v>
      </c>
      <c r="I386" s="35" t="s">
        <v>2609</v>
      </c>
      <c r="J386" s="33" t="s">
        <v>2637</v>
      </c>
      <c r="K386" s="33" t="s">
        <v>2749</v>
      </c>
      <c r="L386">
        <v>10</v>
      </c>
      <c r="M386"/>
      <c r="N386" t="s">
        <v>2754</v>
      </c>
      <c r="O386" s="34" t="str">
        <f>HYPERLINK("https://b2b.kobi.pl/pl/product/10595,slupek-ogrodowy-lo4104-1xe27-ip44-zloty-kobi?currency=PLN")</f>
        <v>https://b2b.kobi.pl/pl/product/10595,slupek-ogrodowy-lo4104-1xe27-ip44-zloty-kobi?currency=PLN</v>
      </c>
      <c r="P386" t="s">
        <v>3</v>
      </c>
      <c r="Q386" t="s">
        <v>2775</v>
      </c>
    </row>
    <row r="387" spans="1:17" ht="14.4" x14ac:dyDescent="0.3">
      <c r="A387" t="s">
        <v>11</v>
      </c>
      <c r="B387" t="s">
        <v>21</v>
      </c>
      <c r="C387" t="s">
        <v>910</v>
      </c>
      <c r="D387" t="s">
        <v>1611</v>
      </c>
      <c r="E387" t="s">
        <v>1612</v>
      </c>
      <c r="F387" t="s">
        <v>850</v>
      </c>
      <c r="G387" s="35">
        <v>14.89</v>
      </c>
      <c r="H387" s="33">
        <f>G387*(1-IFERROR(VLOOKUP(F387,'enter the discount'!$D$10:$E$40,2,FALSE),0))</f>
        <v>14.89</v>
      </c>
      <c r="I387" s="35" t="s">
        <v>2609</v>
      </c>
      <c r="J387" s="33" t="s">
        <v>2638</v>
      </c>
      <c r="K387" s="33" t="s">
        <v>2749</v>
      </c>
      <c r="L387">
        <v>10</v>
      </c>
      <c r="M387">
        <v>150</v>
      </c>
      <c r="N387" t="s">
        <v>2754</v>
      </c>
      <c r="O387" s="34" t="str">
        <f>HYPERLINK("https://b2b.kobi.pl/pl/product/10596,lampa-wiszaca-ogrodowa-lo4105-1xe27-ip54-biala-kobi?currency=PLN")</f>
        <v>https://b2b.kobi.pl/pl/product/10596,lampa-wiszaca-ogrodowa-lo4105-1xe27-ip54-biala-kobi?currency=PLN</v>
      </c>
      <c r="P387" t="s">
        <v>3</v>
      </c>
      <c r="Q387"/>
    </row>
    <row r="388" spans="1:17" ht="14.4" x14ac:dyDescent="0.3">
      <c r="A388" t="s">
        <v>11</v>
      </c>
      <c r="B388" t="s">
        <v>21</v>
      </c>
      <c r="C388" t="s">
        <v>910</v>
      </c>
      <c r="D388" t="s">
        <v>1613</v>
      </c>
      <c r="E388" t="s">
        <v>1614</v>
      </c>
      <c r="F388" t="s">
        <v>850</v>
      </c>
      <c r="G388" s="35">
        <v>14.89</v>
      </c>
      <c r="H388" s="33">
        <f>G388*(1-IFERROR(VLOOKUP(F388,'enter the discount'!$D$10:$E$40,2,FALSE),0))</f>
        <v>14.89</v>
      </c>
      <c r="I388" s="35" t="s">
        <v>2609</v>
      </c>
      <c r="J388" s="33" t="s">
        <v>536</v>
      </c>
      <c r="K388" s="33" t="s">
        <v>2749</v>
      </c>
      <c r="L388">
        <v>10</v>
      </c>
      <c r="M388">
        <v>150</v>
      </c>
      <c r="N388" t="s">
        <v>2754</v>
      </c>
      <c r="O388" s="34" t="str">
        <f>HYPERLINK("https://b2b.kobi.pl/pl/product/10597,lampa-wiszaca-ogrodowa-lo4105-1xe27-ip54-czarna-kobi?currency=PLN")</f>
        <v>https://b2b.kobi.pl/pl/product/10597,lampa-wiszaca-ogrodowa-lo4105-1xe27-ip54-czarna-kobi?currency=PLN</v>
      </c>
      <c r="P388" t="s">
        <v>3</v>
      </c>
      <c r="Q388"/>
    </row>
    <row r="389" spans="1:17" ht="14.4" x14ac:dyDescent="0.3">
      <c r="A389" t="s">
        <v>11</v>
      </c>
      <c r="B389" t="s">
        <v>21</v>
      </c>
      <c r="C389" t="s">
        <v>910</v>
      </c>
      <c r="D389" t="s">
        <v>1615</v>
      </c>
      <c r="E389" t="s">
        <v>1616</v>
      </c>
      <c r="F389" t="s">
        <v>850</v>
      </c>
      <c r="G389" s="35">
        <v>14.89</v>
      </c>
      <c r="H389" s="33">
        <f>G389*(1-IFERROR(VLOOKUP(F389,'enter the discount'!$D$10:$E$40,2,FALSE),0))</f>
        <v>14.89</v>
      </c>
      <c r="I389" s="35" t="s">
        <v>2609</v>
      </c>
      <c r="J389" s="33" t="s">
        <v>537</v>
      </c>
      <c r="K389" s="33" t="s">
        <v>2749</v>
      </c>
      <c r="L389">
        <v>10</v>
      </c>
      <c r="M389">
        <v>150</v>
      </c>
      <c r="N389" t="s">
        <v>2754</v>
      </c>
      <c r="O389" s="34" t="str">
        <f>HYPERLINK("https://b2b.kobi.pl/pl/product/10599,lampa-wiszaca-ogrodowa-lo4105-1xe27-ip54-zlota-kobi?currency=PLN")</f>
        <v>https://b2b.kobi.pl/pl/product/10599,lampa-wiszaca-ogrodowa-lo4105-1xe27-ip54-zlota-kobi?currency=PLN</v>
      </c>
      <c r="P389" t="s">
        <v>3</v>
      </c>
      <c r="Q389"/>
    </row>
    <row r="390" spans="1:17" ht="14.4" x14ac:dyDescent="0.3">
      <c r="A390" t="s">
        <v>11</v>
      </c>
      <c r="B390" t="s">
        <v>21</v>
      </c>
      <c r="C390" t="s">
        <v>910</v>
      </c>
      <c r="D390" t="s">
        <v>1617</v>
      </c>
      <c r="E390" t="s">
        <v>1618</v>
      </c>
      <c r="F390" t="s">
        <v>850</v>
      </c>
      <c r="G390" s="35">
        <v>23.6</v>
      </c>
      <c r="H390" s="33">
        <f>G390*(1-IFERROR(VLOOKUP(F390,'enter the discount'!$D$10:$E$40,2,FALSE),0))</f>
        <v>23.6</v>
      </c>
      <c r="I390" s="35" t="s">
        <v>2609</v>
      </c>
      <c r="J390" s="33" t="s">
        <v>2639</v>
      </c>
      <c r="K390" s="33" t="s">
        <v>2749</v>
      </c>
      <c r="L390">
        <v>10</v>
      </c>
      <c r="M390">
        <v>150</v>
      </c>
      <c r="N390" t="s">
        <v>2754</v>
      </c>
      <c r="O390" s="34" t="str">
        <f>HYPERLINK("https://b2b.kobi.pl/pl/product/10598,lampa-wiszaca-ogrodowa-lo4105-1xe27-ip54-czarno-zlota-kobi?currency=PLN")</f>
        <v>https://b2b.kobi.pl/pl/product/10598,lampa-wiszaca-ogrodowa-lo4105-1xe27-ip54-czarno-zlota-kobi?currency=PLN</v>
      </c>
      <c r="P390" t="s">
        <v>3</v>
      </c>
      <c r="Q390" t="s">
        <v>2775</v>
      </c>
    </row>
    <row r="391" spans="1:17" ht="14.4" x14ac:dyDescent="0.3">
      <c r="A391" t="s">
        <v>11</v>
      </c>
      <c r="B391" t="s">
        <v>21</v>
      </c>
      <c r="C391" t="s">
        <v>910</v>
      </c>
      <c r="D391" t="s">
        <v>1619</v>
      </c>
      <c r="E391" t="s">
        <v>1620</v>
      </c>
      <c r="F391" t="s">
        <v>850</v>
      </c>
      <c r="G391" s="35">
        <v>38.31</v>
      </c>
      <c r="H391" s="33">
        <f>G391*(1-IFERROR(VLOOKUP(F391,'enter the discount'!$D$10:$E$40,2,FALSE),0))</f>
        <v>38.31</v>
      </c>
      <c r="I391" s="35" t="s">
        <v>2609</v>
      </c>
      <c r="J391" s="33" t="s">
        <v>2640</v>
      </c>
      <c r="K391" s="33" t="s">
        <v>2749</v>
      </c>
      <c r="L391">
        <v>10</v>
      </c>
      <c r="M391"/>
      <c r="N391" t="s">
        <v>2754</v>
      </c>
      <c r="O391"/>
      <c r="P391" t="s">
        <v>3</v>
      </c>
      <c r="Q391" t="s">
        <v>2775</v>
      </c>
    </row>
    <row r="392" spans="1:17" ht="14.4" x14ac:dyDescent="0.3">
      <c r="A392" t="s">
        <v>11</v>
      </c>
      <c r="B392" t="s">
        <v>21</v>
      </c>
      <c r="C392" t="s">
        <v>910</v>
      </c>
      <c r="D392" t="s">
        <v>1621</v>
      </c>
      <c r="E392" t="s">
        <v>1622</v>
      </c>
      <c r="F392" t="s">
        <v>850</v>
      </c>
      <c r="G392" s="35">
        <v>51.57</v>
      </c>
      <c r="H392" s="33">
        <f>G392*(1-IFERROR(VLOOKUP(F392,'enter the discount'!$D$10:$E$40,2,FALSE),0))</f>
        <v>51.57</v>
      </c>
      <c r="I392" s="35" t="s">
        <v>2609</v>
      </c>
      <c r="J392" s="33" t="s">
        <v>253</v>
      </c>
      <c r="K392" s="33" t="s">
        <v>2749</v>
      </c>
      <c r="L392">
        <v>10</v>
      </c>
      <c r="M392">
        <v>240</v>
      </c>
      <c r="N392" t="s">
        <v>2754</v>
      </c>
      <c r="O392"/>
      <c r="P392" t="s">
        <v>3</v>
      </c>
      <c r="Q392" t="s">
        <v>2775</v>
      </c>
    </row>
    <row r="393" spans="1:17" ht="14.4" x14ac:dyDescent="0.3">
      <c r="A393" t="s">
        <v>11</v>
      </c>
      <c r="B393" t="s">
        <v>21</v>
      </c>
      <c r="C393" t="s">
        <v>910</v>
      </c>
      <c r="D393" t="s">
        <v>1623</v>
      </c>
      <c r="E393" t="s">
        <v>1624</v>
      </c>
      <c r="F393" t="s">
        <v>850</v>
      </c>
      <c r="G393" s="35">
        <v>49.64</v>
      </c>
      <c r="H393" s="33">
        <f>G393*(1-IFERROR(VLOOKUP(F393,'enter the discount'!$D$10:$E$40,2,FALSE),0))</f>
        <v>49.64</v>
      </c>
      <c r="I393" s="35" t="s">
        <v>2609</v>
      </c>
      <c r="J393" s="33" t="s">
        <v>254</v>
      </c>
      <c r="K393" s="33" t="s">
        <v>2749</v>
      </c>
      <c r="L393">
        <v>12</v>
      </c>
      <c r="M393">
        <v>480</v>
      </c>
      <c r="N393" t="s">
        <v>2754</v>
      </c>
      <c r="O393" s="34" t="str">
        <f>HYPERLINK("https://b2b.kobi.pl/pl/product/10624,kinkiet-ogrodowy-quazar-7-2xgu10-ip44-czarny-kobi?currency=PLN")</f>
        <v>https://b2b.kobi.pl/pl/product/10624,kinkiet-ogrodowy-quazar-7-2xgu10-ip44-czarny-kobi?currency=PLN</v>
      </c>
      <c r="P393" t="s">
        <v>3</v>
      </c>
      <c r="Q393"/>
    </row>
    <row r="394" spans="1:17" ht="14.4" x14ac:dyDescent="0.3">
      <c r="A394" t="s">
        <v>11</v>
      </c>
      <c r="B394" t="s">
        <v>21</v>
      </c>
      <c r="C394" t="s">
        <v>910</v>
      </c>
      <c r="D394" t="s">
        <v>1625</v>
      </c>
      <c r="E394" t="s">
        <v>1626</v>
      </c>
      <c r="F394" t="s">
        <v>850</v>
      </c>
      <c r="G394" s="35">
        <v>41.7</v>
      </c>
      <c r="H394" s="33">
        <f>G394*(1-IFERROR(VLOOKUP(F394,'enter the discount'!$D$10:$E$40,2,FALSE),0))</f>
        <v>41.7</v>
      </c>
      <c r="I394" s="35" t="s">
        <v>2609</v>
      </c>
      <c r="J394" s="33" t="s">
        <v>255</v>
      </c>
      <c r="K394" s="33" t="s">
        <v>2749</v>
      </c>
      <c r="L394">
        <v>12</v>
      </c>
      <c r="M394">
        <v>384</v>
      </c>
      <c r="N394" t="s">
        <v>2754</v>
      </c>
      <c r="O394" s="34" t="str">
        <f>HYPERLINK("https://b2b.kobi.pl/pl/product/10625,kinkiet-ogrodowy-quazar-7-2xgu10-ip44-szary-kobi?currency=PLN")</f>
        <v>https://b2b.kobi.pl/pl/product/10625,kinkiet-ogrodowy-quazar-7-2xgu10-ip44-szary-kobi?currency=PLN</v>
      </c>
      <c r="P394" t="s">
        <v>3</v>
      </c>
      <c r="Q394"/>
    </row>
    <row r="395" spans="1:17" ht="14.4" x14ac:dyDescent="0.3">
      <c r="A395" t="s">
        <v>11</v>
      </c>
      <c r="B395" t="s">
        <v>21</v>
      </c>
      <c r="C395" t="s">
        <v>910</v>
      </c>
      <c r="D395" t="s">
        <v>1627</v>
      </c>
      <c r="E395" t="s">
        <v>1628</v>
      </c>
      <c r="F395" t="s">
        <v>850</v>
      </c>
      <c r="G395" s="35">
        <v>33.25</v>
      </c>
      <c r="H395" s="33">
        <f>G395*(1-IFERROR(VLOOKUP(F395,'enter the discount'!$D$10:$E$40,2,FALSE),0))</f>
        <v>33.25</v>
      </c>
      <c r="I395" s="35" t="s">
        <v>2609</v>
      </c>
      <c r="J395" s="33" t="s">
        <v>249</v>
      </c>
      <c r="K395" s="33" t="s">
        <v>2749</v>
      </c>
      <c r="L395">
        <v>16</v>
      </c>
      <c r="M395">
        <v>576</v>
      </c>
      <c r="N395" t="s">
        <v>2754</v>
      </c>
      <c r="O395" s="34" t="str">
        <f>HYPERLINK("https://b2b.kobi.pl/pl/product/10602,kinkiet-ogrodowy-quazar-11-1xgu10-ip44-czarny-kobi?currency=PLN")</f>
        <v>https://b2b.kobi.pl/pl/product/10602,kinkiet-ogrodowy-quazar-11-1xgu10-ip44-czarny-kobi?currency=PLN</v>
      </c>
      <c r="P395" t="s">
        <v>3</v>
      </c>
      <c r="Q395"/>
    </row>
    <row r="396" spans="1:17" ht="14.4" x14ac:dyDescent="0.3">
      <c r="A396" t="s">
        <v>11</v>
      </c>
      <c r="B396" t="s">
        <v>21</v>
      </c>
      <c r="C396" t="s">
        <v>910</v>
      </c>
      <c r="D396" t="s">
        <v>1629</v>
      </c>
      <c r="E396" t="s">
        <v>1630</v>
      </c>
      <c r="F396" t="s">
        <v>850</v>
      </c>
      <c r="G396" s="35">
        <v>28.48</v>
      </c>
      <c r="H396" s="33">
        <f>G396*(1-IFERROR(VLOOKUP(F396,'enter the discount'!$D$10:$E$40,2,FALSE),0))</f>
        <v>28.48</v>
      </c>
      <c r="I396" s="35" t="s">
        <v>2609</v>
      </c>
      <c r="J396" s="33" t="s">
        <v>250</v>
      </c>
      <c r="K396" s="33" t="s">
        <v>2749</v>
      </c>
      <c r="L396">
        <v>16</v>
      </c>
      <c r="M396">
        <v>576</v>
      </c>
      <c r="N396" t="s">
        <v>2754</v>
      </c>
      <c r="O396" s="34" t="str">
        <f>HYPERLINK("https://b2b.kobi.pl/pl/product/10603,kinkiet-ogrodowy-quazar-11-1xgu10-ip44-szary-kobi?currency=PLN")</f>
        <v>https://b2b.kobi.pl/pl/product/10603,kinkiet-ogrodowy-quazar-11-1xgu10-ip44-szary-kobi?currency=PLN</v>
      </c>
      <c r="P396" t="s">
        <v>3</v>
      </c>
      <c r="Q396"/>
    </row>
    <row r="397" spans="1:17" ht="14.4" x14ac:dyDescent="0.3">
      <c r="A397" t="s">
        <v>11</v>
      </c>
      <c r="B397" t="s">
        <v>21</v>
      </c>
      <c r="C397" t="s">
        <v>910</v>
      </c>
      <c r="D397" t="s">
        <v>1631</v>
      </c>
      <c r="E397" t="s">
        <v>1632</v>
      </c>
      <c r="F397" t="s">
        <v>850</v>
      </c>
      <c r="G397" s="35">
        <v>90.84</v>
      </c>
      <c r="H397" s="33">
        <f>G397*(1-IFERROR(VLOOKUP(F397,'enter the discount'!$D$10:$E$40,2,FALSE),0))</f>
        <v>90.84</v>
      </c>
      <c r="I397" s="35" t="s">
        <v>2609</v>
      </c>
      <c r="J397" s="33" t="s">
        <v>262</v>
      </c>
      <c r="K397" s="33" t="s">
        <v>2749</v>
      </c>
      <c r="L397">
        <v>6</v>
      </c>
      <c r="M397">
        <v>48</v>
      </c>
      <c r="N397" t="s">
        <v>2754</v>
      </c>
      <c r="O397" s="34" t="str">
        <f>HYPERLINK("https://b2b.kobi.pl/pl/product/10604,slupek-ogrodowy-quazar-12-1xgu10-ip44-czarny-kobi?currency=PLN")</f>
        <v>https://b2b.kobi.pl/pl/product/10604,slupek-ogrodowy-quazar-12-1xgu10-ip44-czarny-kobi?currency=PLN</v>
      </c>
      <c r="P397" t="s">
        <v>3</v>
      </c>
      <c r="Q397"/>
    </row>
    <row r="398" spans="1:17" ht="14.4" x14ac:dyDescent="0.3">
      <c r="A398" t="s">
        <v>11</v>
      </c>
      <c r="B398" t="s">
        <v>21</v>
      </c>
      <c r="C398" t="s">
        <v>910</v>
      </c>
      <c r="D398" t="s">
        <v>1633</v>
      </c>
      <c r="E398" t="s">
        <v>1634</v>
      </c>
      <c r="F398" t="s">
        <v>850</v>
      </c>
      <c r="G398" s="35">
        <v>73.42</v>
      </c>
      <c r="H398" s="33">
        <f>G398*(1-IFERROR(VLOOKUP(F398,'enter the discount'!$D$10:$E$40,2,FALSE),0))</f>
        <v>73.42</v>
      </c>
      <c r="I398" s="35" t="s">
        <v>2609</v>
      </c>
      <c r="J398" s="33" t="s">
        <v>263</v>
      </c>
      <c r="K398" s="33" t="s">
        <v>2749</v>
      </c>
      <c r="L398">
        <v>6</v>
      </c>
      <c r="M398">
        <v>48</v>
      </c>
      <c r="N398" t="s">
        <v>2754</v>
      </c>
      <c r="O398" s="34" t="str">
        <f>HYPERLINK("https://b2b.kobi.pl/pl/product/10605,slupek-ogrodowy-quazar-12-1xgu10-ip44-szary-kobi?currency=PLN")</f>
        <v>https://b2b.kobi.pl/pl/product/10605,slupek-ogrodowy-quazar-12-1xgu10-ip44-szary-kobi?currency=PLN</v>
      </c>
      <c r="P398" t="s">
        <v>3</v>
      </c>
      <c r="Q398"/>
    </row>
    <row r="399" spans="1:17" ht="14.4" x14ac:dyDescent="0.3">
      <c r="A399" t="s">
        <v>11</v>
      </c>
      <c r="B399" t="s">
        <v>21</v>
      </c>
      <c r="C399" t="s">
        <v>910</v>
      </c>
      <c r="D399" t="s">
        <v>1635</v>
      </c>
      <c r="E399" t="s">
        <v>1636</v>
      </c>
      <c r="F399" t="s">
        <v>850</v>
      </c>
      <c r="G399" s="35">
        <v>37.35</v>
      </c>
      <c r="H399" s="33">
        <f>G399*(1-IFERROR(VLOOKUP(F399,'enter the discount'!$D$10:$E$40,2,FALSE),0))</f>
        <v>37.35</v>
      </c>
      <c r="I399" s="35" t="s">
        <v>2609</v>
      </c>
      <c r="J399" s="33" t="s">
        <v>2641</v>
      </c>
      <c r="K399" s="33" t="s">
        <v>2749</v>
      </c>
      <c r="L399">
        <v>12</v>
      </c>
      <c r="M399">
        <v>480</v>
      </c>
      <c r="N399" t="s">
        <v>2754</v>
      </c>
      <c r="O399"/>
      <c r="P399" t="s">
        <v>3</v>
      </c>
      <c r="Q399" t="s">
        <v>2775</v>
      </c>
    </row>
    <row r="400" spans="1:17" ht="14.4" x14ac:dyDescent="0.3">
      <c r="A400" t="s">
        <v>11</v>
      </c>
      <c r="B400" t="s">
        <v>21</v>
      </c>
      <c r="C400" t="s">
        <v>910</v>
      </c>
      <c r="D400" t="s">
        <v>1637</v>
      </c>
      <c r="E400" t="s">
        <v>1638</v>
      </c>
      <c r="F400" t="s">
        <v>850</v>
      </c>
      <c r="G400" s="35">
        <v>50.11</v>
      </c>
      <c r="H400" s="33">
        <f>G400*(1-IFERROR(VLOOKUP(F400,'enter the discount'!$D$10:$E$40,2,FALSE),0))</f>
        <v>50.11</v>
      </c>
      <c r="I400" s="35" t="s">
        <v>2609</v>
      </c>
      <c r="J400" s="33" t="s">
        <v>2642</v>
      </c>
      <c r="K400" s="33" t="s">
        <v>2749</v>
      </c>
      <c r="L400">
        <v>6</v>
      </c>
      <c r="M400">
        <v>60</v>
      </c>
      <c r="N400" t="s">
        <v>2754</v>
      </c>
      <c r="O400"/>
      <c r="P400" t="s">
        <v>3</v>
      </c>
      <c r="Q400" t="s">
        <v>2775</v>
      </c>
    </row>
    <row r="401" spans="1:17" ht="14.4" x14ac:dyDescent="0.3">
      <c r="A401" t="s">
        <v>11</v>
      </c>
      <c r="B401" t="s">
        <v>21</v>
      </c>
      <c r="C401" t="s">
        <v>910</v>
      </c>
      <c r="D401" t="s">
        <v>1639</v>
      </c>
      <c r="E401" t="s">
        <v>1640</v>
      </c>
      <c r="F401" t="s">
        <v>850</v>
      </c>
      <c r="G401" s="35">
        <v>27.23</v>
      </c>
      <c r="H401" s="33">
        <f>G401*(1-IFERROR(VLOOKUP(F401,'enter the discount'!$D$10:$E$40,2,FALSE),0))</f>
        <v>27.23</v>
      </c>
      <c r="I401" s="35" t="s">
        <v>2609</v>
      </c>
      <c r="J401" s="33" t="s">
        <v>247</v>
      </c>
      <c r="K401" s="33" t="s">
        <v>2749</v>
      </c>
      <c r="L401">
        <v>24</v>
      </c>
      <c r="M401">
        <v>864</v>
      </c>
      <c r="N401" t="s">
        <v>2754</v>
      </c>
      <c r="O401" s="34" t="str">
        <f>HYPERLINK("https://b2b.kobi.pl/pl/product/10610,kinkiet-ogrodowy-quazar-15-1xgu10-ip44-czarny-kobi?currency=PLN")</f>
        <v>https://b2b.kobi.pl/pl/product/10610,kinkiet-ogrodowy-quazar-15-1xgu10-ip44-czarny-kobi?currency=PLN</v>
      </c>
      <c r="P401" t="s">
        <v>3</v>
      </c>
      <c r="Q401"/>
    </row>
    <row r="402" spans="1:17" ht="14.4" x14ac:dyDescent="0.3">
      <c r="A402" t="s">
        <v>11</v>
      </c>
      <c r="B402" t="s">
        <v>21</v>
      </c>
      <c r="C402" t="s">
        <v>910</v>
      </c>
      <c r="D402" t="s">
        <v>1641</v>
      </c>
      <c r="E402" t="s">
        <v>1642</v>
      </c>
      <c r="F402" t="s">
        <v>850</v>
      </c>
      <c r="G402" s="35">
        <v>25.3</v>
      </c>
      <c r="H402" s="33">
        <f>G402*(1-IFERROR(VLOOKUP(F402,'enter the discount'!$D$10:$E$40,2,FALSE),0))</f>
        <v>25.3</v>
      </c>
      <c r="I402" s="35" t="s">
        <v>2609</v>
      </c>
      <c r="J402" s="33" t="s">
        <v>248</v>
      </c>
      <c r="K402" s="33" t="s">
        <v>2749</v>
      </c>
      <c r="L402">
        <v>24</v>
      </c>
      <c r="M402">
        <v>864</v>
      </c>
      <c r="N402" t="s">
        <v>2754</v>
      </c>
      <c r="O402" s="34" t="str">
        <f>HYPERLINK("https://b2b.kobi.pl/pl/product/10615,kinkiet-ogrodowy-quazar-15-1xgu10-ip44-szary-kobi?currency=PLN")</f>
        <v>https://b2b.kobi.pl/pl/product/10615,kinkiet-ogrodowy-quazar-15-1xgu10-ip44-szary-kobi?currency=PLN</v>
      </c>
      <c r="P402" t="s">
        <v>3</v>
      </c>
      <c r="Q402"/>
    </row>
    <row r="403" spans="1:17" ht="14.4" x14ac:dyDescent="0.3">
      <c r="A403" t="s">
        <v>11</v>
      </c>
      <c r="B403" t="s">
        <v>21</v>
      </c>
      <c r="C403" t="s">
        <v>910</v>
      </c>
      <c r="D403" t="s">
        <v>1643</v>
      </c>
      <c r="E403" t="s">
        <v>1644</v>
      </c>
      <c r="F403" t="s">
        <v>850</v>
      </c>
      <c r="G403" s="35">
        <v>46.99</v>
      </c>
      <c r="H403" s="33">
        <f>G403*(1-IFERROR(VLOOKUP(F403,'enter the discount'!$D$10:$E$40,2,FALSE),0))</f>
        <v>46.99</v>
      </c>
      <c r="I403" s="35" t="s">
        <v>2609</v>
      </c>
      <c r="J403" s="33" t="s">
        <v>251</v>
      </c>
      <c r="K403" s="33" t="s">
        <v>2749</v>
      </c>
      <c r="L403">
        <v>16</v>
      </c>
      <c r="M403">
        <v>576</v>
      </c>
      <c r="N403" t="s">
        <v>2754</v>
      </c>
      <c r="O403" s="34" t="str">
        <f>HYPERLINK("https://b2b.kobi.pl/pl/product/10611,kinkiet-ogrodowy-z-czujnikiem-ruchu-quazar-15-1xu10-lx-ip44-czarny-kobi?currency=PLN")</f>
        <v>https://b2b.kobi.pl/pl/product/10611,kinkiet-ogrodowy-z-czujnikiem-ruchu-quazar-15-1xu10-lx-ip44-czarny-kobi?currency=PLN</v>
      </c>
      <c r="P403" t="s">
        <v>3</v>
      </c>
      <c r="Q403"/>
    </row>
    <row r="404" spans="1:17" ht="14.4" x14ac:dyDescent="0.3">
      <c r="A404" t="s">
        <v>11</v>
      </c>
      <c r="B404" t="s">
        <v>21</v>
      </c>
      <c r="C404" t="s">
        <v>910</v>
      </c>
      <c r="D404" t="s">
        <v>1645</v>
      </c>
      <c r="E404" t="s">
        <v>1646</v>
      </c>
      <c r="F404" t="s">
        <v>850</v>
      </c>
      <c r="G404" s="35">
        <v>46.99</v>
      </c>
      <c r="H404" s="33">
        <f>G404*(1-IFERROR(VLOOKUP(F404,'enter the discount'!$D$10:$E$40,2,FALSE),0))</f>
        <v>46.99</v>
      </c>
      <c r="I404" s="35" t="s">
        <v>2609</v>
      </c>
      <c r="J404" s="33" t="s">
        <v>252</v>
      </c>
      <c r="K404" s="33" t="s">
        <v>2749</v>
      </c>
      <c r="L404">
        <v>16</v>
      </c>
      <c r="M404">
        <v>576</v>
      </c>
      <c r="N404" t="s">
        <v>2754</v>
      </c>
      <c r="O404" s="34" t="str">
        <f>HYPERLINK("https://b2b.kobi.pl/pl/product/10612,kinkiet-ogrodowy-z-czujnikiem-ruchu-quazar-15-1xu10-lx-ip44-szary-kobi?currency=PLN")</f>
        <v>https://b2b.kobi.pl/pl/product/10612,kinkiet-ogrodowy-z-czujnikiem-ruchu-quazar-15-1xu10-lx-ip44-szary-kobi?currency=PLN</v>
      </c>
      <c r="P404" t="s">
        <v>3</v>
      </c>
      <c r="Q404"/>
    </row>
    <row r="405" spans="1:17" ht="14.4" x14ac:dyDescent="0.3">
      <c r="A405" t="s">
        <v>11</v>
      </c>
      <c r="B405" t="s">
        <v>21</v>
      </c>
      <c r="C405" t="s">
        <v>910</v>
      </c>
      <c r="D405" t="s">
        <v>1647</v>
      </c>
      <c r="E405" t="s">
        <v>1648</v>
      </c>
      <c r="F405" t="s">
        <v>850</v>
      </c>
      <c r="G405" s="35">
        <v>62.41</v>
      </c>
      <c r="H405" s="33">
        <f>G405*(1-IFERROR(VLOOKUP(F405,'enter the discount'!$D$10:$E$40,2,FALSE),0))</f>
        <v>62.41</v>
      </c>
      <c r="I405" s="35" t="s">
        <v>2609</v>
      </c>
      <c r="J405" s="33" t="s">
        <v>260</v>
      </c>
      <c r="K405" s="33" t="s">
        <v>2749</v>
      </c>
      <c r="L405">
        <v>6</v>
      </c>
      <c r="M405">
        <v>60</v>
      </c>
      <c r="N405" t="s">
        <v>2754</v>
      </c>
      <c r="O405" s="34" t="str">
        <f>HYPERLINK("https://b2b.kobi.pl/pl/product/10613,slupek-ogrodowy-quazar-15s-1xgu10-ip44-czarny-kobi?currency=PLN")</f>
        <v>https://b2b.kobi.pl/pl/product/10613,slupek-ogrodowy-quazar-15s-1xgu10-ip44-czarny-kobi?currency=PLN</v>
      </c>
      <c r="P405" t="s">
        <v>3</v>
      </c>
      <c r="Q405"/>
    </row>
    <row r="406" spans="1:17" ht="14.4" x14ac:dyDescent="0.3">
      <c r="A406" t="s">
        <v>11</v>
      </c>
      <c r="B406" t="s">
        <v>21</v>
      </c>
      <c r="C406" t="s">
        <v>910</v>
      </c>
      <c r="D406" t="s">
        <v>1649</v>
      </c>
      <c r="E406" t="s">
        <v>1650</v>
      </c>
      <c r="F406" t="s">
        <v>850</v>
      </c>
      <c r="G406" s="35">
        <v>49.27</v>
      </c>
      <c r="H406" s="33">
        <f>G406*(1-IFERROR(VLOOKUP(F406,'enter the discount'!$D$10:$E$40,2,FALSE),0))</f>
        <v>49.27</v>
      </c>
      <c r="I406" s="35" t="s">
        <v>2609</v>
      </c>
      <c r="J406" s="33" t="s">
        <v>261</v>
      </c>
      <c r="K406" s="33" t="s">
        <v>2749</v>
      </c>
      <c r="L406">
        <v>6</v>
      </c>
      <c r="M406">
        <v>60</v>
      </c>
      <c r="N406" t="s">
        <v>2754</v>
      </c>
      <c r="O406" s="34" t="str">
        <f>HYPERLINK("https://b2b.kobi.pl/pl/product/10614,slupek-ogrodowy-quazar-15s-1xgu10-ip44-szary-kobi?currency=PLN")</f>
        <v>https://b2b.kobi.pl/pl/product/10614,slupek-ogrodowy-quazar-15s-1xgu10-ip44-szary-kobi?currency=PLN</v>
      </c>
      <c r="P406" t="s">
        <v>3</v>
      </c>
      <c r="Q406"/>
    </row>
    <row r="407" spans="1:17" ht="14.4" x14ac:dyDescent="0.3">
      <c r="A407" t="s">
        <v>11</v>
      </c>
      <c r="B407" t="s">
        <v>21</v>
      </c>
      <c r="C407" t="s">
        <v>910</v>
      </c>
      <c r="D407" t="s">
        <v>1651</v>
      </c>
      <c r="E407" t="s">
        <v>1652</v>
      </c>
      <c r="F407" t="s">
        <v>850</v>
      </c>
      <c r="G407" s="35">
        <v>20.03</v>
      </c>
      <c r="H407" s="33">
        <f>G407*(1-IFERROR(VLOOKUP(F407,'enter the discount'!$D$10:$E$40,2,FALSE),0))</f>
        <v>20.03</v>
      </c>
      <c r="I407" s="35" t="s">
        <v>2609</v>
      </c>
      <c r="J407" s="33" t="s">
        <v>2643</v>
      </c>
      <c r="K407" s="33" t="s">
        <v>2749</v>
      </c>
      <c r="L407">
        <v>24</v>
      </c>
      <c r="M407"/>
      <c r="N407" t="s">
        <v>2754</v>
      </c>
      <c r="O407" s="34" t="str">
        <f>HYPERLINK("https://b2b.kobi.pl/pl/product/10616,kinkiet-ogrodowy-quazar-16-1xgu10-ip44-stalowy-kobi?currency=PLN")</f>
        <v>https://b2b.kobi.pl/pl/product/10616,kinkiet-ogrodowy-quazar-16-1xgu10-ip44-stalowy-kobi?currency=PLN</v>
      </c>
      <c r="P407" t="s">
        <v>3</v>
      </c>
      <c r="Q407" t="s">
        <v>2775</v>
      </c>
    </row>
    <row r="408" spans="1:17" ht="14.4" x14ac:dyDescent="0.3">
      <c r="A408" t="s">
        <v>11</v>
      </c>
      <c r="B408" t="s">
        <v>21</v>
      </c>
      <c r="C408" t="s">
        <v>910</v>
      </c>
      <c r="D408" t="s">
        <v>1653</v>
      </c>
      <c r="E408" t="s">
        <v>1654</v>
      </c>
      <c r="F408" t="s">
        <v>850</v>
      </c>
      <c r="G408" s="35">
        <v>23.61</v>
      </c>
      <c r="H408" s="33">
        <f>G408*(1-IFERROR(VLOOKUP(F408,'enter the discount'!$D$10:$E$40,2,FALSE),0))</f>
        <v>23.61</v>
      </c>
      <c r="I408" s="35" t="s">
        <v>2609</v>
      </c>
      <c r="J408" s="33" t="s">
        <v>259</v>
      </c>
      <c r="K408" s="33" t="s">
        <v>2749</v>
      </c>
      <c r="L408">
        <v>24</v>
      </c>
      <c r="M408">
        <v>720</v>
      </c>
      <c r="N408" t="s">
        <v>2754</v>
      </c>
      <c r="O408" s="34" t="str">
        <f>HYPERLINK("https://b2b.kobi.pl/pl/product/10618,lampa-ogrodowa-quazar-17-1xgu10-ip44-szara-kobi?currency=PLN")</f>
        <v>https://b2b.kobi.pl/pl/product/10618,lampa-ogrodowa-quazar-17-1xgu10-ip44-szara-kobi?currency=PLN</v>
      </c>
      <c r="P408" t="s">
        <v>3</v>
      </c>
      <c r="Q408" t="s">
        <v>2775</v>
      </c>
    </row>
    <row r="409" spans="1:17" ht="14.4" x14ac:dyDescent="0.3">
      <c r="A409" t="s">
        <v>11</v>
      </c>
      <c r="B409" t="s">
        <v>21</v>
      </c>
      <c r="C409" t="s">
        <v>30</v>
      </c>
      <c r="D409" t="s">
        <v>1655</v>
      </c>
      <c r="E409" t="s">
        <v>1656</v>
      </c>
      <c r="F409" t="s">
        <v>850</v>
      </c>
      <c r="G409" s="35">
        <v>16.72</v>
      </c>
      <c r="H409" s="33">
        <f>G409*(1-IFERROR(VLOOKUP(F409,'enter the discount'!$D$10:$E$40,2,FALSE),0))</f>
        <v>16.72</v>
      </c>
      <c r="I409" s="35" t="s">
        <v>2609</v>
      </c>
      <c r="J409" s="33" t="s">
        <v>538</v>
      </c>
      <c r="K409" s="33" t="s">
        <v>2749</v>
      </c>
      <c r="L409">
        <v>30</v>
      </c>
      <c r="M409"/>
      <c r="N409" t="s">
        <v>2754</v>
      </c>
      <c r="O409" s="34" t="str">
        <f>HYPERLINK("https://b2b.kobi.pl/pl/product/10642,lampa-ogrodowa-querk-1-1xgu10-ip54-czarna-led2b?currency=PLN")</f>
        <v>https://b2b.kobi.pl/pl/product/10642,lampa-ogrodowa-querk-1-1xgu10-ip54-czarna-led2b?currency=PLN</v>
      </c>
      <c r="P409" t="s">
        <v>3</v>
      </c>
      <c r="Q409"/>
    </row>
    <row r="410" spans="1:17" ht="14.4" x14ac:dyDescent="0.3">
      <c r="A410" t="s">
        <v>11</v>
      </c>
      <c r="B410" t="s">
        <v>21</v>
      </c>
      <c r="C410" t="s">
        <v>30</v>
      </c>
      <c r="D410" t="s">
        <v>1657</v>
      </c>
      <c r="E410" t="s">
        <v>1658</v>
      </c>
      <c r="F410" t="s">
        <v>850</v>
      </c>
      <c r="G410" s="35">
        <v>15.29</v>
      </c>
      <c r="H410" s="33">
        <f>G410*(1-IFERROR(VLOOKUP(F410,'enter the discount'!$D$10:$E$40,2,FALSE),0))</f>
        <v>15.29</v>
      </c>
      <c r="I410" s="35" t="s">
        <v>2609</v>
      </c>
      <c r="J410" s="33" t="s">
        <v>539</v>
      </c>
      <c r="K410" s="33" t="s">
        <v>2749</v>
      </c>
      <c r="L410">
        <v>30</v>
      </c>
      <c r="M410"/>
      <c r="N410" t="s">
        <v>2754</v>
      </c>
      <c r="O410" s="34" t="str">
        <f>HYPERLINK("https://b2b.kobi.pl/pl/product/10643,lampa-ogrodowa-querk-2-1xgu10-ip54-czarna-led2b?currency=PLN")</f>
        <v>https://b2b.kobi.pl/pl/product/10643,lampa-ogrodowa-querk-2-1xgu10-ip54-czarna-led2b?currency=PLN</v>
      </c>
      <c r="P410" t="s">
        <v>3</v>
      </c>
      <c r="Q410"/>
    </row>
    <row r="411" spans="1:17" ht="14.4" x14ac:dyDescent="0.3">
      <c r="A411" t="s">
        <v>11</v>
      </c>
      <c r="B411" t="s">
        <v>21</v>
      </c>
      <c r="C411" t="s">
        <v>30</v>
      </c>
      <c r="D411" t="s">
        <v>1659</v>
      </c>
      <c r="E411" t="s">
        <v>1660</v>
      </c>
      <c r="F411" t="s">
        <v>850</v>
      </c>
      <c r="G411" s="35">
        <v>19.27</v>
      </c>
      <c r="H411" s="33">
        <f>G411*(1-IFERROR(VLOOKUP(F411,'enter the discount'!$D$10:$E$40,2,FALSE),0))</f>
        <v>19.27</v>
      </c>
      <c r="I411" s="35" t="s">
        <v>2609</v>
      </c>
      <c r="J411" s="33" t="s">
        <v>540</v>
      </c>
      <c r="K411" s="33" t="s">
        <v>2749</v>
      </c>
      <c r="L411">
        <v>10</v>
      </c>
      <c r="M411"/>
      <c r="N411" t="s">
        <v>2754</v>
      </c>
      <c r="O411" s="34" t="str">
        <f>HYPERLINK("https://b2b.kobi.pl/pl/product/10644,kinkiet-ogrodowy-querk-3-2xgu10-ip54-czarna-led2b?currency=PLN")</f>
        <v>https://b2b.kobi.pl/pl/product/10644,kinkiet-ogrodowy-querk-3-2xgu10-ip54-czarna-led2b?currency=PLN</v>
      </c>
      <c r="P411" t="s">
        <v>3</v>
      </c>
      <c r="Q411"/>
    </row>
    <row r="412" spans="1:17" ht="14.4" x14ac:dyDescent="0.3">
      <c r="A412" t="s">
        <v>11</v>
      </c>
      <c r="B412" t="s">
        <v>21</v>
      </c>
      <c r="C412" t="s">
        <v>30</v>
      </c>
      <c r="D412" t="s">
        <v>1661</v>
      </c>
      <c r="E412" t="s">
        <v>1662</v>
      </c>
      <c r="F412" t="s">
        <v>850</v>
      </c>
      <c r="G412" s="35">
        <v>30.47</v>
      </c>
      <c r="H412" s="33">
        <f>G412*(1-IFERROR(VLOOKUP(F412,'enter the discount'!$D$10:$E$40,2,FALSE),0))</f>
        <v>30.47</v>
      </c>
      <c r="I412" s="35" t="s">
        <v>2609</v>
      </c>
      <c r="J412" s="33" t="s">
        <v>541</v>
      </c>
      <c r="K412" s="33" t="s">
        <v>2749</v>
      </c>
      <c r="L412">
        <v>10</v>
      </c>
      <c r="M412"/>
      <c r="N412" t="s">
        <v>2754</v>
      </c>
      <c r="O412" s="34" t="str">
        <f>HYPERLINK("https://b2b.kobi.pl/pl/product/10645,kinkiet-ogrodowy-querk-4-2xgu10-ip54-czarna-led2b?currency=PLN")</f>
        <v>https://b2b.kobi.pl/pl/product/10645,kinkiet-ogrodowy-querk-4-2xgu10-ip54-czarna-led2b?currency=PLN</v>
      </c>
      <c r="P412" t="s">
        <v>3</v>
      </c>
      <c r="Q412"/>
    </row>
    <row r="413" spans="1:17" ht="14.4" x14ac:dyDescent="0.3">
      <c r="A413" t="s">
        <v>11</v>
      </c>
      <c r="B413" t="s">
        <v>21</v>
      </c>
      <c r="C413" t="s">
        <v>30</v>
      </c>
      <c r="D413" t="s">
        <v>1663</v>
      </c>
      <c r="E413" t="s">
        <v>1664</v>
      </c>
      <c r="F413" t="s">
        <v>850</v>
      </c>
      <c r="G413" s="35">
        <v>28.1</v>
      </c>
      <c r="H413" s="33">
        <f>G413*(1-IFERROR(VLOOKUP(F413,'enter the discount'!$D$10:$E$40,2,FALSE),0))</f>
        <v>28.1</v>
      </c>
      <c r="I413" s="35" t="s">
        <v>2609</v>
      </c>
      <c r="J413" s="33" t="s">
        <v>542</v>
      </c>
      <c r="K413" s="33" t="s">
        <v>2749</v>
      </c>
      <c r="L413">
        <v>10</v>
      </c>
      <c r="M413"/>
      <c r="N413" t="s">
        <v>2754</v>
      </c>
      <c r="O413" s="34" t="str">
        <f>HYPERLINK("https://b2b.kobi.pl/pl/product/10646,kinkiet-ogrodowy-querk-5-2xgu10-ip54-czarna-led2b?currency=PLN")</f>
        <v>https://b2b.kobi.pl/pl/product/10646,kinkiet-ogrodowy-querk-5-2xgu10-ip54-czarna-led2b?currency=PLN</v>
      </c>
      <c r="P413" t="s">
        <v>3</v>
      </c>
      <c r="Q413"/>
    </row>
    <row r="414" spans="1:17" ht="14.4" x14ac:dyDescent="0.3">
      <c r="A414" t="s">
        <v>11</v>
      </c>
      <c r="B414" t="s">
        <v>21</v>
      </c>
      <c r="C414" t="s">
        <v>30</v>
      </c>
      <c r="D414" t="s">
        <v>1665</v>
      </c>
      <c r="E414" t="s">
        <v>1666</v>
      </c>
      <c r="F414" t="s">
        <v>850</v>
      </c>
      <c r="G414" s="35">
        <v>15.06</v>
      </c>
      <c r="H414" s="33">
        <f>G414*(1-IFERROR(VLOOKUP(F414,'enter the discount'!$D$10:$E$40,2,FALSE),0))</f>
        <v>15.06</v>
      </c>
      <c r="I414" s="35" t="s">
        <v>2609</v>
      </c>
      <c r="J414" s="33" t="s">
        <v>2644</v>
      </c>
      <c r="K414" s="33" t="s">
        <v>2749</v>
      </c>
      <c r="L414">
        <v>30</v>
      </c>
      <c r="M414"/>
      <c r="N414" t="s">
        <v>2754</v>
      </c>
      <c r="O414" s="34" t="str">
        <f>HYPERLINK("https://b2b.kobi.pl/pl/product/12143,kinkiet-ogrodowy-querk-6-1xgu10-ip54-czarny-led2b?currency=PLN")</f>
        <v>https://b2b.kobi.pl/pl/product/12143,kinkiet-ogrodowy-querk-6-1xgu10-ip54-czarny-led2b?currency=PLN</v>
      </c>
      <c r="P414" t="s">
        <v>3</v>
      </c>
      <c r="Q414"/>
    </row>
    <row r="415" spans="1:17" ht="14.4" x14ac:dyDescent="0.3">
      <c r="A415" t="s">
        <v>11</v>
      </c>
      <c r="B415" t="s">
        <v>21</v>
      </c>
      <c r="C415" t="s">
        <v>30</v>
      </c>
      <c r="D415" t="s">
        <v>1667</v>
      </c>
      <c r="E415" t="s">
        <v>1668</v>
      </c>
      <c r="F415" t="s">
        <v>850</v>
      </c>
      <c r="G415" s="35">
        <v>19.82</v>
      </c>
      <c r="H415" s="33">
        <f>G415*(1-IFERROR(VLOOKUP(F415,'enter the discount'!$D$10:$E$40,2,FALSE),0))</f>
        <v>19.82</v>
      </c>
      <c r="I415" s="35" t="s">
        <v>2609</v>
      </c>
      <c r="J415" s="33" t="s">
        <v>2645</v>
      </c>
      <c r="K415" s="33" t="s">
        <v>2749</v>
      </c>
      <c r="L415">
        <v>20</v>
      </c>
      <c r="M415"/>
      <c r="N415" t="s">
        <v>2754</v>
      </c>
      <c r="O415" s="34" t="str">
        <f>HYPERLINK("https://b2b.kobi.pl/pl/product/12144,kinkiet-ogrodowy-querk-7-2xgu10-ip54-czarny-led2b?currency=PLN")</f>
        <v>https://b2b.kobi.pl/pl/product/12144,kinkiet-ogrodowy-querk-7-2xgu10-ip54-czarny-led2b?currency=PLN</v>
      </c>
      <c r="P415" t="s">
        <v>3</v>
      </c>
      <c r="Q415"/>
    </row>
    <row r="416" spans="1:17" ht="14.4" x14ac:dyDescent="0.3">
      <c r="A416" t="s">
        <v>11</v>
      </c>
      <c r="B416" t="s">
        <v>21</v>
      </c>
      <c r="C416" t="s">
        <v>30</v>
      </c>
      <c r="D416" t="s">
        <v>1669</v>
      </c>
      <c r="E416" t="s">
        <v>1670</v>
      </c>
      <c r="F416" t="s">
        <v>850</v>
      </c>
      <c r="G416" s="35">
        <v>20.420000000000002</v>
      </c>
      <c r="H416" s="33">
        <f>G416*(1-IFERROR(VLOOKUP(F416,'enter the discount'!$D$10:$E$40,2,FALSE),0))</f>
        <v>20.420000000000002</v>
      </c>
      <c r="I416" s="35" t="s">
        <v>2609</v>
      </c>
      <c r="J416" s="33" t="s">
        <v>2646</v>
      </c>
      <c r="K416" s="33" t="s">
        <v>2749</v>
      </c>
      <c r="L416">
        <v>12</v>
      </c>
      <c r="M416"/>
      <c r="N416" t="s">
        <v>2754</v>
      </c>
      <c r="O416" s="34" t="str">
        <f>HYPERLINK("https://b2b.kobi.pl/pl/product/12136,kinkiet-ogrodowy-tevio-kg-1xe27-ip54-czarny-led2b?currency=PLN")</f>
        <v>https://b2b.kobi.pl/pl/product/12136,kinkiet-ogrodowy-tevio-kg-1xe27-ip54-czarny-led2b?currency=PLN</v>
      </c>
      <c r="P416" t="s">
        <v>3</v>
      </c>
      <c r="Q416"/>
    </row>
    <row r="417" spans="1:17" ht="14.4" x14ac:dyDescent="0.3">
      <c r="A417" t="s">
        <v>11</v>
      </c>
      <c r="B417" t="s">
        <v>21</v>
      </c>
      <c r="C417" t="s">
        <v>30</v>
      </c>
      <c r="D417" t="s">
        <v>1671</v>
      </c>
      <c r="E417" t="s">
        <v>1672</v>
      </c>
      <c r="F417" t="s">
        <v>850</v>
      </c>
      <c r="G417" s="35">
        <v>34.04</v>
      </c>
      <c r="H417" s="33">
        <f>G417*(1-IFERROR(VLOOKUP(F417,'enter the discount'!$D$10:$E$40,2,FALSE),0))</f>
        <v>34.04</v>
      </c>
      <c r="I417" s="35" t="s">
        <v>2609</v>
      </c>
      <c r="J417" s="33" t="s">
        <v>2647</v>
      </c>
      <c r="K417" s="33" t="s">
        <v>2749</v>
      </c>
      <c r="L417">
        <v>12</v>
      </c>
      <c r="M417"/>
      <c r="N417" t="s">
        <v>2754</v>
      </c>
      <c r="O417" s="34" t="str">
        <f>HYPERLINK("https://b2b.kobi.pl/pl/product/12137,kinkiet-ogrodowy-tevio-kg-1xe27-lx-ip54-czarny-led2b?currency=PLN")</f>
        <v>https://b2b.kobi.pl/pl/product/12137,kinkiet-ogrodowy-tevio-kg-1xe27-lx-ip54-czarny-led2b?currency=PLN</v>
      </c>
      <c r="P417" t="s">
        <v>3</v>
      </c>
      <c r="Q417"/>
    </row>
    <row r="418" spans="1:17" ht="14.4" x14ac:dyDescent="0.3">
      <c r="A418" t="s">
        <v>11</v>
      </c>
      <c r="B418" t="s">
        <v>21</v>
      </c>
      <c r="C418" t="s">
        <v>30</v>
      </c>
      <c r="D418" t="s">
        <v>1673</v>
      </c>
      <c r="E418" t="s">
        <v>1674</v>
      </c>
      <c r="F418" t="s">
        <v>850</v>
      </c>
      <c r="G418" s="35">
        <v>20.420000000000002</v>
      </c>
      <c r="H418" s="33">
        <f>G418*(1-IFERROR(VLOOKUP(F418,'enter the discount'!$D$10:$E$40,2,FALSE),0))</f>
        <v>20.420000000000002</v>
      </c>
      <c r="I418" s="35" t="s">
        <v>2609</v>
      </c>
      <c r="J418" s="33" t="s">
        <v>2648</v>
      </c>
      <c r="K418" s="33" t="s">
        <v>2749</v>
      </c>
      <c r="L418">
        <v>12</v>
      </c>
      <c r="M418"/>
      <c r="N418" t="s">
        <v>2754</v>
      </c>
      <c r="O418" s="34" t="str">
        <f>HYPERLINK("https://b2b.kobi.pl/pl/product/12138,kinkiet-ogrodowy-tevio-kd-1xe27-ip54-czarny-led2b?currency=PLN")</f>
        <v>https://b2b.kobi.pl/pl/product/12138,kinkiet-ogrodowy-tevio-kd-1xe27-ip54-czarny-led2b?currency=PLN</v>
      </c>
      <c r="P418" t="s">
        <v>3</v>
      </c>
      <c r="Q418"/>
    </row>
    <row r="419" spans="1:17" ht="14.4" x14ac:dyDescent="0.3">
      <c r="A419" t="s">
        <v>11</v>
      </c>
      <c r="B419" t="s">
        <v>21</v>
      </c>
      <c r="C419" t="s">
        <v>30</v>
      </c>
      <c r="D419" t="s">
        <v>1675</v>
      </c>
      <c r="E419" t="s">
        <v>1676</v>
      </c>
      <c r="F419" t="s">
        <v>850</v>
      </c>
      <c r="G419" s="35">
        <v>20.420000000000002</v>
      </c>
      <c r="H419" s="33">
        <f>G419*(1-IFERROR(VLOOKUP(F419,'enter the discount'!$D$10:$E$40,2,FALSE),0))</f>
        <v>20.420000000000002</v>
      </c>
      <c r="I419" s="35" t="s">
        <v>2609</v>
      </c>
      <c r="J419" s="33" t="s">
        <v>2649</v>
      </c>
      <c r="K419" s="33" t="s">
        <v>2749</v>
      </c>
      <c r="L419">
        <v>12</v>
      </c>
      <c r="M419"/>
      <c r="N419" t="s">
        <v>2754</v>
      </c>
      <c r="O419" s="34" t="str">
        <f>HYPERLINK("https://b2b.kobi.pl/pl/product/12139,lampa-wiszaca-ogrodowa-tevio-w-1xe27-ip54-czarna-led2b?currency=PLN")</f>
        <v>https://b2b.kobi.pl/pl/product/12139,lampa-wiszaca-ogrodowa-tevio-w-1xe27-ip54-czarna-led2b?currency=PLN</v>
      </c>
      <c r="P419" t="s">
        <v>3</v>
      </c>
      <c r="Q419"/>
    </row>
    <row r="420" spans="1:17" ht="14.4" x14ac:dyDescent="0.3">
      <c r="A420" t="s">
        <v>11</v>
      </c>
      <c r="B420" t="s">
        <v>21</v>
      </c>
      <c r="C420" t="s">
        <v>30</v>
      </c>
      <c r="D420" t="s">
        <v>1677</v>
      </c>
      <c r="E420" t="s">
        <v>1678</v>
      </c>
      <c r="F420" t="s">
        <v>850</v>
      </c>
      <c r="G420" s="35">
        <v>37.89</v>
      </c>
      <c r="H420" s="33">
        <f>G420*(1-IFERROR(VLOOKUP(F420,'enter the discount'!$D$10:$E$40,2,FALSE),0))</f>
        <v>37.89</v>
      </c>
      <c r="I420" s="35" t="s">
        <v>2609</v>
      </c>
      <c r="J420" s="33" t="s">
        <v>2650</v>
      </c>
      <c r="K420" s="33" t="s">
        <v>2749</v>
      </c>
      <c r="L420">
        <v>8</v>
      </c>
      <c r="M420"/>
      <c r="N420" t="s">
        <v>2754</v>
      </c>
      <c r="O420" s="34" t="str">
        <f>HYPERLINK("https://b2b.kobi.pl/pl/product/12140,slupek-ogrodowy-tevio-s-1xe27-ip54-czarny-led2b?currency=PLN")</f>
        <v>https://b2b.kobi.pl/pl/product/12140,slupek-ogrodowy-tevio-s-1xe27-ip54-czarny-led2b?currency=PLN</v>
      </c>
      <c r="P420" t="s">
        <v>3</v>
      </c>
      <c r="Q420"/>
    </row>
    <row r="421" spans="1:17" ht="14.4" x14ac:dyDescent="0.3">
      <c r="A421" t="s">
        <v>11</v>
      </c>
      <c r="B421" t="s">
        <v>21</v>
      </c>
      <c r="C421" t="s">
        <v>30</v>
      </c>
      <c r="D421" t="s">
        <v>1679</v>
      </c>
      <c r="E421" t="s">
        <v>1680</v>
      </c>
      <c r="F421" t="s">
        <v>850</v>
      </c>
      <c r="G421" s="35">
        <v>39.1</v>
      </c>
      <c r="H421" s="33">
        <f>G421*(1-IFERROR(VLOOKUP(F421,'enter the discount'!$D$10:$E$40,2,FALSE),0))</f>
        <v>39.1</v>
      </c>
      <c r="I421" s="35" t="s">
        <v>2609</v>
      </c>
      <c r="J421" s="33" t="s">
        <v>2651</v>
      </c>
      <c r="K421" s="33" t="s">
        <v>2749</v>
      </c>
      <c r="L421">
        <v>10</v>
      </c>
      <c r="M421"/>
      <c r="N421" t="s">
        <v>2754</v>
      </c>
      <c r="O421" s="34" t="str">
        <f>HYPERLINK("https://b2b.kobi.pl/pl/product/12141,kinkiet-ogrodowy-led-ome-10w-4000k-lx-ip54-czarny-led2b?currency=PLN")</f>
        <v>https://b2b.kobi.pl/pl/product/12141,kinkiet-ogrodowy-led-ome-10w-4000k-lx-ip54-czarny-led2b?currency=PLN</v>
      </c>
      <c r="P421" s="34" t="str">
        <f>HYPERLINK("https://eprel.ec.europa.eu/qr/2176183")</f>
        <v>https://eprel.ec.europa.eu/qr/2176183</v>
      </c>
      <c r="Q421"/>
    </row>
    <row r="422" spans="1:17" ht="14.4" x14ac:dyDescent="0.3">
      <c r="A422" t="s">
        <v>11</v>
      </c>
      <c r="B422" t="s">
        <v>21</v>
      </c>
      <c r="C422" t="s">
        <v>30</v>
      </c>
      <c r="D422" t="s">
        <v>1681</v>
      </c>
      <c r="E422" t="s">
        <v>1682</v>
      </c>
      <c r="F422" t="s">
        <v>850</v>
      </c>
      <c r="G422" s="35">
        <v>28.01</v>
      </c>
      <c r="H422" s="33">
        <f>G422*(1-IFERROR(VLOOKUP(F422,'enter the discount'!$D$10:$E$40,2,FALSE),0))</f>
        <v>28.01</v>
      </c>
      <c r="I422" s="35" t="s">
        <v>2609</v>
      </c>
      <c r="J422" s="33" t="s">
        <v>2652</v>
      </c>
      <c r="K422" s="33" t="s">
        <v>2749</v>
      </c>
      <c r="L422">
        <v>10</v>
      </c>
      <c r="M422"/>
      <c r="N422" t="s">
        <v>2754</v>
      </c>
      <c r="O422"/>
      <c r="P422" s="34" t="str">
        <f>HYPERLINK("https://eprel.ec.europa.eu/qr/2176464")</f>
        <v>https://eprel.ec.europa.eu/qr/2176464</v>
      </c>
      <c r="Q422"/>
    </row>
    <row r="423" spans="1:17" ht="14.4" x14ac:dyDescent="0.3">
      <c r="A423" t="s">
        <v>11</v>
      </c>
      <c r="B423" t="s">
        <v>21</v>
      </c>
      <c r="C423" t="s">
        <v>910</v>
      </c>
      <c r="D423" t="s">
        <v>1683</v>
      </c>
      <c r="E423" t="s">
        <v>1684</v>
      </c>
      <c r="F423" t="s">
        <v>850</v>
      </c>
      <c r="G423" s="35">
        <v>19.28</v>
      </c>
      <c r="H423" s="33">
        <f>G423*(1-IFERROR(VLOOKUP(F423,'enter the discount'!$D$10:$E$40,2,FALSE),0))</f>
        <v>19.28</v>
      </c>
      <c r="I423" s="35" t="s">
        <v>2609</v>
      </c>
      <c r="J423" s="33" t="s">
        <v>2653</v>
      </c>
      <c r="K423" s="33" t="s">
        <v>2749</v>
      </c>
      <c r="L423">
        <v>24</v>
      </c>
      <c r="M423">
        <v>1152</v>
      </c>
      <c r="N423" t="s">
        <v>2754</v>
      </c>
      <c r="O423"/>
      <c r="P423" t="s">
        <v>3</v>
      </c>
      <c r="Q423"/>
    </row>
    <row r="424" spans="1:17" ht="14.4" x14ac:dyDescent="0.3">
      <c r="A424" t="s">
        <v>11</v>
      </c>
      <c r="B424" t="s">
        <v>21</v>
      </c>
      <c r="C424" t="s">
        <v>910</v>
      </c>
      <c r="D424" t="s">
        <v>1685</v>
      </c>
      <c r="E424" t="s">
        <v>1686</v>
      </c>
      <c r="F424" t="s">
        <v>850</v>
      </c>
      <c r="G424" s="35">
        <v>19.28</v>
      </c>
      <c r="H424" s="33">
        <f>G424*(1-IFERROR(VLOOKUP(F424,'enter the discount'!$D$10:$E$40,2,FALSE),0))</f>
        <v>19.28</v>
      </c>
      <c r="I424" s="35" t="s">
        <v>2609</v>
      </c>
      <c r="J424" s="33" t="s">
        <v>2654</v>
      </c>
      <c r="K424" s="33" t="s">
        <v>2749</v>
      </c>
      <c r="L424">
        <v>24</v>
      </c>
      <c r="M424">
        <v>1152</v>
      </c>
      <c r="N424" t="s">
        <v>2754</v>
      </c>
      <c r="O424" s="34" t="str">
        <f>HYPERLINK("https://b2b.kobi.pl/pl/product/10627,kinkiet-ogrodowy-quazar-8-1xgu10-ip44-szary-kobi?currency=PLN")</f>
        <v>https://b2b.kobi.pl/pl/product/10627,kinkiet-ogrodowy-quazar-8-1xgu10-ip44-szary-kobi?currency=PLN</v>
      </c>
      <c r="P424" t="s">
        <v>3</v>
      </c>
      <c r="Q424"/>
    </row>
    <row r="425" spans="1:17" ht="14.4" x14ac:dyDescent="0.3">
      <c r="A425" t="s">
        <v>11</v>
      </c>
      <c r="B425" t="s">
        <v>21</v>
      </c>
      <c r="C425" t="s">
        <v>910</v>
      </c>
      <c r="D425" t="s">
        <v>1687</v>
      </c>
      <c r="E425" t="s">
        <v>1688</v>
      </c>
      <c r="F425" t="s">
        <v>850</v>
      </c>
      <c r="G425" s="35">
        <v>25.6</v>
      </c>
      <c r="H425" s="33">
        <f>G425*(1-IFERROR(VLOOKUP(F425,'enter the discount'!$D$10:$E$40,2,FALSE),0))</f>
        <v>25.6</v>
      </c>
      <c r="I425" s="35" t="s">
        <v>2609</v>
      </c>
      <c r="J425" s="33" t="s">
        <v>576</v>
      </c>
      <c r="K425" s="33" t="s">
        <v>2749</v>
      </c>
      <c r="L425">
        <v>16</v>
      </c>
      <c r="M425">
        <v>720</v>
      </c>
      <c r="N425" t="s">
        <v>2754</v>
      </c>
      <c r="O425" s="34" t="str">
        <f>HYPERLINK("https://b2b.kobi.pl/pl/product/10628,kinkiet-ogrodowy-quazar-9-2xgu10-ip44-czarny-kobi?currency=PLN")</f>
        <v>https://b2b.kobi.pl/pl/product/10628,kinkiet-ogrodowy-quazar-9-2xgu10-ip44-czarny-kobi?currency=PLN</v>
      </c>
      <c r="P425" t="s">
        <v>3</v>
      </c>
      <c r="Q425"/>
    </row>
    <row r="426" spans="1:17" ht="14.4" x14ac:dyDescent="0.3">
      <c r="A426" t="s">
        <v>11</v>
      </c>
      <c r="B426" t="s">
        <v>21</v>
      </c>
      <c r="C426" t="s">
        <v>910</v>
      </c>
      <c r="D426" t="s">
        <v>1689</v>
      </c>
      <c r="E426" t="s">
        <v>1690</v>
      </c>
      <c r="F426" t="s">
        <v>850</v>
      </c>
      <c r="G426" s="35">
        <v>25.6</v>
      </c>
      <c r="H426" s="33">
        <f>G426*(1-IFERROR(VLOOKUP(F426,'enter the discount'!$D$10:$E$40,2,FALSE),0))</f>
        <v>25.6</v>
      </c>
      <c r="I426" s="35" t="s">
        <v>2609</v>
      </c>
      <c r="J426" s="33" t="s">
        <v>577</v>
      </c>
      <c r="K426" s="33" t="s">
        <v>2749</v>
      </c>
      <c r="L426">
        <v>16</v>
      </c>
      <c r="M426">
        <v>720</v>
      </c>
      <c r="N426" t="s">
        <v>2754</v>
      </c>
      <c r="O426" s="34" t="str">
        <f>HYPERLINK("https://b2b.kobi.pl/pl/product/10629,kinkiet-ogrodowy-quazar-9-2xgu10-ip44-szary-kobi?currency=PLN")</f>
        <v>https://b2b.kobi.pl/pl/product/10629,kinkiet-ogrodowy-quazar-9-2xgu10-ip44-szary-kobi?currency=PLN</v>
      </c>
      <c r="P426" t="s">
        <v>3</v>
      </c>
      <c r="Q426"/>
    </row>
    <row r="427" spans="1:17" ht="14.4" x14ac:dyDescent="0.3">
      <c r="A427" t="s">
        <v>11</v>
      </c>
      <c r="B427" t="s">
        <v>1691</v>
      </c>
      <c r="C427" t="s">
        <v>910</v>
      </c>
      <c r="D427" t="s">
        <v>1692</v>
      </c>
      <c r="E427" t="s">
        <v>1693</v>
      </c>
      <c r="F427" t="s">
        <v>847</v>
      </c>
      <c r="G427" s="35">
        <v>2.2000000000000002</v>
      </c>
      <c r="H427" s="33">
        <f>G427*(1-IFERROR(VLOOKUP(F427,'enter the discount'!$D$10:$E$40,2,FALSE),0))</f>
        <v>2.2000000000000002</v>
      </c>
      <c r="I427" s="35" t="s">
        <v>2609</v>
      </c>
      <c r="J427" s="33" t="s">
        <v>264</v>
      </c>
      <c r="K427" s="33" t="s">
        <v>2749</v>
      </c>
      <c r="L427">
        <v>50</v>
      </c>
      <c r="M427">
        <v>2800</v>
      </c>
      <c r="N427" t="s">
        <v>2754</v>
      </c>
      <c r="O427" s="34" t="str">
        <f>HYPERLINK("https://b2b.kobi.pl/pl/product/10371,pierscien-ozdobny-oh14-bialy-kobi?currency=PLN")</f>
        <v>https://b2b.kobi.pl/pl/product/10371,pierscien-ozdobny-oh14-bialy-kobi?currency=PLN</v>
      </c>
      <c r="P427" t="s">
        <v>3</v>
      </c>
      <c r="Q427"/>
    </row>
    <row r="428" spans="1:17" ht="14.4" x14ac:dyDescent="0.3">
      <c r="A428" t="s">
        <v>11</v>
      </c>
      <c r="B428" t="s">
        <v>1691</v>
      </c>
      <c r="C428" t="s">
        <v>910</v>
      </c>
      <c r="D428" t="s">
        <v>1694</v>
      </c>
      <c r="E428" t="s">
        <v>1695</v>
      </c>
      <c r="F428" t="s">
        <v>847</v>
      </c>
      <c r="G428" s="35">
        <v>2.4</v>
      </c>
      <c r="H428" s="33">
        <f>G428*(1-IFERROR(VLOOKUP(F428,'enter the discount'!$D$10:$E$40,2,FALSE),0))</f>
        <v>2.4</v>
      </c>
      <c r="I428" s="35" t="s">
        <v>2609</v>
      </c>
      <c r="J428" s="33" t="s">
        <v>265</v>
      </c>
      <c r="K428" s="33" t="s">
        <v>2749</v>
      </c>
      <c r="L428">
        <v>50</v>
      </c>
      <c r="M428">
        <v>2800</v>
      </c>
      <c r="N428" t="s">
        <v>2754</v>
      </c>
      <c r="O428" s="34" t="str">
        <f>HYPERLINK("https://b2b.kobi.pl/pl/product/10372,pierscien-ozdobny-oh14-chrom-kobi?currency=PLN")</f>
        <v>https://b2b.kobi.pl/pl/product/10372,pierscien-ozdobny-oh14-chrom-kobi?currency=PLN</v>
      </c>
      <c r="P428" t="s">
        <v>3</v>
      </c>
      <c r="Q428"/>
    </row>
    <row r="429" spans="1:17" ht="14.4" x14ac:dyDescent="0.3">
      <c r="A429" t="s">
        <v>11</v>
      </c>
      <c r="B429" t="s">
        <v>1691</v>
      </c>
      <c r="C429" t="s">
        <v>910</v>
      </c>
      <c r="D429" t="s">
        <v>1696</v>
      </c>
      <c r="E429" t="s">
        <v>1697</v>
      </c>
      <c r="F429" t="s">
        <v>847</v>
      </c>
      <c r="G429" s="35">
        <v>2.4</v>
      </c>
      <c r="H429" s="33">
        <f>G429*(1-IFERROR(VLOOKUP(F429,'enter the discount'!$D$10:$E$40,2,FALSE),0))</f>
        <v>2.4</v>
      </c>
      <c r="I429" s="35" t="s">
        <v>2609</v>
      </c>
      <c r="J429" s="33" t="s">
        <v>266</v>
      </c>
      <c r="K429" s="33" t="s">
        <v>2749</v>
      </c>
      <c r="L429">
        <v>50</v>
      </c>
      <c r="M429">
        <v>2800</v>
      </c>
      <c r="N429" t="s">
        <v>2754</v>
      </c>
      <c r="O429" s="34" t="str">
        <f>HYPERLINK("https://b2b.kobi.pl/pl/product/10374,pierscien-ozdobny-oh14-mat-chrom-kobi?currency=PLN")</f>
        <v>https://b2b.kobi.pl/pl/product/10374,pierscien-ozdobny-oh14-mat-chrom-kobi?currency=PLN</v>
      </c>
      <c r="P429" t="s">
        <v>3</v>
      </c>
      <c r="Q429"/>
    </row>
    <row r="430" spans="1:17" ht="14.4" x14ac:dyDescent="0.3">
      <c r="A430" t="s">
        <v>11</v>
      </c>
      <c r="B430" t="s">
        <v>1691</v>
      </c>
      <c r="C430" t="s">
        <v>910</v>
      </c>
      <c r="D430" t="s">
        <v>1698</v>
      </c>
      <c r="E430" t="s">
        <v>1699</v>
      </c>
      <c r="F430" t="s">
        <v>847</v>
      </c>
      <c r="G430" s="35">
        <v>2.4</v>
      </c>
      <c r="H430" s="33">
        <f>G430*(1-IFERROR(VLOOKUP(F430,'enter the discount'!$D$10:$E$40,2,FALSE),0))</f>
        <v>2.4</v>
      </c>
      <c r="I430" s="35" t="s">
        <v>2609</v>
      </c>
      <c r="J430" s="33" t="s">
        <v>344</v>
      </c>
      <c r="K430" s="33" t="s">
        <v>2749</v>
      </c>
      <c r="L430">
        <v>50</v>
      </c>
      <c r="M430">
        <v>2800</v>
      </c>
      <c r="N430" t="s">
        <v>2754</v>
      </c>
      <c r="O430" s="34" t="str">
        <f>HYPERLINK("https://b2b.kobi.pl/pl/product/10375,pierscien-ozdobny-oh14-mat-czarny-kobi?currency=PLN")</f>
        <v>https://b2b.kobi.pl/pl/product/10375,pierscien-ozdobny-oh14-mat-czarny-kobi?currency=PLN</v>
      </c>
      <c r="P430" t="s">
        <v>3</v>
      </c>
      <c r="Q430"/>
    </row>
    <row r="431" spans="1:17" ht="14.4" x14ac:dyDescent="0.3">
      <c r="A431" t="s">
        <v>11</v>
      </c>
      <c r="B431" t="s">
        <v>1691</v>
      </c>
      <c r="C431" t="s">
        <v>910</v>
      </c>
      <c r="D431" t="s">
        <v>1700</v>
      </c>
      <c r="E431" t="s">
        <v>1701</v>
      </c>
      <c r="F431" t="s">
        <v>847</v>
      </c>
      <c r="G431" s="35">
        <v>2.4</v>
      </c>
      <c r="H431" s="33">
        <f>G431*(1-IFERROR(VLOOKUP(F431,'enter the discount'!$D$10:$E$40,2,FALSE),0))</f>
        <v>2.4</v>
      </c>
      <c r="I431" s="35" t="s">
        <v>2609</v>
      </c>
      <c r="J431" s="33" t="s">
        <v>267</v>
      </c>
      <c r="K431" s="33" t="s">
        <v>2749</v>
      </c>
      <c r="L431">
        <v>50</v>
      </c>
      <c r="M431">
        <v>2800</v>
      </c>
      <c r="N431" t="s">
        <v>2754</v>
      </c>
      <c r="O431" s="34" t="str">
        <f>HYPERLINK("https://b2b.kobi.pl/pl/product/10376,pierscien-ozdobny-oh14-patyna-kobi?currency=PLN")</f>
        <v>https://b2b.kobi.pl/pl/product/10376,pierscien-ozdobny-oh14-patyna-kobi?currency=PLN</v>
      </c>
      <c r="P431" t="s">
        <v>3</v>
      </c>
      <c r="Q431"/>
    </row>
    <row r="432" spans="1:17" ht="14.4" x14ac:dyDescent="0.3">
      <c r="A432" t="s">
        <v>11</v>
      </c>
      <c r="B432" t="s">
        <v>1691</v>
      </c>
      <c r="C432" t="s">
        <v>910</v>
      </c>
      <c r="D432" t="s">
        <v>1702</v>
      </c>
      <c r="E432" t="s">
        <v>1703</v>
      </c>
      <c r="F432" t="s">
        <v>847</v>
      </c>
      <c r="G432" s="35">
        <v>2.95</v>
      </c>
      <c r="H432" s="33">
        <f>G432*(1-IFERROR(VLOOKUP(F432,'enter the discount'!$D$10:$E$40,2,FALSE),0))</f>
        <v>2.95</v>
      </c>
      <c r="I432" s="35" t="s">
        <v>2609</v>
      </c>
      <c r="J432" s="33" t="s">
        <v>281</v>
      </c>
      <c r="K432" s="33" t="s">
        <v>2749</v>
      </c>
      <c r="L432">
        <v>50</v>
      </c>
      <c r="M432">
        <v>2450</v>
      </c>
      <c r="N432" t="s">
        <v>2754</v>
      </c>
      <c r="O432" s="34" t="str">
        <f>HYPERLINK("https://b2b.kobi.pl/pl/product/10377,pierscien-ozdobny-oh15-bialy-kobi?currency=PLN")</f>
        <v>https://b2b.kobi.pl/pl/product/10377,pierscien-ozdobny-oh15-bialy-kobi?currency=PLN</v>
      </c>
      <c r="P432" t="s">
        <v>3</v>
      </c>
      <c r="Q432"/>
    </row>
    <row r="433" spans="1:17" ht="14.4" x14ac:dyDescent="0.3">
      <c r="A433" t="s">
        <v>11</v>
      </c>
      <c r="B433" t="s">
        <v>1691</v>
      </c>
      <c r="C433" t="s">
        <v>910</v>
      </c>
      <c r="D433" t="s">
        <v>1704</v>
      </c>
      <c r="E433" t="s">
        <v>1705</v>
      </c>
      <c r="F433" t="s">
        <v>847</v>
      </c>
      <c r="G433" s="35">
        <v>3.33</v>
      </c>
      <c r="H433" s="33">
        <f>G433*(1-IFERROR(VLOOKUP(F433,'enter the discount'!$D$10:$E$40,2,FALSE),0))</f>
        <v>3.33</v>
      </c>
      <c r="I433" s="35" t="s">
        <v>2609</v>
      </c>
      <c r="J433" s="33" t="s">
        <v>282</v>
      </c>
      <c r="K433" s="33" t="s">
        <v>2749</v>
      </c>
      <c r="L433">
        <v>50</v>
      </c>
      <c r="M433">
        <v>2450</v>
      </c>
      <c r="N433" t="s">
        <v>2754</v>
      </c>
      <c r="O433" s="34" t="str">
        <f>HYPERLINK("https://b2b.kobi.pl/pl/product/10378,pierscien-ozdobny-oh15-chrom-kobi?currency=PLN")</f>
        <v>https://b2b.kobi.pl/pl/product/10378,pierscien-ozdobny-oh15-chrom-kobi?currency=PLN</v>
      </c>
      <c r="P433" t="s">
        <v>3</v>
      </c>
      <c r="Q433"/>
    </row>
    <row r="434" spans="1:17" ht="14.4" x14ac:dyDescent="0.3">
      <c r="A434" t="s">
        <v>11</v>
      </c>
      <c r="B434" t="s">
        <v>1691</v>
      </c>
      <c r="C434" t="s">
        <v>910</v>
      </c>
      <c r="D434" t="s">
        <v>1706</v>
      </c>
      <c r="E434" t="s">
        <v>1707</v>
      </c>
      <c r="F434" t="s">
        <v>847</v>
      </c>
      <c r="G434" s="35">
        <v>3.33</v>
      </c>
      <c r="H434" s="33">
        <f>G434*(1-IFERROR(VLOOKUP(F434,'enter the discount'!$D$10:$E$40,2,FALSE),0))</f>
        <v>3.33</v>
      </c>
      <c r="I434" s="35" t="s">
        <v>2609</v>
      </c>
      <c r="J434" s="33" t="s">
        <v>283</v>
      </c>
      <c r="K434" s="33" t="s">
        <v>2749</v>
      </c>
      <c r="L434">
        <v>50</v>
      </c>
      <c r="M434">
        <v>2450</v>
      </c>
      <c r="N434" t="s">
        <v>2754</v>
      </c>
      <c r="O434" s="34" t="str">
        <f>HYPERLINK("https://b2b.kobi.pl/pl/product/10380,pierscien-ozdobny-oh15-mat-chrom-kobi?currency=PLN")</f>
        <v>https://b2b.kobi.pl/pl/product/10380,pierscien-ozdobny-oh15-mat-chrom-kobi?currency=PLN</v>
      </c>
      <c r="P434" t="s">
        <v>3</v>
      </c>
      <c r="Q434"/>
    </row>
    <row r="435" spans="1:17" ht="14.4" x14ac:dyDescent="0.3">
      <c r="A435" t="s">
        <v>11</v>
      </c>
      <c r="B435" t="s">
        <v>1691</v>
      </c>
      <c r="C435" t="s">
        <v>910</v>
      </c>
      <c r="D435" t="s">
        <v>1708</v>
      </c>
      <c r="E435" t="s">
        <v>1709</v>
      </c>
      <c r="F435" t="s">
        <v>847</v>
      </c>
      <c r="G435" s="35">
        <v>3.33</v>
      </c>
      <c r="H435" s="33">
        <f>G435*(1-IFERROR(VLOOKUP(F435,'enter the discount'!$D$10:$E$40,2,FALSE),0))</f>
        <v>3.33</v>
      </c>
      <c r="I435" s="35" t="s">
        <v>2609</v>
      </c>
      <c r="J435" s="33" t="s">
        <v>345</v>
      </c>
      <c r="K435" s="33" t="s">
        <v>2749</v>
      </c>
      <c r="L435">
        <v>50</v>
      </c>
      <c r="M435">
        <v>2450</v>
      </c>
      <c r="N435" t="s">
        <v>2754</v>
      </c>
      <c r="O435" s="34" t="str">
        <f>HYPERLINK("https://b2b.kobi.pl/pl/product/10381,pierscien-ozdobny-oh15-mat-czarny-kobi?currency=PLN")</f>
        <v>https://b2b.kobi.pl/pl/product/10381,pierscien-ozdobny-oh15-mat-czarny-kobi?currency=PLN</v>
      </c>
      <c r="P435" t="s">
        <v>3</v>
      </c>
      <c r="Q435"/>
    </row>
    <row r="436" spans="1:17" ht="14.4" x14ac:dyDescent="0.3">
      <c r="A436" t="s">
        <v>11</v>
      </c>
      <c r="B436" t="s">
        <v>1691</v>
      </c>
      <c r="C436" t="s">
        <v>910</v>
      </c>
      <c r="D436" t="s">
        <v>1710</v>
      </c>
      <c r="E436" t="s">
        <v>1711</v>
      </c>
      <c r="F436" t="s">
        <v>847</v>
      </c>
      <c r="G436" s="35">
        <v>3.33</v>
      </c>
      <c r="H436" s="33">
        <f>G436*(1-IFERROR(VLOOKUP(F436,'enter the discount'!$D$10:$E$40,2,FALSE),0))</f>
        <v>3.33</v>
      </c>
      <c r="I436" s="35" t="s">
        <v>2609</v>
      </c>
      <c r="J436" s="33" t="s">
        <v>284</v>
      </c>
      <c r="K436" s="33" t="s">
        <v>2749</v>
      </c>
      <c r="L436">
        <v>50</v>
      </c>
      <c r="M436">
        <v>2450</v>
      </c>
      <c r="N436" t="s">
        <v>2754</v>
      </c>
      <c r="O436" s="34" t="str">
        <f>HYPERLINK("https://b2b.kobi.pl/pl/product/10383,pierscien-ozdobny-oh15-patyna-kobi?currency=PLN")</f>
        <v>https://b2b.kobi.pl/pl/product/10383,pierscien-ozdobny-oh15-patyna-kobi?currency=PLN</v>
      </c>
      <c r="P436" t="s">
        <v>3</v>
      </c>
      <c r="Q436"/>
    </row>
    <row r="437" spans="1:17" ht="14.4" x14ac:dyDescent="0.3">
      <c r="A437" t="s">
        <v>11</v>
      </c>
      <c r="B437" t="s">
        <v>1691</v>
      </c>
      <c r="C437" t="s">
        <v>910</v>
      </c>
      <c r="D437" t="s">
        <v>1712</v>
      </c>
      <c r="E437" t="s">
        <v>1713</v>
      </c>
      <c r="F437" t="s">
        <v>847</v>
      </c>
      <c r="G437" s="35">
        <v>5.2</v>
      </c>
      <c r="H437" s="33">
        <f>G437*(1-IFERROR(VLOOKUP(F437,'enter the discount'!$D$10:$E$40,2,FALSE),0))</f>
        <v>5.2</v>
      </c>
      <c r="I437" s="35" t="s">
        <v>2609</v>
      </c>
      <c r="J437" s="33" t="s">
        <v>2655</v>
      </c>
      <c r="K437" s="33" t="s">
        <v>2749</v>
      </c>
      <c r="L437">
        <v>100</v>
      </c>
      <c r="M437"/>
      <c r="N437" t="s">
        <v>2754</v>
      </c>
      <c r="O437" s="34" t="str">
        <f>HYPERLINK("https://b2b.kobi.pl/pl/product/10387,pierscien-ozdobny-oh20-czarny-kobi?currency=PLN")</f>
        <v>https://b2b.kobi.pl/pl/product/10387,pierscien-ozdobny-oh20-czarny-kobi?currency=PLN</v>
      </c>
      <c r="P437" t="s">
        <v>3</v>
      </c>
      <c r="Q437" t="s">
        <v>2775</v>
      </c>
    </row>
    <row r="438" spans="1:17" ht="14.4" x14ac:dyDescent="0.3">
      <c r="A438" t="s">
        <v>11</v>
      </c>
      <c r="B438" t="s">
        <v>1691</v>
      </c>
      <c r="C438" t="s">
        <v>910</v>
      </c>
      <c r="D438" t="s">
        <v>1714</v>
      </c>
      <c r="E438" t="s">
        <v>1715</v>
      </c>
      <c r="F438" t="s">
        <v>847</v>
      </c>
      <c r="G438" s="35">
        <v>5.2</v>
      </c>
      <c r="H438" s="33">
        <f>G438*(1-IFERROR(VLOOKUP(F438,'enter the discount'!$D$10:$E$40,2,FALSE),0))</f>
        <v>5.2</v>
      </c>
      <c r="I438" s="35" t="s">
        <v>2609</v>
      </c>
      <c r="J438" s="33" t="s">
        <v>268</v>
      </c>
      <c r="K438" s="33" t="s">
        <v>2749</v>
      </c>
      <c r="L438">
        <v>100</v>
      </c>
      <c r="M438">
        <v>4000</v>
      </c>
      <c r="N438" t="s">
        <v>2754</v>
      </c>
      <c r="O438" s="34" t="str">
        <f>HYPERLINK("https://b2b.kobi.pl/pl/product/10388,pierscien-ozdobny-oh21-chrom-kobi?currency=PLN")</f>
        <v>https://b2b.kobi.pl/pl/product/10388,pierscien-ozdobny-oh21-chrom-kobi?currency=PLN</v>
      </c>
      <c r="P438" t="s">
        <v>3</v>
      </c>
      <c r="Q438"/>
    </row>
    <row r="439" spans="1:17" ht="14.4" x14ac:dyDescent="0.3">
      <c r="A439" t="s">
        <v>11</v>
      </c>
      <c r="B439" t="s">
        <v>1691</v>
      </c>
      <c r="C439" t="s">
        <v>910</v>
      </c>
      <c r="D439" t="s">
        <v>1716</v>
      </c>
      <c r="E439" t="s">
        <v>1717</v>
      </c>
      <c r="F439" t="s">
        <v>847</v>
      </c>
      <c r="G439" s="35">
        <v>5.2</v>
      </c>
      <c r="H439" s="33">
        <f>G439*(1-IFERROR(VLOOKUP(F439,'enter the discount'!$D$10:$E$40,2,FALSE),0))</f>
        <v>5.2</v>
      </c>
      <c r="I439" s="35" t="s">
        <v>2609</v>
      </c>
      <c r="J439" s="33" t="s">
        <v>269</v>
      </c>
      <c r="K439" s="33" t="s">
        <v>2749</v>
      </c>
      <c r="L439">
        <v>100</v>
      </c>
      <c r="M439">
        <v>4000</v>
      </c>
      <c r="N439" t="s">
        <v>2754</v>
      </c>
      <c r="O439" s="34" t="str">
        <f>HYPERLINK("https://b2b.kobi.pl/pl/product/10389,pierscien-ozdobny-oh21-czarny-kobi?currency=PLN")</f>
        <v>https://b2b.kobi.pl/pl/product/10389,pierscien-ozdobny-oh21-czarny-kobi?currency=PLN</v>
      </c>
      <c r="P439" t="s">
        <v>3</v>
      </c>
      <c r="Q439"/>
    </row>
    <row r="440" spans="1:17" ht="14.4" x14ac:dyDescent="0.3">
      <c r="A440" t="s">
        <v>11</v>
      </c>
      <c r="B440" t="s">
        <v>1691</v>
      </c>
      <c r="C440" t="s">
        <v>910</v>
      </c>
      <c r="D440" t="s">
        <v>1718</v>
      </c>
      <c r="E440" t="s">
        <v>1719</v>
      </c>
      <c r="F440" t="s">
        <v>847</v>
      </c>
      <c r="G440" s="35">
        <v>4.6100000000000003</v>
      </c>
      <c r="H440" s="33">
        <f>G440*(1-IFERROR(VLOOKUP(F440,'enter the discount'!$D$10:$E$40,2,FALSE),0))</f>
        <v>4.6100000000000003</v>
      </c>
      <c r="I440" s="35" t="s">
        <v>2609</v>
      </c>
      <c r="J440" s="33" t="s">
        <v>272</v>
      </c>
      <c r="K440" s="33" t="s">
        <v>2749</v>
      </c>
      <c r="L440">
        <v>50</v>
      </c>
      <c r="M440">
        <v>2450</v>
      </c>
      <c r="N440" t="s">
        <v>2754</v>
      </c>
      <c r="O440" s="34" t="str">
        <f>HYPERLINK("https://b2b.kobi.pl/pl/product/10402,pierscien-ozdobny-oh26n-przezroczysty-kobi?currency=PLN")</f>
        <v>https://b2b.kobi.pl/pl/product/10402,pierscien-ozdobny-oh26n-przezroczysty-kobi?currency=PLN</v>
      </c>
      <c r="P440" t="s">
        <v>3</v>
      </c>
      <c r="Q440"/>
    </row>
    <row r="441" spans="1:17" ht="14.4" x14ac:dyDescent="0.3">
      <c r="A441" t="s">
        <v>11</v>
      </c>
      <c r="B441" t="s">
        <v>1691</v>
      </c>
      <c r="C441" t="s">
        <v>910</v>
      </c>
      <c r="D441" t="s">
        <v>1720</v>
      </c>
      <c r="E441" t="s">
        <v>1721</v>
      </c>
      <c r="F441" t="s">
        <v>847</v>
      </c>
      <c r="G441" s="35">
        <v>4.6100000000000003</v>
      </c>
      <c r="H441" s="33">
        <f>G441*(1-IFERROR(VLOOKUP(F441,'enter the discount'!$D$10:$E$40,2,FALSE),0))</f>
        <v>4.6100000000000003</v>
      </c>
      <c r="I441" s="35" t="s">
        <v>2609</v>
      </c>
      <c r="J441" s="33" t="s">
        <v>271</v>
      </c>
      <c r="K441" s="33" t="s">
        <v>2749</v>
      </c>
      <c r="L441">
        <v>50</v>
      </c>
      <c r="M441">
        <v>3150</v>
      </c>
      <c r="N441" t="s">
        <v>2754</v>
      </c>
      <c r="O441" s="34" t="str">
        <f>HYPERLINK("https://b2b.kobi.pl/pl/product/10403,pierscien-ozdobny-oh26n-czarny-kobi?currency=PLN")</f>
        <v>https://b2b.kobi.pl/pl/product/10403,pierscien-ozdobny-oh26n-czarny-kobi?currency=PLN</v>
      </c>
      <c r="P441" t="s">
        <v>3</v>
      </c>
      <c r="Q441"/>
    </row>
    <row r="442" spans="1:17" ht="14.4" x14ac:dyDescent="0.3">
      <c r="A442" t="s">
        <v>11</v>
      </c>
      <c r="B442" t="s">
        <v>1691</v>
      </c>
      <c r="C442" t="s">
        <v>910</v>
      </c>
      <c r="D442" t="s">
        <v>1722</v>
      </c>
      <c r="E442" t="s">
        <v>1723</v>
      </c>
      <c r="F442" t="s">
        <v>847</v>
      </c>
      <c r="G442" s="35">
        <v>5.2</v>
      </c>
      <c r="H442" s="33">
        <f>G442*(1-IFERROR(VLOOKUP(F442,'enter the discount'!$D$10:$E$40,2,FALSE),0))</f>
        <v>5.2</v>
      </c>
      <c r="I442" s="35" t="s">
        <v>2609</v>
      </c>
      <c r="J442" s="33" t="s">
        <v>270</v>
      </c>
      <c r="K442" s="33" t="s">
        <v>2749</v>
      </c>
      <c r="L442">
        <v>50</v>
      </c>
      <c r="M442">
        <v>3150</v>
      </c>
      <c r="N442" t="s">
        <v>2754</v>
      </c>
      <c r="O442" s="34" t="str">
        <f>HYPERLINK("https://b2b.kobi.pl/pl/product/10401,pierscien-ozdobny-oh26-czarny-kobi?currency=PLN")</f>
        <v>https://b2b.kobi.pl/pl/product/10401,pierscien-ozdobny-oh26-czarny-kobi?currency=PLN</v>
      </c>
      <c r="P442" t="s">
        <v>3</v>
      </c>
      <c r="Q442" t="s">
        <v>2775</v>
      </c>
    </row>
    <row r="443" spans="1:17" ht="14.4" x14ac:dyDescent="0.3">
      <c r="A443" t="s">
        <v>11</v>
      </c>
      <c r="B443" t="s">
        <v>1691</v>
      </c>
      <c r="C443" t="s">
        <v>910</v>
      </c>
      <c r="D443" t="s">
        <v>1724</v>
      </c>
      <c r="E443" t="s">
        <v>1725</v>
      </c>
      <c r="F443" t="s">
        <v>847</v>
      </c>
      <c r="G443" s="35">
        <v>5.2</v>
      </c>
      <c r="H443" s="33">
        <f>G443*(1-IFERROR(VLOOKUP(F443,'enter the discount'!$D$10:$E$40,2,FALSE),0))</f>
        <v>5.2</v>
      </c>
      <c r="I443" s="35" t="s">
        <v>2609</v>
      </c>
      <c r="J443" s="33" t="s">
        <v>273</v>
      </c>
      <c r="K443" s="33" t="s">
        <v>2749</v>
      </c>
      <c r="L443">
        <v>50</v>
      </c>
      <c r="M443">
        <v>3150</v>
      </c>
      <c r="N443" t="s">
        <v>2754</v>
      </c>
      <c r="O443" s="34" t="str">
        <f>HYPERLINK("https://b2b.kobi.pl/pl/product/10405,pierscien-ozdobny-oh27-czarny-kobi?currency=PLN")</f>
        <v>https://b2b.kobi.pl/pl/product/10405,pierscien-ozdobny-oh27-czarny-kobi?currency=PLN</v>
      </c>
      <c r="P443" t="s">
        <v>3</v>
      </c>
      <c r="Q443" t="s">
        <v>2775</v>
      </c>
    </row>
    <row r="444" spans="1:17" ht="14.4" x14ac:dyDescent="0.3">
      <c r="A444" t="s">
        <v>11</v>
      </c>
      <c r="B444" t="s">
        <v>1691</v>
      </c>
      <c r="C444" t="s">
        <v>910</v>
      </c>
      <c r="D444" t="s">
        <v>1726</v>
      </c>
      <c r="E444" t="s">
        <v>1727</v>
      </c>
      <c r="F444" t="s">
        <v>847</v>
      </c>
      <c r="G444" s="35">
        <v>4.6100000000000003</v>
      </c>
      <c r="H444" s="33">
        <f>G444*(1-IFERROR(VLOOKUP(F444,'enter the discount'!$D$10:$E$40,2,FALSE),0))</f>
        <v>4.6100000000000003</v>
      </c>
      <c r="I444" s="35" t="s">
        <v>2609</v>
      </c>
      <c r="J444" s="33" t="s">
        <v>275</v>
      </c>
      <c r="K444" s="33" t="s">
        <v>2749</v>
      </c>
      <c r="L444">
        <v>50</v>
      </c>
      <c r="M444">
        <v>3150</v>
      </c>
      <c r="N444" t="s">
        <v>2754</v>
      </c>
      <c r="O444" s="34" t="str">
        <f>HYPERLINK("https://b2b.kobi.pl/pl/product/10406,pierscien-ozdobny-oh27n-przezroczysty-kobi?currency=PLN")</f>
        <v>https://b2b.kobi.pl/pl/product/10406,pierscien-ozdobny-oh27n-przezroczysty-kobi?currency=PLN</v>
      </c>
      <c r="P444" t="s">
        <v>3</v>
      </c>
      <c r="Q444"/>
    </row>
    <row r="445" spans="1:17" ht="14.4" x14ac:dyDescent="0.3">
      <c r="A445" t="s">
        <v>11</v>
      </c>
      <c r="B445" t="s">
        <v>1691</v>
      </c>
      <c r="C445" t="s">
        <v>910</v>
      </c>
      <c r="D445" t="s">
        <v>1728</v>
      </c>
      <c r="E445" t="s">
        <v>1729</v>
      </c>
      <c r="F445" t="s">
        <v>847</v>
      </c>
      <c r="G445" s="35">
        <v>4.6100000000000003</v>
      </c>
      <c r="H445" s="33">
        <f>G445*(1-IFERROR(VLOOKUP(F445,'enter the discount'!$D$10:$E$40,2,FALSE),0))</f>
        <v>4.6100000000000003</v>
      </c>
      <c r="I445" s="35" t="s">
        <v>2609</v>
      </c>
      <c r="J445" s="33" t="s">
        <v>274</v>
      </c>
      <c r="K445" s="33" t="s">
        <v>2749</v>
      </c>
      <c r="L445">
        <v>50</v>
      </c>
      <c r="M445">
        <v>3150</v>
      </c>
      <c r="N445" t="s">
        <v>2754</v>
      </c>
      <c r="O445" s="34" t="str">
        <f>HYPERLINK("https://b2b.kobi.pl/pl/product/10407,pierscien-ozdobny-oh27n-czarny-kobi?currency=PLN")</f>
        <v>https://b2b.kobi.pl/pl/product/10407,pierscien-ozdobny-oh27n-czarny-kobi?currency=PLN</v>
      </c>
      <c r="P445" t="s">
        <v>3</v>
      </c>
      <c r="Q445"/>
    </row>
    <row r="446" spans="1:17" ht="14.4" x14ac:dyDescent="0.3">
      <c r="A446" t="s">
        <v>11</v>
      </c>
      <c r="B446" t="s">
        <v>1691</v>
      </c>
      <c r="C446" t="s">
        <v>910</v>
      </c>
      <c r="D446" t="s">
        <v>1730</v>
      </c>
      <c r="E446" t="s">
        <v>1731</v>
      </c>
      <c r="F446" t="s">
        <v>847</v>
      </c>
      <c r="G446" s="35">
        <v>7.66</v>
      </c>
      <c r="H446" s="33">
        <f>G446*(1-IFERROR(VLOOKUP(F446,'enter the discount'!$D$10:$E$40,2,FALSE),0))</f>
        <v>7.66</v>
      </c>
      <c r="I446" s="35" t="s">
        <v>2609</v>
      </c>
      <c r="J446" s="33" t="s">
        <v>286</v>
      </c>
      <c r="K446" s="33" t="s">
        <v>2749</v>
      </c>
      <c r="L446">
        <v>100</v>
      </c>
      <c r="M446">
        <v>2800</v>
      </c>
      <c r="N446" t="s">
        <v>2754</v>
      </c>
      <c r="O446" s="34" t="str">
        <f>HYPERLINK("https://b2b.kobi.pl/pl/product/10408,pierscien-ozdobny-oh28-chrom-kobi?currency=PLN")</f>
        <v>https://b2b.kobi.pl/pl/product/10408,pierscien-ozdobny-oh28-chrom-kobi?currency=PLN</v>
      </c>
      <c r="P446" t="s">
        <v>3</v>
      </c>
      <c r="Q446"/>
    </row>
    <row r="447" spans="1:17" ht="14.4" x14ac:dyDescent="0.3">
      <c r="A447" t="s">
        <v>11</v>
      </c>
      <c r="B447" t="s">
        <v>1691</v>
      </c>
      <c r="C447" t="s">
        <v>910</v>
      </c>
      <c r="D447" t="s">
        <v>1732</v>
      </c>
      <c r="E447" t="s">
        <v>1733</v>
      </c>
      <c r="F447" t="s">
        <v>847</v>
      </c>
      <c r="G447" s="35">
        <v>7.66</v>
      </c>
      <c r="H447" s="33">
        <f>G447*(1-IFERROR(VLOOKUP(F447,'enter the discount'!$D$10:$E$40,2,FALSE),0))</f>
        <v>7.66</v>
      </c>
      <c r="I447" s="35" t="s">
        <v>2609</v>
      </c>
      <c r="J447" s="33" t="s">
        <v>287</v>
      </c>
      <c r="K447" s="33" t="s">
        <v>2749</v>
      </c>
      <c r="L447">
        <v>100</v>
      </c>
      <c r="M447">
        <v>2800</v>
      </c>
      <c r="N447" t="s">
        <v>2754</v>
      </c>
      <c r="O447" s="34" t="str">
        <f>HYPERLINK("https://b2b.kobi.pl/pl/product/10409,pierscien-ozdobny-oh28-czarny-kobi?currency=PLN")</f>
        <v>https://b2b.kobi.pl/pl/product/10409,pierscien-ozdobny-oh28-czarny-kobi?currency=PLN</v>
      </c>
      <c r="P447" t="s">
        <v>3</v>
      </c>
      <c r="Q447"/>
    </row>
    <row r="448" spans="1:17" ht="14.4" x14ac:dyDescent="0.3">
      <c r="A448" t="s">
        <v>11</v>
      </c>
      <c r="B448" t="s">
        <v>1691</v>
      </c>
      <c r="C448" t="s">
        <v>910</v>
      </c>
      <c r="D448" t="s">
        <v>1734</v>
      </c>
      <c r="E448" t="s">
        <v>1735</v>
      </c>
      <c r="F448" t="s">
        <v>847</v>
      </c>
      <c r="G448" s="35">
        <v>7.66</v>
      </c>
      <c r="H448" s="33">
        <f>G448*(1-IFERROR(VLOOKUP(F448,'enter the discount'!$D$10:$E$40,2,FALSE),0))</f>
        <v>7.66</v>
      </c>
      <c r="I448" s="35" t="s">
        <v>2609</v>
      </c>
      <c r="J448" s="33" t="s">
        <v>346</v>
      </c>
      <c r="K448" s="33" t="s">
        <v>2749</v>
      </c>
      <c r="L448">
        <v>100</v>
      </c>
      <c r="M448"/>
      <c r="N448" t="s">
        <v>2754</v>
      </c>
      <c r="O448" s="34" t="str">
        <f>HYPERLINK("https://b2b.kobi.pl/pl/product/10410,pierscien-ozdobny-oh28-mat-bialy-kobi?currency=PLN")</f>
        <v>https://b2b.kobi.pl/pl/product/10410,pierscien-ozdobny-oh28-mat-bialy-kobi?currency=PLN</v>
      </c>
      <c r="P448" t="s">
        <v>3</v>
      </c>
      <c r="Q448"/>
    </row>
    <row r="449" spans="1:17" ht="14.4" x14ac:dyDescent="0.3">
      <c r="A449" t="s">
        <v>11</v>
      </c>
      <c r="B449" t="s">
        <v>1691</v>
      </c>
      <c r="C449" t="s">
        <v>910</v>
      </c>
      <c r="D449" t="s">
        <v>1736</v>
      </c>
      <c r="E449" t="s">
        <v>1737</v>
      </c>
      <c r="F449" t="s">
        <v>847</v>
      </c>
      <c r="G449" s="35">
        <v>7.66</v>
      </c>
      <c r="H449" s="33">
        <f>G449*(1-IFERROR(VLOOKUP(F449,'enter the discount'!$D$10:$E$40,2,FALSE),0))</f>
        <v>7.66</v>
      </c>
      <c r="I449" s="35" t="s">
        <v>2609</v>
      </c>
      <c r="J449" s="33" t="s">
        <v>288</v>
      </c>
      <c r="K449" s="33" t="s">
        <v>2749</v>
      </c>
      <c r="L449">
        <v>100</v>
      </c>
      <c r="M449">
        <v>2800</v>
      </c>
      <c r="N449" t="s">
        <v>2754</v>
      </c>
      <c r="O449" s="34" t="str">
        <f>HYPERLINK("https://b2b.kobi.pl/pl/product/10411,pierscien-ozdobny-oh28-mat-czarny-kobi?currency=PLN")</f>
        <v>https://b2b.kobi.pl/pl/product/10411,pierscien-ozdobny-oh28-mat-czarny-kobi?currency=PLN</v>
      </c>
      <c r="P449" t="s">
        <v>3</v>
      </c>
      <c r="Q449"/>
    </row>
    <row r="450" spans="1:17" ht="14.4" x14ac:dyDescent="0.3">
      <c r="A450" t="s">
        <v>11</v>
      </c>
      <c r="B450" t="s">
        <v>1691</v>
      </c>
      <c r="C450" t="s">
        <v>910</v>
      </c>
      <c r="D450" t="s">
        <v>1738</v>
      </c>
      <c r="E450" t="s">
        <v>1739</v>
      </c>
      <c r="F450" t="s">
        <v>847</v>
      </c>
      <c r="G450" s="35">
        <v>10.6</v>
      </c>
      <c r="H450" s="33">
        <f>G450*(1-IFERROR(VLOOKUP(F450,'enter the discount'!$D$10:$E$40,2,FALSE),0))</f>
        <v>10.6</v>
      </c>
      <c r="I450" s="35" t="s">
        <v>2609</v>
      </c>
      <c r="J450" s="33" t="s">
        <v>2656</v>
      </c>
      <c r="K450" s="33" t="s">
        <v>2749</v>
      </c>
      <c r="L450">
        <v>30</v>
      </c>
      <c r="M450"/>
      <c r="N450" t="s">
        <v>2754</v>
      </c>
      <c r="O450" s="34" t="str">
        <f>HYPERLINK("https://b2b.kobi.pl/pl/product/10392,pierscien-ozdobny-oh228-chrom-kobi?currency=PLN")</f>
        <v>https://b2b.kobi.pl/pl/product/10392,pierscien-ozdobny-oh228-chrom-kobi?currency=PLN</v>
      </c>
      <c r="P450" t="s">
        <v>3</v>
      </c>
      <c r="Q450" t="s">
        <v>2775</v>
      </c>
    </row>
    <row r="451" spans="1:17" ht="14.4" x14ac:dyDescent="0.3">
      <c r="A451" t="s">
        <v>11</v>
      </c>
      <c r="B451" t="s">
        <v>1691</v>
      </c>
      <c r="C451" t="s">
        <v>910</v>
      </c>
      <c r="D451" t="s">
        <v>1740</v>
      </c>
      <c r="E451" t="s">
        <v>1741</v>
      </c>
      <c r="F451" t="s">
        <v>847</v>
      </c>
      <c r="G451" s="35">
        <v>10.6</v>
      </c>
      <c r="H451" s="33">
        <f>G451*(1-IFERROR(VLOOKUP(F451,'enter the discount'!$D$10:$E$40,2,FALSE),0))</f>
        <v>10.6</v>
      </c>
      <c r="I451" s="35" t="s">
        <v>2609</v>
      </c>
      <c r="J451" s="33" t="s">
        <v>285</v>
      </c>
      <c r="K451" s="33" t="s">
        <v>2749</v>
      </c>
      <c r="L451">
        <v>30</v>
      </c>
      <c r="M451"/>
      <c r="N451" t="s">
        <v>2754</v>
      </c>
      <c r="O451" s="34" t="str">
        <f>HYPERLINK("https://b2b.kobi.pl/pl/product/10393,pierscien-ozdobny-oh228-czarny-kobi?currency=PLN")</f>
        <v>https://b2b.kobi.pl/pl/product/10393,pierscien-ozdobny-oh228-czarny-kobi?currency=PLN</v>
      </c>
      <c r="P451" t="s">
        <v>3</v>
      </c>
      <c r="Q451" t="s">
        <v>2775</v>
      </c>
    </row>
    <row r="452" spans="1:17" ht="14.4" x14ac:dyDescent="0.3">
      <c r="A452" t="s">
        <v>11</v>
      </c>
      <c r="B452" t="s">
        <v>1691</v>
      </c>
      <c r="C452" t="s">
        <v>910</v>
      </c>
      <c r="D452" t="s">
        <v>1742</v>
      </c>
      <c r="E452" t="s">
        <v>1743</v>
      </c>
      <c r="F452" t="s">
        <v>847</v>
      </c>
      <c r="G452" s="35">
        <v>6.16</v>
      </c>
      <c r="H452" s="33">
        <f>G452*(1-IFERROR(VLOOKUP(F452,'enter the discount'!$D$10:$E$40,2,FALSE),0))</f>
        <v>6.16</v>
      </c>
      <c r="I452" s="35" t="s">
        <v>2609</v>
      </c>
      <c r="J452" s="33" t="s">
        <v>289</v>
      </c>
      <c r="K452" s="33" t="s">
        <v>2749</v>
      </c>
      <c r="L452">
        <v>100</v>
      </c>
      <c r="M452">
        <v>3200</v>
      </c>
      <c r="N452" t="s">
        <v>2754</v>
      </c>
      <c r="O452" s="34" t="str">
        <f>HYPERLINK("https://b2b.kobi.pl/pl/product/10412,pierscien-ozdobny-oh29-chrom-kobi?currency=PLN")</f>
        <v>https://b2b.kobi.pl/pl/product/10412,pierscien-ozdobny-oh29-chrom-kobi?currency=PLN</v>
      </c>
      <c r="P452" t="s">
        <v>3</v>
      </c>
      <c r="Q452"/>
    </row>
    <row r="453" spans="1:17" ht="14.4" x14ac:dyDescent="0.3">
      <c r="A453" t="s">
        <v>11</v>
      </c>
      <c r="B453" t="s">
        <v>1691</v>
      </c>
      <c r="C453" t="s">
        <v>910</v>
      </c>
      <c r="D453" t="s">
        <v>1744</v>
      </c>
      <c r="E453" t="s">
        <v>1745</v>
      </c>
      <c r="F453" t="s">
        <v>847</v>
      </c>
      <c r="G453" s="35">
        <v>6.16</v>
      </c>
      <c r="H453" s="33">
        <f>G453*(1-IFERROR(VLOOKUP(F453,'enter the discount'!$D$10:$E$40,2,FALSE),0))</f>
        <v>6.16</v>
      </c>
      <c r="I453" s="35" t="s">
        <v>2609</v>
      </c>
      <c r="J453" s="33" t="s">
        <v>290</v>
      </c>
      <c r="K453" s="33" t="s">
        <v>2749</v>
      </c>
      <c r="L453">
        <v>100</v>
      </c>
      <c r="M453">
        <v>3200</v>
      </c>
      <c r="N453" t="s">
        <v>2754</v>
      </c>
      <c r="O453" s="34" t="str">
        <f>HYPERLINK("https://b2b.kobi.pl/pl/product/10413,pierscien-ozdobny-oh29-czarny-kobi?currency=PLN")</f>
        <v>https://b2b.kobi.pl/pl/product/10413,pierscien-ozdobny-oh29-czarny-kobi?currency=PLN</v>
      </c>
      <c r="P453" t="s">
        <v>3</v>
      </c>
      <c r="Q453"/>
    </row>
    <row r="454" spans="1:17" ht="14.4" x14ac:dyDescent="0.3">
      <c r="A454" t="s">
        <v>11</v>
      </c>
      <c r="B454" t="s">
        <v>1691</v>
      </c>
      <c r="C454" t="s">
        <v>910</v>
      </c>
      <c r="D454" t="s">
        <v>1746</v>
      </c>
      <c r="E454" t="s">
        <v>1747</v>
      </c>
      <c r="F454" t="s">
        <v>847</v>
      </c>
      <c r="G454" s="35">
        <v>6.16</v>
      </c>
      <c r="H454" s="33">
        <f>G454*(1-IFERROR(VLOOKUP(F454,'enter the discount'!$D$10:$E$40,2,FALSE),0))</f>
        <v>6.16</v>
      </c>
      <c r="I454" s="35" t="s">
        <v>2609</v>
      </c>
      <c r="J454" s="33" t="s">
        <v>347</v>
      </c>
      <c r="K454" s="33" t="s">
        <v>2749</v>
      </c>
      <c r="L454">
        <v>100</v>
      </c>
      <c r="M454">
        <v>4000</v>
      </c>
      <c r="N454" t="s">
        <v>2754</v>
      </c>
      <c r="O454" s="34" t="str">
        <f>HYPERLINK("https://b2b.kobi.pl/pl/product/10414,pierscien-ozdobny-oh29-mat-bialy-kobi?currency=PLN")</f>
        <v>https://b2b.kobi.pl/pl/product/10414,pierscien-ozdobny-oh29-mat-bialy-kobi?currency=PLN</v>
      </c>
      <c r="P454" t="s">
        <v>3</v>
      </c>
      <c r="Q454"/>
    </row>
    <row r="455" spans="1:17" ht="14.4" x14ac:dyDescent="0.3">
      <c r="A455" t="s">
        <v>11</v>
      </c>
      <c r="B455" t="s">
        <v>1691</v>
      </c>
      <c r="C455" t="s">
        <v>910</v>
      </c>
      <c r="D455" t="s">
        <v>1748</v>
      </c>
      <c r="E455" t="s">
        <v>1749</v>
      </c>
      <c r="F455" t="s">
        <v>847</v>
      </c>
      <c r="G455" s="35">
        <v>6.16</v>
      </c>
      <c r="H455" s="33">
        <f>G455*(1-IFERROR(VLOOKUP(F455,'enter the discount'!$D$10:$E$40,2,FALSE),0))</f>
        <v>6.16</v>
      </c>
      <c r="I455" s="35" t="s">
        <v>2609</v>
      </c>
      <c r="J455" s="33" t="s">
        <v>352</v>
      </c>
      <c r="K455" s="33" t="s">
        <v>2749</v>
      </c>
      <c r="L455">
        <v>100</v>
      </c>
      <c r="M455">
        <v>3200</v>
      </c>
      <c r="N455" t="s">
        <v>2754</v>
      </c>
      <c r="O455" s="34" t="str">
        <f>HYPERLINK("https://b2b.kobi.pl/pl/product/10415,pierscien-ozdobny-oh29-mat-czarny-kobi?currency=PLN")</f>
        <v>https://b2b.kobi.pl/pl/product/10415,pierscien-ozdobny-oh29-mat-czarny-kobi?currency=PLN</v>
      </c>
      <c r="P455" t="s">
        <v>3</v>
      </c>
      <c r="Q455"/>
    </row>
    <row r="456" spans="1:17" ht="14.4" x14ac:dyDescent="0.3">
      <c r="A456" t="s">
        <v>11</v>
      </c>
      <c r="B456" t="s">
        <v>1691</v>
      </c>
      <c r="C456" t="s">
        <v>910</v>
      </c>
      <c r="D456" t="s">
        <v>1750</v>
      </c>
      <c r="E456" t="s">
        <v>1751</v>
      </c>
      <c r="F456" t="s">
        <v>847</v>
      </c>
      <c r="G456" s="35">
        <v>9.36</v>
      </c>
      <c r="H456" s="33">
        <f>G456*(1-IFERROR(VLOOKUP(F456,'enter the discount'!$D$10:$E$40,2,FALSE),0))</f>
        <v>9.36</v>
      </c>
      <c r="I456" s="35" t="s">
        <v>2609</v>
      </c>
      <c r="J456" s="33" t="s">
        <v>276</v>
      </c>
      <c r="K456" s="33" t="s">
        <v>2749</v>
      </c>
      <c r="L456">
        <v>50</v>
      </c>
      <c r="M456">
        <v>2000</v>
      </c>
      <c r="N456" t="s">
        <v>2754</v>
      </c>
      <c r="O456" s="34" t="str">
        <f>HYPERLINK("https://b2b.kobi.pl/pl/product/10420,pierscien-ozdobny-oh34-ip44-chrom-kobi?currency=PLN")</f>
        <v>https://b2b.kobi.pl/pl/product/10420,pierscien-ozdobny-oh34-ip44-chrom-kobi?currency=PLN</v>
      </c>
      <c r="P456" t="s">
        <v>3</v>
      </c>
      <c r="Q456" t="s">
        <v>2775</v>
      </c>
    </row>
    <row r="457" spans="1:17" ht="14.4" x14ac:dyDescent="0.3">
      <c r="A457" t="s">
        <v>11</v>
      </c>
      <c r="B457" t="s">
        <v>1691</v>
      </c>
      <c r="C457" t="s">
        <v>910</v>
      </c>
      <c r="D457" t="s">
        <v>1752</v>
      </c>
      <c r="E457" t="s">
        <v>1753</v>
      </c>
      <c r="F457" t="s">
        <v>847</v>
      </c>
      <c r="G457" s="35">
        <v>9.36</v>
      </c>
      <c r="H457" s="33">
        <f>G457*(1-IFERROR(VLOOKUP(F457,'enter the discount'!$D$10:$E$40,2,FALSE),0))</f>
        <v>9.36</v>
      </c>
      <c r="I457" s="35" t="s">
        <v>2609</v>
      </c>
      <c r="J457" s="33" t="s">
        <v>351</v>
      </c>
      <c r="K457" s="33" t="s">
        <v>2749</v>
      </c>
      <c r="L457">
        <v>50</v>
      </c>
      <c r="M457">
        <v>2000</v>
      </c>
      <c r="N457" t="s">
        <v>2754</v>
      </c>
      <c r="O457" s="34" t="str">
        <f>HYPERLINK("https://b2b.kobi.pl/pl/product/10422,pierscien-ozdobny-oh34-ip44-mat-czarny-kobi?currency=PLN")</f>
        <v>https://b2b.kobi.pl/pl/product/10422,pierscien-ozdobny-oh34-ip44-mat-czarny-kobi?currency=PLN</v>
      </c>
      <c r="P457" t="s">
        <v>3</v>
      </c>
      <c r="Q457"/>
    </row>
    <row r="458" spans="1:17" ht="14.4" x14ac:dyDescent="0.3">
      <c r="A458" t="s">
        <v>11</v>
      </c>
      <c r="B458" t="s">
        <v>1691</v>
      </c>
      <c r="C458" t="s">
        <v>910</v>
      </c>
      <c r="D458" t="s">
        <v>1754</v>
      </c>
      <c r="E458" t="s">
        <v>1755</v>
      </c>
      <c r="F458" t="s">
        <v>847</v>
      </c>
      <c r="G458" s="35">
        <v>14.23</v>
      </c>
      <c r="H458" s="33">
        <f>G458*(1-IFERROR(VLOOKUP(F458,'enter the discount'!$D$10:$E$40,2,FALSE),0))</f>
        <v>14.23</v>
      </c>
      <c r="I458" s="35" t="s">
        <v>2605</v>
      </c>
      <c r="J458" s="33" t="s">
        <v>360</v>
      </c>
      <c r="K458" s="33" t="s">
        <v>2749</v>
      </c>
      <c r="L458">
        <v>50</v>
      </c>
      <c r="M458">
        <v>2400</v>
      </c>
      <c r="N458" t="s">
        <v>2754</v>
      </c>
      <c r="O458" s="34" t="str">
        <f>HYPERLINK("https://b2b.kobi.pl/pl/product/10465,downlight-led-halo-5w-3000k-kobi?currency=PLN")</f>
        <v>https://b2b.kobi.pl/pl/product/10465,downlight-led-halo-5w-3000k-kobi?currency=PLN</v>
      </c>
      <c r="P458" s="34" t="str">
        <f>HYPERLINK("https://eprel.ec.europa.eu/qr/807386")</f>
        <v>https://eprel.ec.europa.eu/qr/807386</v>
      </c>
      <c r="Q458"/>
    </row>
    <row r="459" spans="1:17" ht="14.4" x14ac:dyDescent="0.3">
      <c r="A459" t="s">
        <v>11</v>
      </c>
      <c r="B459" t="s">
        <v>1691</v>
      </c>
      <c r="C459" t="s">
        <v>910</v>
      </c>
      <c r="D459" t="s">
        <v>1756</v>
      </c>
      <c r="E459" t="s">
        <v>1757</v>
      </c>
      <c r="F459" t="s">
        <v>847</v>
      </c>
      <c r="G459" s="35">
        <v>14.23</v>
      </c>
      <c r="H459" s="33">
        <f>G459*(1-IFERROR(VLOOKUP(F459,'enter the discount'!$D$10:$E$40,2,FALSE),0))</f>
        <v>14.23</v>
      </c>
      <c r="I459" s="35" t="s">
        <v>2605</v>
      </c>
      <c r="J459" s="33" t="s">
        <v>353</v>
      </c>
      <c r="K459" s="33" t="s">
        <v>2749</v>
      </c>
      <c r="L459">
        <v>50</v>
      </c>
      <c r="M459">
        <v>2850</v>
      </c>
      <c r="N459" t="s">
        <v>2754</v>
      </c>
      <c r="O459" s="34" t="str">
        <f>HYPERLINK("https://b2b.kobi.pl/pl/product/10466,downlight-led-halo-5w-4000k-kobi?currency=PLN")</f>
        <v>https://b2b.kobi.pl/pl/product/10466,downlight-led-halo-5w-4000k-kobi?currency=PLN</v>
      </c>
      <c r="P459" s="34" t="str">
        <f>HYPERLINK("https://eprel.ec.europa.eu/qr/807424")</f>
        <v>https://eprel.ec.europa.eu/qr/807424</v>
      </c>
      <c r="Q459"/>
    </row>
    <row r="460" spans="1:17" ht="14.4" x14ac:dyDescent="0.3">
      <c r="A460" t="s">
        <v>11</v>
      </c>
      <c r="B460" t="s">
        <v>1691</v>
      </c>
      <c r="C460" t="s">
        <v>910</v>
      </c>
      <c r="D460" t="s">
        <v>1758</v>
      </c>
      <c r="E460" t="s">
        <v>1759</v>
      </c>
      <c r="F460" t="s">
        <v>847</v>
      </c>
      <c r="G460" s="35">
        <v>8.06</v>
      </c>
      <c r="H460" s="33">
        <f>G460*(1-IFERROR(VLOOKUP(F460,'enter the discount'!$D$10:$E$40,2,FALSE),0))</f>
        <v>8.06</v>
      </c>
      <c r="I460" s="35" t="s">
        <v>2609</v>
      </c>
      <c r="J460" s="33" t="s">
        <v>277</v>
      </c>
      <c r="K460" s="33" t="s">
        <v>2749</v>
      </c>
      <c r="L460">
        <v>30</v>
      </c>
      <c r="M460">
        <v>3150</v>
      </c>
      <c r="N460" t="s">
        <v>2754</v>
      </c>
      <c r="O460" s="34" t="str">
        <f>HYPERLINK("https://b2b.kobi.pl/pl/product/10451,pierscien-ozdobny-oh49-czarny-kobi?currency=PLN")</f>
        <v>https://b2b.kobi.pl/pl/product/10451,pierscien-ozdobny-oh49-czarny-kobi?currency=PLN</v>
      </c>
      <c r="P460" t="s">
        <v>3</v>
      </c>
      <c r="Q460" t="s">
        <v>2775</v>
      </c>
    </row>
    <row r="461" spans="1:17" ht="14.4" x14ac:dyDescent="0.3">
      <c r="A461" t="s">
        <v>11</v>
      </c>
      <c r="B461" t="s">
        <v>1691</v>
      </c>
      <c r="C461" t="s">
        <v>910</v>
      </c>
      <c r="D461" t="s">
        <v>1760</v>
      </c>
      <c r="E461" t="s">
        <v>1761</v>
      </c>
      <c r="F461" t="s">
        <v>847</v>
      </c>
      <c r="G461" s="35">
        <v>8.06</v>
      </c>
      <c r="H461" s="33">
        <f>G461*(1-IFERROR(VLOOKUP(F461,'enter the discount'!$D$10:$E$40,2,FALSE),0))</f>
        <v>8.06</v>
      </c>
      <c r="I461" s="35" t="s">
        <v>2609</v>
      </c>
      <c r="J461" s="33" t="s">
        <v>278</v>
      </c>
      <c r="K461" s="33" t="s">
        <v>2749</v>
      </c>
      <c r="L461">
        <v>30</v>
      </c>
      <c r="M461">
        <v>3150</v>
      </c>
      <c r="N461" t="s">
        <v>2754</v>
      </c>
      <c r="O461" s="34" t="str">
        <f>HYPERLINK("https://b2b.kobi.pl/pl/product/10450,pierscien-ozdobny-oh49-przezroczysty-kobi?currency=PLN")</f>
        <v>https://b2b.kobi.pl/pl/product/10450,pierscien-ozdobny-oh49-przezroczysty-kobi?currency=PLN</v>
      </c>
      <c r="P461" t="s">
        <v>3</v>
      </c>
      <c r="Q461" t="s">
        <v>2775</v>
      </c>
    </row>
    <row r="462" spans="1:17" ht="14.4" x14ac:dyDescent="0.3">
      <c r="A462" t="s">
        <v>11</v>
      </c>
      <c r="B462" t="s">
        <v>1691</v>
      </c>
      <c r="C462" t="s">
        <v>910</v>
      </c>
      <c r="D462" t="s">
        <v>1762</v>
      </c>
      <c r="E462" t="s">
        <v>1763</v>
      </c>
      <c r="F462" t="s">
        <v>847</v>
      </c>
      <c r="G462" s="35">
        <v>7.69</v>
      </c>
      <c r="H462" s="33">
        <f>G462*(1-IFERROR(VLOOKUP(F462,'enter the discount'!$D$10:$E$40,2,FALSE),0))</f>
        <v>7.69</v>
      </c>
      <c r="I462" s="35" t="s">
        <v>2609</v>
      </c>
      <c r="J462" s="33" t="s">
        <v>2657</v>
      </c>
      <c r="K462" s="33" t="s">
        <v>2749</v>
      </c>
      <c r="L462">
        <v>50</v>
      </c>
      <c r="M462"/>
      <c r="N462" t="s">
        <v>2754</v>
      </c>
      <c r="O462" s="34" t="str">
        <f>HYPERLINK("https://b2b.kobi.pl/pl/product/10453,pierscien-ozdobny-oh50-czarny-kobi?currency=PLN")</f>
        <v>https://b2b.kobi.pl/pl/product/10453,pierscien-ozdobny-oh50-czarny-kobi?currency=PLN</v>
      </c>
      <c r="P462" t="s">
        <v>3</v>
      </c>
      <c r="Q462" t="s">
        <v>2775</v>
      </c>
    </row>
    <row r="463" spans="1:17" ht="14.4" x14ac:dyDescent="0.3">
      <c r="A463" t="s">
        <v>11</v>
      </c>
      <c r="B463" t="s">
        <v>1691</v>
      </c>
      <c r="C463" t="s">
        <v>910</v>
      </c>
      <c r="D463" t="s">
        <v>1764</v>
      </c>
      <c r="E463" t="s">
        <v>1765</v>
      </c>
      <c r="F463" t="s">
        <v>847</v>
      </c>
      <c r="G463" s="35">
        <v>7.69</v>
      </c>
      <c r="H463" s="33">
        <f>G463*(1-IFERROR(VLOOKUP(F463,'enter the discount'!$D$10:$E$40,2,FALSE),0))</f>
        <v>7.69</v>
      </c>
      <c r="I463" s="35" t="s">
        <v>2609</v>
      </c>
      <c r="J463" s="33" t="s">
        <v>279</v>
      </c>
      <c r="K463" s="33" t="s">
        <v>2749</v>
      </c>
      <c r="L463">
        <v>50</v>
      </c>
      <c r="M463"/>
      <c r="N463" t="s">
        <v>2754</v>
      </c>
      <c r="O463" s="34" t="str">
        <f>HYPERLINK("https://b2b.kobi.pl/pl/product/10455,pierscien-ozdobny-oh51-czarny-kobi?currency=PLN")</f>
        <v>https://b2b.kobi.pl/pl/product/10455,pierscien-ozdobny-oh51-czarny-kobi?currency=PLN</v>
      </c>
      <c r="P463" t="s">
        <v>3</v>
      </c>
      <c r="Q463" t="s">
        <v>2775</v>
      </c>
    </row>
    <row r="464" spans="1:17" ht="14.4" x14ac:dyDescent="0.3">
      <c r="A464" t="s">
        <v>11</v>
      </c>
      <c r="B464" t="s">
        <v>1691</v>
      </c>
      <c r="C464" t="s">
        <v>910</v>
      </c>
      <c r="D464" t="s">
        <v>1766</v>
      </c>
      <c r="E464" t="s">
        <v>1767</v>
      </c>
      <c r="F464" t="s">
        <v>847</v>
      </c>
      <c r="G464" s="35">
        <v>7.69</v>
      </c>
      <c r="H464" s="33">
        <f>G464*(1-IFERROR(VLOOKUP(F464,'enter the discount'!$D$10:$E$40,2,FALSE),0))</f>
        <v>7.69</v>
      </c>
      <c r="I464" s="35" t="s">
        <v>2609</v>
      </c>
      <c r="J464" s="33" t="s">
        <v>280</v>
      </c>
      <c r="K464" s="33" t="s">
        <v>2749</v>
      </c>
      <c r="L464">
        <v>50</v>
      </c>
      <c r="M464"/>
      <c r="N464" t="s">
        <v>2754</v>
      </c>
      <c r="O464" s="34" t="str">
        <f>HYPERLINK("https://b2b.kobi.pl/pl/product/10454,pierscien-ozdobny-oh51-przezroczysty-kobi?currency=PLN")</f>
        <v>https://b2b.kobi.pl/pl/product/10454,pierscien-ozdobny-oh51-przezroczysty-kobi?currency=PLN</v>
      </c>
      <c r="P464" t="s">
        <v>3</v>
      </c>
      <c r="Q464" t="s">
        <v>2775</v>
      </c>
    </row>
    <row r="465" spans="1:17" ht="14.4" x14ac:dyDescent="0.3">
      <c r="A465" t="s">
        <v>11</v>
      </c>
      <c r="B465" t="s">
        <v>1691</v>
      </c>
      <c r="C465" t="s">
        <v>910</v>
      </c>
      <c r="D465" t="s">
        <v>1768</v>
      </c>
      <c r="E465" t="s">
        <v>1769</v>
      </c>
      <c r="F465" t="s">
        <v>847</v>
      </c>
      <c r="G465" s="35">
        <v>6.75</v>
      </c>
      <c r="H465" s="33">
        <f>G465*(1-IFERROR(VLOOKUP(F465,'enter the discount'!$D$10:$E$40,2,FALSE),0))</f>
        <v>6.75</v>
      </c>
      <c r="I465" s="35" t="s">
        <v>2609</v>
      </c>
      <c r="J465" s="33" t="s">
        <v>2658</v>
      </c>
      <c r="K465" s="33" t="s">
        <v>2749</v>
      </c>
      <c r="L465">
        <v>100</v>
      </c>
      <c r="M465"/>
      <c r="N465" t="s">
        <v>2754</v>
      </c>
      <c r="O465" s="34" t="str">
        <f>HYPERLINK("https://b2b.kobi.pl/pl/product/10418,oprawka-halogenowa-oh33-bialy-kobi?currency=PLN")</f>
        <v>https://b2b.kobi.pl/pl/product/10418,oprawka-halogenowa-oh33-bialy-kobi?currency=PLN</v>
      </c>
      <c r="P465" t="s">
        <v>3</v>
      </c>
      <c r="Q465" t="s">
        <v>2775</v>
      </c>
    </row>
    <row r="466" spans="1:17" ht="14.4" x14ac:dyDescent="0.3">
      <c r="A466" t="s">
        <v>11</v>
      </c>
      <c r="B466" t="s">
        <v>1691</v>
      </c>
      <c r="C466" t="s">
        <v>910</v>
      </c>
      <c r="D466" t="s">
        <v>1770</v>
      </c>
      <c r="E466" t="s">
        <v>1771</v>
      </c>
      <c r="F466" t="s">
        <v>847</v>
      </c>
      <c r="G466" s="35">
        <v>14.8</v>
      </c>
      <c r="H466" s="33">
        <f>G466*(1-IFERROR(VLOOKUP(F466,'enter the discount'!$D$10:$E$40,2,FALSE),0))</f>
        <v>14.8</v>
      </c>
      <c r="I466" s="35" t="s">
        <v>2609</v>
      </c>
      <c r="J466" s="33" t="s">
        <v>337</v>
      </c>
      <c r="K466" s="33" t="s">
        <v>2749</v>
      </c>
      <c r="L466">
        <v>20</v>
      </c>
      <c r="M466">
        <v>420</v>
      </c>
      <c r="N466" t="s">
        <v>2754</v>
      </c>
      <c r="O466"/>
      <c r="P466" t="s">
        <v>3</v>
      </c>
      <c r="Q466" t="s">
        <v>2775</v>
      </c>
    </row>
    <row r="467" spans="1:17" ht="14.4" x14ac:dyDescent="0.3">
      <c r="A467" t="s">
        <v>11</v>
      </c>
      <c r="B467" t="s">
        <v>1691</v>
      </c>
      <c r="C467" t="s">
        <v>1772</v>
      </c>
      <c r="D467" t="s">
        <v>1773</v>
      </c>
      <c r="E467" t="s">
        <v>1774</v>
      </c>
      <c r="F467" t="s">
        <v>847</v>
      </c>
      <c r="G467" s="35">
        <v>2.39</v>
      </c>
      <c r="H467" s="33">
        <f>G467*(1-IFERROR(VLOOKUP(F467,'enter the discount'!$D$10:$E$40,2,FALSE),0))</f>
        <v>2.39</v>
      </c>
      <c r="I467" s="35" t="s">
        <v>2609</v>
      </c>
      <c r="J467" s="33" t="s">
        <v>2659</v>
      </c>
      <c r="K467" s="33" t="s">
        <v>2749</v>
      </c>
      <c r="L467">
        <v>100</v>
      </c>
      <c r="M467"/>
      <c r="N467" t="s">
        <v>2754</v>
      </c>
      <c r="O467"/>
      <c r="P467" t="s">
        <v>3</v>
      </c>
      <c r="Q467" t="s">
        <v>2775</v>
      </c>
    </row>
    <row r="468" spans="1:17" ht="14.4" x14ac:dyDescent="0.3">
      <c r="A468" t="s">
        <v>11</v>
      </c>
      <c r="B468" t="s">
        <v>1691</v>
      </c>
      <c r="C468" t="s">
        <v>1772</v>
      </c>
      <c r="D468" t="s">
        <v>1775</v>
      </c>
      <c r="E468" t="s">
        <v>1776</v>
      </c>
      <c r="F468" t="s">
        <v>847</v>
      </c>
      <c r="G468" s="35">
        <v>2.39</v>
      </c>
      <c r="H468" s="33">
        <f>G468*(1-IFERROR(VLOOKUP(F468,'enter the discount'!$D$10:$E$40,2,FALSE),0))</f>
        <v>2.39</v>
      </c>
      <c r="I468" s="35" t="s">
        <v>2609</v>
      </c>
      <c r="J468" s="33" t="s">
        <v>2660</v>
      </c>
      <c r="K468" s="33" t="s">
        <v>2749</v>
      </c>
      <c r="L468">
        <v>100</v>
      </c>
      <c r="M468"/>
      <c r="N468" t="s">
        <v>2754</v>
      </c>
      <c r="O468"/>
      <c r="P468" t="s">
        <v>3</v>
      </c>
      <c r="Q468" t="s">
        <v>2775</v>
      </c>
    </row>
    <row r="469" spans="1:17" ht="14.4" x14ac:dyDescent="0.3">
      <c r="A469" t="s">
        <v>11</v>
      </c>
      <c r="B469" t="s">
        <v>1691</v>
      </c>
      <c r="C469" t="s">
        <v>1772</v>
      </c>
      <c r="D469" t="s">
        <v>1777</v>
      </c>
      <c r="E469" t="s">
        <v>1778</v>
      </c>
      <c r="F469" t="s">
        <v>847</v>
      </c>
      <c r="G469" s="35">
        <v>2.25</v>
      </c>
      <c r="H469" s="33">
        <f>G469*(1-IFERROR(VLOOKUP(F469,'enter the discount'!$D$10:$E$40,2,FALSE),0))</f>
        <v>2.25</v>
      </c>
      <c r="I469" s="35" t="s">
        <v>2609</v>
      </c>
      <c r="J469" s="33" t="s">
        <v>2661</v>
      </c>
      <c r="K469" s="33" t="s">
        <v>2749</v>
      </c>
      <c r="L469">
        <v>30</v>
      </c>
      <c r="M469"/>
      <c r="N469" t="s">
        <v>2754</v>
      </c>
      <c r="O469"/>
      <c r="P469" t="s">
        <v>3</v>
      </c>
      <c r="Q469" t="s">
        <v>2775</v>
      </c>
    </row>
    <row r="470" spans="1:17" ht="14.4" x14ac:dyDescent="0.3">
      <c r="A470" t="s">
        <v>10</v>
      </c>
      <c r="B470" t="s">
        <v>1779</v>
      </c>
      <c r="C470" t="s">
        <v>1258</v>
      </c>
      <c r="D470" t="s">
        <v>1780</v>
      </c>
      <c r="E470" t="s">
        <v>1781</v>
      </c>
      <c r="F470" t="s">
        <v>842</v>
      </c>
      <c r="G470" s="35">
        <v>325.3</v>
      </c>
      <c r="H470" s="33">
        <f>G470*(1-IFERROR(VLOOKUP(F470,'enter the discount'!$D$10:$E$40,2,FALSE),0))</f>
        <v>325.3</v>
      </c>
      <c r="I470" s="35" t="s">
        <v>2598</v>
      </c>
      <c r="J470" s="33" t="s">
        <v>593</v>
      </c>
      <c r="K470" s="33" t="s">
        <v>2749</v>
      </c>
      <c r="L470">
        <v>4</v>
      </c>
      <c r="M470"/>
      <c r="N470" t="s">
        <v>2756</v>
      </c>
      <c r="O470" s="34" t="str">
        <f>HYPERLINK("https://b2b.kobi.pl/pl/product/9950,oprawa-parkowa-hybrid-led-fusion-14w-4000k-ip65-kobi-pro?currency=PLN")</f>
        <v>https://b2b.kobi.pl/pl/product/9950,oprawa-parkowa-hybrid-led-fusion-14w-4000k-ip65-kobi-pro?currency=PLN</v>
      </c>
      <c r="P470" s="34" t="str">
        <f>HYPERLINK("https://eprel.ec.europa.eu/qr/1864776")</f>
        <v>https://eprel.ec.europa.eu/qr/1864776</v>
      </c>
      <c r="Q470" t="s">
        <v>2775</v>
      </c>
    </row>
    <row r="471" spans="1:17" ht="14.4" x14ac:dyDescent="0.3">
      <c r="A471" t="s">
        <v>10</v>
      </c>
      <c r="B471" t="s">
        <v>1779</v>
      </c>
      <c r="C471" t="s">
        <v>910</v>
      </c>
      <c r="D471" t="s">
        <v>1782</v>
      </c>
      <c r="E471" t="s">
        <v>1783</v>
      </c>
      <c r="F471" t="s">
        <v>842</v>
      </c>
      <c r="G471" s="35">
        <v>91.33</v>
      </c>
      <c r="H471" s="33">
        <f>G471*(1-IFERROR(VLOOKUP(F471,'enter the discount'!$D$10:$E$40,2,FALSE),0))</f>
        <v>91.33</v>
      </c>
      <c r="I471" s="35" t="s">
        <v>2609</v>
      </c>
      <c r="J471" s="33" t="s">
        <v>202</v>
      </c>
      <c r="K471" s="33" t="s">
        <v>2749</v>
      </c>
      <c r="L471">
        <v>6</v>
      </c>
      <c r="M471">
        <v>72</v>
      </c>
      <c r="N471" t="s">
        <v>2754</v>
      </c>
      <c r="O471" s="34" t="str">
        <f>HYPERLINK("https://b2b.kobi.pl/pl/product/10156,oprawa-drogowa-z-czujnikiem-ruchu-solar-led-street-15w-4000k-ip65-kobi?currency=PLN")</f>
        <v>https://b2b.kobi.pl/pl/product/10156,oprawa-drogowa-z-czujnikiem-ruchu-solar-led-street-15w-4000k-ip65-kobi?currency=PLN</v>
      </c>
      <c r="P471" t="s">
        <v>3</v>
      </c>
      <c r="Q471"/>
    </row>
    <row r="472" spans="1:17" ht="14.4" x14ac:dyDescent="0.3">
      <c r="A472" t="s">
        <v>10</v>
      </c>
      <c r="B472" t="s">
        <v>1779</v>
      </c>
      <c r="C472" t="s">
        <v>885</v>
      </c>
      <c r="D472" t="s">
        <v>1784</v>
      </c>
      <c r="E472" t="s">
        <v>1785</v>
      </c>
      <c r="F472" t="s">
        <v>842</v>
      </c>
      <c r="G472" s="35">
        <v>166.99</v>
      </c>
      <c r="H472" s="33">
        <f>G472*(1-IFERROR(VLOOKUP(F472,'enter the discount'!$D$10:$E$40,2,FALSE),0))</f>
        <v>166.99</v>
      </c>
      <c r="I472" s="35" t="s">
        <v>2609</v>
      </c>
      <c r="J472" s="33" t="s">
        <v>2662</v>
      </c>
      <c r="K472" s="33" t="s">
        <v>2749</v>
      </c>
      <c r="L472">
        <v>4</v>
      </c>
      <c r="M472"/>
      <c r="N472" t="s">
        <v>2755</v>
      </c>
      <c r="O472" s="34" t="str">
        <f>HYPERLINK("https://b2b.kobi.pl/pl/product/10157,oprawa-drogowa-z-czujnikiem-ruchu-solar-led-street-30w-2cct-ip65-kobi-premium?currency=PLN")</f>
        <v>https://b2b.kobi.pl/pl/product/10157,oprawa-drogowa-z-czujnikiem-ruchu-solar-led-street-30w-2cct-ip65-kobi-premium?currency=PLN</v>
      </c>
      <c r="P472" t="s">
        <v>3</v>
      </c>
      <c r="Q472"/>
    </row>
    <row r="473" spans="1:17" ht="14.4" x14ac:dyDescent="0.3">
      <c r="A473" t="s">
        <v>10</v>
      </c>
      <c r="B473" t="s">
        <v>1779</v>
      </c>
      <c r="C473" t="s">
        <v>885</v>
      </c>
      <c r="D473" t="s">
        <v>1786</v>
      </c>
      <c r="E473" t="s">
        <v>1787</v>
      </c>
      <c r="F473" t="s">
        <v>842</v>
      </c>
      <c r="G473" s="35">
        <v>287.94</v>
      </c>
      <c r="H473" s="33">
        <f>G473*(1-IFERROR(VLOOKUP(F473,'enter the discount'!$D$10:$E$40,2,FALSE),0))</f>
        <v>287.94</v>
      </c>
      <c r="I473" s="35" t="s">
        <v>2609</v>
      </c>
      <c r="J473" s="33" t="s">
        <v>336</v>
      </c>
      <c r="K473" s="33" t="s">
        <v>2749</v>
      </c>
      <c r="L473">
        <v>4</v>
      </c>
      <c r="M473">
        <v>48</v>
      </c>
      <c r="N473" t="s">
        <v>2755</v>
      </c>
      <c r="O473" s="34" t="str">
        <f>HYPERLINK("https://b2b.kobi.pl/pl/product/10158,oprawa-drogowa-z-czujnikiem-ruchu-solar-led-street-40w-4000k-ip65-kobi-premium?currency=PLN")</f>
        <v>https://b2b.kobi.pl/pl/product/10158,oprawa-drogowa-z-czujnikiem-ruchu-solar-led-street-40w-4000k-ip65-kobi-premium?currency=PLN</v>
      </c>
      <c r="P473" t="s">
        <v>3</v>
      </c>
      <c r="Q473" t="s">
        <v>2775</v>
      </c>
    </row>
    <row r="474" spans="1:17" ht="14.4" x14ac:dyDescent="0.3">
      <c r="A474" t="s">
        <v>10</v>
      </c>
      <c r="B474" t="s">
        <v>22</v>
      </c>
      <c r="C474" t="s">
        <v>1258</v>
      </c>
      <c r="D474" t="s">
        <v>1788</v>
      </c>
      <c r="E474" t="s">
        <v>1789</v>
      </c>
      <c r="F474" t="s">
        <v>836</v>
      </c>
      <c r="G474" s="35">
        <v>44.58</v>
      </c>
      <c r="H474" s="33">
        <f>G474*(1-IFERROR(VLOOKUP(F474,'enter the discount'!$D$10:$E$40,2,FALSE),0))</f>
        <v>44.58</v>
      </c>
      <c r="I474" s="35" t="s">
        <v>2593</v>
      </c>
      <c r="J474" s="33" t="s">
        <v>358</v>
      </c>
      <c r="K474" s="33" t="s">
        <v>2749</v>
      </c>
      <c r="L474">
        <v>10</v>
      </c>
      <c r="M474"/>
      <c r="N474" t="s">
        <v>2756</v>
      </c>
      <c r="O474" s="34" t="str">
        <f>HYPERLINK("https://b2b.kobi.pl/pl/product/8409,plafon-led-numos-7w-4000k-lx-ip65-kobi-pro?currency=PLN")</f>
        <v>https://b2b.kobi.pl/pl/product/8409,plafon-led-numos-7w-4000k-lx-ip65-kobi-pro?currency=PLN</v>
      </c>
      <c r="P474" s="34" t="str">
        <f>HYPERLINK("https://eprel.ec.europa.eu/qr/1057273")</f>
        <v>https://eprel.ec.europa.eu/qr/1057273</v>
      </c>
      <c r="Q474"/>
    </row>
    <row r="475" spans="1:17" ht="14.4" x14ac:dyDescent="0.3">
      <c r="A475" t="s">
        <v>10</v>
      </c>
      <c r="B475" t="s">
        <v>22</v>
      </c>
      <c r="C475" t="s">
        <v>1258</v>
      </c>
      <c r="D475" t="s">
        <v>1790</v>
      </c>
      <c r="E475" t="s">
        <v>1791</v>
      </c>
      <c r="F475" t="s">
        <v>836</v>
      </c>
      <c r="G475" s="35">
        <v>28.92</v>
      </c>
      <c r="H475" s="33">
        <f>G475*(1-IFERROR(VLOOKUP(F475,'enter the discount'!$D$10:$E$40,2,FALSE),0))</f>
        <v>28.92</v>
      </c>
      <c r="I475" s="35" t="s">
        <v>2593</v>
      </c>
      <c r="J475" s="33" t="s">
        <v>359</v>
      </c>
      <c r="K475" s="33" t="s">
        <v>2749</v>
      </c>
      <c r="L475">
        <v>5</v>
      </c>
      <c r="M475"/>
      <c r="N475" t="s">
        <v>2756</v>
      </c>
      <c r="O475" s="34" t="str">
        <f>HYPERLINK("https://b2b.kobi.pl/pl/product/8426,plafon-z-czujnikiem-ruchu-led-orbis-10w-4000k-lx-ip44-kobi-pro?currency=PLN")</f>
        <v>https://b2b.kobi.pl/pl/product/8426,plafon-z-czujnikiem-ruchu-led-orbis-10w-4000k-lx-ip44-kobi-pro?currency=PLN</v>
      </c>
      <c r="P475" s="34" t="str">
        <f>HYPERLINK("https://eprel.ec.europa.eu/qr/1057303")</f>
        <v>https://eprel.ec.europa.eu/qr/1057303</v>
      </c>
      <c r="Q475"/>
    </row>
    <row r="476" spans="1:17" ht="14.4" x14ac:dyDescent="0.3">
      <c r="A476" t="s">
        <v>10</v>
      </c>
      <c r="B476" t="s">
        <v>22</v>
      </c>
      <c r="C476" t="s">
        <v>1258</v>
      </c>
      <c r="D476" t="s">
        <v>1792</v>
      </c>
      <c r="E476" t="s">
        <v>1793</v>
      </c>
      <c r="F476" t="s">
        <v>836</v>
      </c>
      <c r="G476" s="35">
        <v>38.799999999999997</v>
      </c>
      <c r="H476" s="33">
        <f>G476*(1-IFERROR(VLOOKUP(F476,'enter the discount'!$D$10:$E$40,2,FALSE),0))</f>
        <v>38.799999999999997</v>
      </c>
      <c r="I476" s="35" t="s">
        <v>2598</v>
      </c>
      <c r="J476" s="33" t="s">
        <v>371</v>
      </c>
      <c r="K476" s="33" t="s">
        <v>2749</v>
      </c>
      <c r="L476">
        <v>4</v>
      </c>
      <c r="M476">
        <v>120</v>
      </c>
      <c r="N476" t="s">
        <v>2756</v>
      </c>
      <c r="O476" s="34" t="str">
        <f>HYPERLINK("https://b2b.kobi.pl/pl/product/9930,plafon-led-defender-18w-4000k-ip66-kobi-pro?currency=PLN")</f>
        <v>https://b2b.kobi.pl/pl/product/9930,plafon-led-defender-18w-4000k-ip66-kobi-pro?currency=PLN</v>
      </c>
      <c r="P476" s="34" t="str">
        <f>HYPERLINK("https://eprel.ec.europa.eu/qr/1789259")</f>
        <v>https://eprel.ec.europa.eu/qr/1789259</v>
      </c>
      <c r="Q476"/>
    </row>
    <row r="477" spans="1:17" ht="14.4" x14ac:dyDescent="0.3">
      <c r="A477" t="s">
        <v>10</v>
      </c>
      <c r="B477" t="s">
        <v>22</v>
      </c>
      <c r="C477" t="s">
        <v>1258</v>
      </c>
      <c r="D477" t="s">
        <v>1794</v>
      </c>
      <c r="E477" t="s">
        <v>1795</v>
      </c>
      <c r="F477" t="s">
        <v>836</v>
      </c>
      <c r="G477" s="35">
        <v>44.58</v>
      </c>
      <c r="H477" s="33">
        <f>G477*(1-IFERROR(VLOOKUP(F477,'enter the discount'!$D$10:$E$40,2,FALSE),0))</f>
        <v>44.58</v>
      </c>
      <c r="I477" s="35" t="s">
        <v>2598</v>
      </c>
      <c r="J477" s="33" t="s">
        <v>372</v>
      </c>
      <c r="K477" s="33" t="s">
        <v>2749</v>
      </c>
      <c r="L477">
        <v>4</v>
      </c>
      <c r="M477">
        <v>100</v>
      </c>
      <c r="N477" t="s">
        <v>2756</v>
      </c>
      <c r="O477" s="34" t="str">
        <f>HYPERLINK("https://b2b.kobi.pl/pl/product/9931,plafon-led-defender-24w-4000k-ip66-kobi-pro?currency=PLN")</f>
        <v>https://b2b.kobi.pl/pl/product/9931,plafon-led-defender-24w-4000k-ip66-kobi-pro?currency=PLN</v>
      </c>
      <c r="P477" s="34" t="str">
        <f>HYPERLINK("https://eprel.ec.europa.eu/qr/1789311")</f>
        <v>https://eprel.ec.europa.eu/qr/1789311</v>
      </c>
      <c r="Q477"/>
    </row>
    <row r="478" spans="1:17" ht="14.4" x14ac:dyDescent="0.3">
      <c r="A478" t="s">
        <v>10</v>
      </c>
      <c r="B478" t="s">
        <v>22</v>
      </c>
      <c r="C478" t="s">
        <v>1258</v>
      </c>
      <c r="D478" t="s">
        <v>1796</v>
      </c>
      <c r="E478" t="s">
        <v>1797</v>
      </c>
      <c r="F478" t="s">
        <v>836</v>
      </c>
      <c r="G478" s="35">
        <v>52.05</v>
      </c>
      <c r="H478" s="33">
        <f>G478*(1-IFERROR(VLOOKUP(F478,'enter the discount'!$D$10:$E$40,2,FALSE),0))</f>
        <v>52.05</v>
      </c>
      <c r="I478" s="35" t="s">
        <v>2598</v>
      </c>
      <c r="J478" s="33" t="s">
        <v>373</v>
      </c>
      <c r="K478" s="33" t="s">
        <v>2749</v>
      </c>
      <c r="L478">
        <v>4</v>
      </c>
      <c r="M478">
        <v>120</v>
      </c>
      <c r="N478" t="s">
        <v>2756</v>
      </c>
      <c r="O478" s="34" t="str">
        <f>HYPERLINK("https://b2b.kobi.pl/pl/product/9932,plafon-z-czujnikiem-ruchu-led-defender-18w-4000k-lx-ip66-kobi-pro?currency=PLN")</f>
        <v>https://b2b.kobi.pl/pl/product/9932,plafon-z-czujnikiem-ruchu-led-defender-18w-4000k-lx-ip66-kobi-pro?currency=PLN</v>
      </c>
      <c r="P478" s="34" t="str">
        <f>HYPERLINK("https://eprel.ec.europa.eu/qr/1789259")</f>
        <v>https://eprel.ec.europa.eu/qr/1789259</v>
      </c>
      <c r="Q478"/>
    </row>
    <row r="479" spans="1:17" ht="14.4" x14ac:dyDescent="0.3">
      <c r="A479" t="s">
        <v>10</v>
      </c>
      <c r="B479" t="s">
        <v>22</v>
      </c>
      <c r="C479" t="s">
        <v>1258</v>
      </c>
      <c r="D479" t="s">
        <v>1798</v>
      </c>
      <c r="E479" t="s">
        <v>1799</v>
      </c>
      <c r="F479" t="s">
        <v>836</v>
      </c>
      <c r="G479" s="35">
        <v>53.98</v>
      </c>
      <c r="H479" s="33">
        <f>G479*(1-IFERROR(VLOOKUP(F479,'enter the discount'!$D$10:$E$40,2,FALSE),0))</f>
        <v>53.98</v>
      </c>
      <c r="I479" s="35" t="s">
        <v>2598</v>
      </c>
      <c r="J479" s="33" t="s">
        <v>374</v>
      </c>
      <c r="K479" s="33" t="s">
        <v>2749</v>
      </c>
      <c r="L479">
        <v>4</v>
      </c>
      <c r="M479">
        <v>100</v>
      </c>
      <c r="N479" t="s">
        <v>2756</v>
      </c>
      <c r="O479" s="34" t="str">
        <f>HYPERLINK("https://b2b.kobi.pl/pl/product/9933,plafon-z-czujnikiem-ruchu-led-defender-24w-4000k-lx-ip66-kobi-pro?currency=PLN")</f>
        <v>https://b2b.kobi.pl/pl/product/9933,plafon-z-czujnikiem-ruchu-led-defender-24w-4000k-lx-ip66-kobi-pro?currency=PLN</v>
      </c>
      <c r="P479" s="34" t="str">
        <f>HYPERLINK("https://eprel.ec.europa.eu/qr/1789311")</f>
        <v>https://eprel.ec.europa.eu/qr/1789311</v>
      </c>
      <c r="Q479"/>
    </row>
    <row r="480" spans="1:17" ht="14.4" x14ac:dyDescent="0.3">
      <c r="A480" t="s">
        <v>10</v>
      </c>
      <c r="B480" t="s">
        <v>22</v>
      </c>
      <c r="C480" t="s">
        <v>885</v>
      </c>
      <c r="D480" t="s">
        <v>1800</v>
      </c>
      <c r="E480" t="s">
        <v>1801</v>
      </c>
      <c r="F480" t="s">
        <v>836</v>
      </c>
      <c r="G480" s="35">
        <v>16.87</v>
      </c>
      <c r="H480" s="33">
        <f>G480*(1-IFERROR(VLOOKUP(F480,'enter the discount'!$D$10:$E$40,2,FALSE),0))</f>
        <v>16.87</v>
      </c>
      <c r="I480" s="35" t="s">
        <v>2593</v>
      </c>
      <c r="J480" s="33" t="s">
        <v>521</v>
      </c>
      <c r="K480" s="33" t="s">
        <v>2749</v>
      </c>
      <c r="L480">
        <v>20</v>
      </c>
      <c r="M480"/>
      <c r="N480" t="s">
        <v>2755</v>
      </c>
      <c r="O480" s="34" t="str">
        <f>HYPERLINK("https://b2b.kobi.pl/pl/product/10131,plafon-led-nairos-12w-cct-ip65-bialy-kobi-premium?currency=PLN")</f>
        <v>https://b2b.kobi.pl/pl/product/10131,plafon-led-nairos-12w-cct-ip65-bialy-kobi-premium?currency=PLN</v>
      </c>
      <c r="P480" s="34" t="str">
        <f>HYPERLINK("https://eprel.ec.europa.eu/qr/1787573")</f>
        <v>https://eprel.ec.europa.eu/qr/1787573</v>
      </c>
      <c r="Q480" t="s">
        <v>2775</v>
      </c>
    </row>
    <row r="481" spans="1:17" ht="14.4" x14ac:dyDescent="0.3">
      <c r="A481" t="s">
        <v>10</v>
      </c>
      <c r="B481" t="s">
        <v>22</v>
      </c>
      <c r="C481" t="s">
        <v>885</v>
      </c>
      <c r="D481" t="s">
        <v>1802</v>
      </c>
      <c r="E481" t="s">
        <v>1803</v>
      </c>
      <c r="F481" t="s">
        <v>836</v>
      </c>
      <c r="G481" s="35">
        <v>32.29</v>
      </c>
      <c r="H481" s="33">
        <f>G481*(1-IFERROR(VLOOKUP(F481,'enter the discount'!$D$10:$E$40,2,FALSE),0))</f>
        <v>32.29</v>
      </c>
      <c r="I481" s="35" t="s">
        <v>2593</v>
      </c>
      <c r="J481" s="33" t="s">
        <v>522</v>
      </c>
      <c r="K481" s="33" t="s">
        <v>2749</v>
      </c>
      <c r="L481">
        <v>10</v>
      </c>
      <c r="M481"/>
      <c r="N481" t="s">
        <v>2755</v>
      </c>
      <c r="O481" s="34" t="str">
        <f>HYPERLINK("https://b2b.kobi.pl/pl/product/10135,plafon-led-nairos-24w-cct-ip65-bialy-kobi-premium?currency=PLN")</f>
        <v>https://b2b.kobi.pl/pl/product/10135,plafon-led-nairos-24w-cct-ip65-bialy-kobi-premium?currency=PLN</v>
      </c>
      <c r="P481" s="34" t="str">
        <f>HYPERLINK("https://eprel.ec.europa.eu/qr/1787703")</f>
        <v>https://eprel.ec.europa.eu/qr/1787703</v>
      </c>
      <c r="Q481" t="s">
        <v>2775</v>
      </c>
    </row>
    <row r="482" spans="1:17" ht="14.4" x14ac:dyDescent="0.3">
      <c r="A482" t="s">
        <v>10</v>
      </c>
      <c r="B482" t="s">
        <v>22</v>
      </c>
      <c r="C482" t="s">
        <v>885</v>
      </c>
      <c r="D482" t="s">
        <v>1804</v>
      </c>
      <c r="E482" t="s">
        <v>1805</v>
      </c>
      <c r="F482" t="s">
        <v>836</v>
      </c>
      <c r="G482" s="35">
        <v>35.659999999999997</v>
      </c>
      <c r="H482" s="33">
        <f>G482*(1-IFERROR(VLOOKUP(F482,'enter the discount'!$D$10:$E$40,2,FALSE),0))</f>
        <v>35.659999999999997</v>
      </c>
      <c r="I482" s="35" t="s">
        <v>2593</v>
      </c>
      <c r="J482" s="33" t="s">
        <v>523</v>
      </c>
      <c r="K482" s="33" t="s">
        <v>2749</v>
      </c>
      <c r="L482">
        <v>20</v>
      </c>
      <c r="M482"/>
      <c r="N482" t="s">
        <v>2755</v>
      </c>
      <c r="O482" s="34" t="str">
        <f>HYPERLINK("https://b2b.kobi.pl/pl/product/10168,plafon-z-czujnikiem-ruchu-led-nairos-12w-cct-lx-ip65-czarny-kobi-premium?currency=PLN")</f>
        <v>https://b2b.kobi.pl/pl/product/10168,plafon-z-czujnikiem-ruchu-led-nairos-12w-cct-lx-ip65-czarny-kobi-premium?currency=PLN</v>
      </c>
      <c r="P482" s="34" t="str">
        <f>HYPERLINK("https://eprel.ec.europa.eu/qr/1787673")</f>
        <v>https://eprel.ec.europa.eu/qr/1787673</v>
      </c>
      <c r="Q482" t="s">
        <v>2775</v>
      </c>
    </row>
    <row r="483" spans="1:17" ht="14.4" x14ac:dyDescent="0.3">
      <c r="A483" t="s">
        <v>10</v>
      </c>
      <c r="B483" t="s">
        <v>22</v>
      </c>
      <c r="C483" t="s">
        <v>885</v>
      </c>
      <c r="D483" t="s">
        <v>1806</v>
      </c>
      <c r="E483" t="s">
        <v>1807</v>
      </c>
      <c r="F483" t="s">
        <v>836</v>
      </c>
      <c r="G483" s="35">
        <v>53.01</v>
      </c>
      <c r="H483" s="33">
        <f>G483*(1-IFERROR(VLOOKUP(F483,'enter the discount'!$D$10:$E$40,2,FALSE),0))</f>
        <v>53.01</v>
      </c>
      <c r="I483" s="35" t="s">
        <v>2593</v>
      </c>
      <c r="J483" s="33" t="s">
        <v>2663</v>
      </c>
      <c r="K483" s="33" t="s">
        <v>2749</v>
      </c>
      <c r="L483">
        <v>10</v>
      </c>
      <c r="M483"/>
      <c r="N483" t="s">
        <v>2755</v>
      </c>
      <c r="O483" s="34" t="str">
        <f>HYPERLINK("https://b2b.kobi.pl/pl/product/10171,plafon-z-czujnikiem-ruchu-led-nairos-24w-cct-lx-ip65-bialy-kobi-premium?currency=PLN")</f>
        <v>https://b2b.kobi.pl/pl/product/10171,plafon-z-czujnikiem-ruchu-led-nairos-24w-cct-lx-ip65-bialy-kobi-premium?currency=PLN</v>
      </c>
      <c r="P483" s="34" t="str">
        <f>HYPERLINK("https://eprel.ec.europa.eu/qr/1787703")</f>
        <v>https://eprel.ec.europa.eu/qr/1787703</v>
      </c>
      <c r="Q483" t="s">
        <v>2775</v>
      </c>
    </row>
    <row r="484" spans="1:17" ht="14.4" x14ac:dyDescent="0.3">
      <c r="A484" t="s">
        <v>10</v>
      </c>
      <c r="B484" t="s">
        <v>22</v>
      </c>
      <c r="C484" t="s">
        <v>885</v>
      </c>
      <c r="D484" t="s">
        <v>1808</v>
      </c>
      <c r="E484" t="s">
        <v>1809</v>
      </c>
      <c r="F484" t="s">
        <v>836</v>
      </c>
      <c r="G484" s="35">
        <v>53.01</v>
      </c>
      <c r="H484" s="33">
        <f>G484*(1-IFERROR(VLOOKUP(F484,'enter the discount'!$D$10:$E$40,2,FALSE),0))</f>
        <v>53.01</v>
      </c>
      <c r="I484" s="35" t="s">
        <v>2593</v>
      </c>
      <c r="J484" s="33" t="s">
        <v>2664</v>
      </c>
      <c r="K484" s="33" t="s">
        <v>2749</v>
      </c>
      <c r="L484">
        <v>10</v>
      </c>
      <c r="M484"/>
      <c r="N484" t="s">
        <v>2755</v>
      </c>
      <c r="O484"/>
      <c r="P484" s="34" t="str">
        <f>HYPERLINK("https://eprel.ec.europa.eu/qr/1787723")</f>
        <v>https://eprel.ec.europa.eu/qr/1787723</v>
      </c>
      <c r="Q484" t="s">
        <v>2775</v>
      </c>
    </row>
    <row r="485" spans="1:17" ht="14.4" x14ac:dyDescent="0.3">
      <c r="A485" t="s">
        <v>10</v>
      </c>
      <c r="B485" t="s">
        <v>22</v>
      </c>
      <c r="C485" t="s">
        <v>885</v>
      </c>
      <c r="D485" t="s">
        <v>1810</v>
      </c>
      <c r="E485" t="s">
        <v>1811</v>
      </c>
      <c r="F485" t="s">
        <v>836</v>
      </c>
      <c r="G485" s="35">
        <v>19.28</v>
      </c>
      <c r="H485" s="33">
        <f>G485*(1-IFERROR(VLOOKUP(F485,'enter the discount'!$D$10:$E$40,2,FALSE),0))</f>
        <v>19.28</v>
      </c>
      <c r="I485" s="35" t="s">
        <v>2598</v>
      </c>
      <c r="J485" s="33" t="s">
        <v>733</v>
      </c>
      <c r="K485" s="33" t="s">
        <v>2749</v>
      </c>
      <c r="L485">
        <v>20</v>
      </c>
      <c r="M485"/>
      <c r="N485" t="s">
        <v>2755</v>
      </c>
      <c r="O485" s="34" t="str">
        <f>HYPERLINK("https://b2b.kobi.pl/pl/product/10031,plafon-led-nairos-g2-12w-3cct-ip65-bialy-kobi-premium?currency=PLN")</f>
        <v>https://b2b.kobi.pl/pl/product/10031,plafon-led-nairos-g2-12w-3cct-ip65-bialy-kobi-premium?currency=PLN</v>
      </c>
      <c r="P485" s="34" t="str">
        <f>HYPERLINK("https://eprel.ec.europa.eu/qr/2056899")</f>
        <v>https://eprel.ec.europa.eu/qr/2056899</v>
      </c>
      <c r="Q485"/>
    </row>
    <row r="486" spans="1:17" ht="14.4" x14ac:dyDescent="0.3">
      <c r="A486" t="s">
        <v>10</v>
      </c>
      <c r="B486" t="s">
        <v>22</v>
      </c>
      <c r="C486" t="s">
        <v>885</v>
      </c>
      <c r="D486" t="s">
        <v>1812</v>
      </c>
      <c r="E486" t="s">
        <v>1813</v>
      </c>
      <c r="F486" t="s">
        <v>836</v>
      </c>
      <c r="G486" s="35">
        <v>19.28</v>
      </c>
      <c r="H486" s="33">
        <f>G486*(1-IFERROR(VLOOKUP(F486,'enter the discount'!$D$10:$E$40,2,FALSE),0))</f>
        <v>19.28</v>
      </c>
      <c r="I486" s="35" t="s">
        <v>2598</v>
      </c>
      <c r="J486" s="33" t="s">
        <v>734</v>
      </c>
      <c r="K486" s="33" t="s">
        <v>2749</v>
      </c>
      <c r="L486">
        <v>20</v>
      </c>
      <c r="M486"/>
      <c r="N486" t="s">
        <v>2755</v>
      </c>
      <c r="O486" s="34" t="str">
        <f>HYPERLINK("https://b2b.kobi.pl/pl/product/10032,plafon-led-nairos-g2-12w-3cct-ip65-czarny-kobi-premium?currency=PLN")</f>
        <v>https://b2b.kobi.pl/pl/product/10032,plafon-led-nairos-g2-12w-3cct-ip65-czarny-kobi-premium?currency=PLN</v>
      </c>
      <c r="P486" s="34" t="str">
        <f>HYPERLINK("https://eprel.ec.europa.eu/qr/2056899")</f>
        <v>https://eprel.ec.europa.eu/qr/2056899</v>
      </c>
      <c r="Q486"/>
    </row>
    <row r="487" spans="1:17" ht="14.4" x14ac:dyDescent="0.3">
      <c r="A487" t="s">
        <v>10</v>
      </c>
      <c r="B487" t="s">
        <v>22</v>
      </c>
      <c r="C487" t="s">
        <v>885</v>
      </c>
      <c r="D487" t="s">
        <v>1814</v>
      </c>
      <c r="E487" t="s">
        <v>1815</v>
      </c>
      <c r="F487" t="s">
        <v>836</v>
      </c>
      <c r="G487" s="35">
        <v>30.12</v>
      </c>
      <c r="H487" s="33">
        <f>G487*(1-IFERROR(VLOOKUP(F487,'enter the discount'!$D$10:$E$40,2,FALSE),0))</f>
        <v>30.12</v>
      </c>
      <c r="I487" s="35" t="s">
        <v>2598</v>
      </c>
      <c r="J487" s="33" t="s">
        <v>735</v>
      </c>
      <c r="K487" s="33" t="s">
        <v>2749</v>
      </c>
      <c r="L487">
        <v>10</v>
      </c>
      <c r="M487"/>
      <c r="N487" t="s">
        <v>2755</v>
      </c>
      <c r="O487" s="34" t="str">
        <f>HYPERLINK("https://b2b.kobi.pl/pl/product/10033,plafon-led-nairos-g2-18w-3cct-ip65-bialy-kobi-premium?currency=PLN")</f>
        <v>https://b2b.kobi.pl/pl/product/10033,plafon-led-nairos-g2-18w-3cct-ip65-bialy-kobi-premium?currency=PLN</v>
      </c>
      <c r="P487" s="34" t="str">
        <f>HYPERLINK("https://eprel.ec.europa.eu/qr/2058716")</f>
        <v>https://eprel.ec.europa.eu/qr/2058716</v>
      </c>
      <c r="Q487"/>
    </row>
    <row r="488" spans="1:17" ht="14.4" x14ac:dyDescent="0.3">
      <c r="A488" t="s">
        <v>10</v>
      </c>
      <c r="B488" t="s">
        <v>22</v>
      </c>
      <c r="C488" t="s">
        <v>885</v>
      </c>
      <c r="D488" t="s">
        <v>1816</v>
      </c>
      <c r="E488" t="s">
        <v>1817</v>
      </c>
      <c r="F488" t="s">
        <v>836</v>
      </c>
      <c r="G488" s="35">
        <v>30.12</v>
      </c>
      <c r="H488" s="33">
        <f>G488*(1-IFERROR(VLOOKUP(F488,'enter the discount'!$D$10:$E$40,2,FALSE),0))</f>
        <v>30.12</v>
      </c>
      <c r="I488" s="35" t="s">
        <v>2598</v>
      </c>
      <c r="J488" s="33" t="s">
        <v>736</v>
      </c>
      <c r="K488" s="33" t="s">
        <v>2749</v>
      </c>
      <c r="L488">
        <v>10</v>
      </c>
      <c r="M488"/>
      <c r="N488" t="s">
        <v>2755</v>
      </c>
      <c r="O488" s="34" t="str">
        <f>HYPERLINK("https://b2b.kobi.pl/pl/product/10034,plafon-led-nairos-g2-18w-3cct-ip65-czarny-kobi-premium?currency=PLN")</f>
        <v>https://b2b.kobi.pl/pl/product/10034,plafon-led-nairos-g2-18w-3cct-ip65-czarny-kobi-premium?currency=PLN</v>
      </c>
      <c r="P488" s="34" t="str">
        <f>HYPERLINK("https://eprel.ec.europa.eu/qr/2058716")</f>
        <v>https://eprel.ec.europa.eu/qr/2058716</v>
      </c>
      <c r="Q488"/>
    </row>
    <row r="489" spans="1:17" ht="14.4" x14ac:dyDescent="0.3">
      <c r="A489" t="s">
        <v>10</v>
      </c>
      <c r="B489" t="s">
        <v>22</v>
      </c>
      <c r="C489" t="s">
        <v>885</v>
      </c>
      <c r="D489" t="s">
        <v>1818</v>
      </c>
      <c r="E489" t="s">
        <v>1819</v>
      </c>
      <c r="F489" t="s">
        <v>836</v>
      </c>
      <c r="G489" s="35">
        <v>32.53</v>
      </c>
      <c r="H489" s="33">
        <f>G489*(1-IFERROR(VLOOKUP(F489,'enter the discount'!$D$10:$E$40,2,FALSE),0))</f>
        <v>32.53</v>
      </c>
      <c r="I489" s="35" t="s">
        <v>2598</v>
      </c>
      <c r="J489" s="33" t="s">
        <v>737</v>
      </c>
      <c r="K489" s="33" t="s">
        <v>2749</v>
      </c>
      <c r="L489">
        <v>10</v>
      </c>
      <c r="M489"/>
      <c r="N489" t="s">
        <v>2755</v>
      </c>
      <c r="O489" s="34" t="str">
        <f>HYPERLINK("https://b2b.kobi.pl/pl/product/10035,plafon-led-nairos-g2-24w-3cct-ip65-bialy-kobi-premium?currency=PLN")</f>
        <v>https://b2b.kobi.pl/pl/product/10035,plafon-led-nairos-g2-24w-3cct-ip65-bialy-kobi-premium?currency=PLN</v>
      </c>
      <c r="P489" s="34" t="str">
        <f>HYPERLINK("https://eprel.ec.europa.eu/qr/2058756")</f>
        <v>https://eprel.ec.europa.eu/qr/2058756</v>
      </c>
      <c r="Q489"/>
    </row>
    <row r="490" spans="1:17" ht="14.4" x14ac:dyDescent="0.3">
      <c r="A490" t="s">
        <v>10</v>
      </c>
      <c r="B490" t="s">
        <v>22</v>
      </c>
      <c r="C490" t="s">
        <v>885</v>
      </c>
      <c r="D490" t="s">
        <v>1820</v>
      </c>
      <c r="E490" t="s">
        <v>1821</v>
      </c>
      <c r="F490" t="s">
        <v>836</v>
      </c>
      <c r="G490" s="35">
        <v>32.53</v>
      </c>
      <c r="H490" s="33">
        <f>G490*(1-IFERROR(VLOOKUP(F490,'enter the discount'!$D$10:$E$40,2,FALSE),0))</f>
        <v>32.53</v>
      </c>
      <c r="I490" s="35" t="s">
        <v>2598</v>
      </c>
      <c r="J490" s="33" t="s">
        <v>738</v>
      </c>
      <c r="K490" s="33" t="s">
        <v>2749</v>
      </c>
      <c r="L490">
        <v>10</v>
      </c>
      <c r="M490"/>
      <c r="N490" t="s">
        <v>2755</v>
      </c>
      <c r="O490" s="34" t="str">
        <f>HYPERLINK("https://b2b.kobi.pl/pl/product/10036,plafon-led-nairos-g2-24w-3cct-ip65-czarny-kobi-premium?currency=PLN")</f>
        <v>https://b2b.kobi.pl/pl/product/10036,plafon-led-nairos-g2-24w-3cct-ip65-czarny-kobi-premium?currency=PLN</v>
      </c>
      <c r="P490" s="34" t="str">
        <f>HYPERLINK("https://eprel.ec.europa.eu/qr/2058756")</f>
        <v>https://eprel.ec.europa.eu/qr/2058756</v>
      </c>
      <c r="Q490"/>
    </row>
    <row r="491" spans="1:17" ht="14.4" x14ac:dyDescent="0.3">
      <c r="A491" t="s">
        <v>10</v>
      </c>
      <c r="B491" t="s">
        <v>22</v>
      </c>
      <c r="C491" t="s">
        <v>885</v>
      </c>
      <c r="D491" t="s">
        <v>1822</v>
      </c>
      <c r="E491" t="s">
        <v>1823</v>
      </c>
      <c r="F491" t="s">
        <v>836</v>
      </c>
      <c r="G491" s="35">
        <v>53.98</v>
      </c>
      <c r="H491" s="33">
        <f>G491*(1-IFERROR(VLOOKUP(F491,'enter the discount'!$D$10:$E$40,2,FALSE),0))</f>
        <v>53.98</v>
      </c>
      <c r="I491" s="35" t="s">
        <v>2598</v>
      </c>
      <c r="J491" s="33" t="s">
        <v>739</v>
      </c>
      <c r="K491" s="33" t="s">
        <v>2749</v>
      </c>
      <c r="L491">
        <v>10</v>
      </c>
      <c r="M491"/>
      <c r="N491" t="s">
        <v>2755</v>
      </c>
      <c r="O491" s="34" t="str">
        <f>HYPERLINK("https://b2b.kobi.pl/pl/product/10037,plafon-led-nairos-g2-36w-3cct-ip65-bialy-kobi-premium?currency=PLN")</f>
        <v>https://b2b.kobi.pl/pl/product/10037,plafon-led-nairos-g2-36w-3cct-ip65-bialy-kobi-premium?currency=PLN</v>
      </c>
      <c r="P491" s="34" t="str">
        <f>HYPERLINK("https://eprel.ec.europa.eu/qr/2058805")</f>
        <v>https://eprel.ec.europa.eu/qr/2058805</v>
      </c>
      <c r="Q491"/>
    </row>
    <row r="492" spans="1:17" ht="14.4" x14ac:dyDescent="0.3">
      <c r="A492" t="s">
        <v>10</v>
      </c>
      <c r="B492" t="s">
        <v>22</v>
      </c>
      <c r="C492" t="s">
        <v>885</v>
      </c>
      <c r="D492" t="s">
        <v>1824</v>
      </c>
      <c r="E492" t="s">
        <v>1825</v>
      </c>
      <c r="F492" t="s">
        <v>836</v>
      </c>
      <c r="G492" s="35">
        <v>38.549999999999997</v>
      </c>
      <c r="H492" s="33">
        <f>G492*(1-IFERROR(VLOOKUP(F492,'enter the discount'!$D$10:$E$40,2,FALSE),0))</f>
        <v>38.549999999999997</v>
      </c>
      <c r="I492" s="35" t="s">
        <v>2598</v>
      </c>
      <c r="J492" s="33" t="s">
        <v>740</v>
      </c>
      <c r="K492" s="33" t="s">
        <v>2749</v>
      </c>
      <c r="L492">
        <v>20</v>
      </c>
      <c r="M492"/>
      <c r="N492" t="s">
        <v>2755</v>
      </c>
      <c r="O492" s="34" t="str">
        <f>HYPERLINK("https://b2b.kobi.pl/pl/product/10038,plafon-z-czujnikiem-ruchu-led-nairos-g2-12w-3cct-lx-ip65-bialy-kobi-premium?currency=PLN")</f>
        <v>https://b2b.kobi.pl/pl/product/10038,plafon-z-czujnikiem-ruchu-led-nairos-g2-12w-3cct-lx-ip65-bialy-kobi-premium?currency=PLN</v>
      </c>
      <c r="P492" s="34" t="str">
        <f>HYPERLINK("https://eprel.ec.europa.eu/qr/2056899")</f>
        <v>https://eprel.ec.europa.eu/qr/2056899</v>
      </c>
      <c r="Q492"/>
    </row>
    <row r="493" spans="1:17" ht="14.4" x14ac:dyDescent="0.3">
      <c r="A493" t="s">
        <v>10</v>
      </c>
      <c r="B493" t="s">
        <v>22</v>
      </c>
      <c r="C493" t="s">
        <v>885</v>
      </c>
      <c r="D493" t="s">
        <v>1826</v>
      </c>
      <c r="E493" t="s">
        <v>1827</v>
      </c>
      <c r="F493" t="s">
        <v>836</v>
      </c>
      <c r="G493" s="35">
        <v>38.549999999999997</v>
      </c>
      <c r="H493" s="33">
        <f>G493*(1-IFERROR(VLOOKUP(F493,'enter the discount'!$D$10:$E$40,2,FALSE),0))</f>
        <v>38.549999999999997</v>
      </c>
      <c r="I493" s="35" t="s">
        <v>2598</v>
      </c>
      <c r="J493" s="33" t="s">
        <v>741</v>
      </c>
      <c r="K493" s="33" t="s">
        <v>2749</v>
      </c>
      <c r="L493">
        <v>20</v>
      </c>
      <c r="M493"/>
      <c r="N493" t="s">
        <v>2755</v>
      </c>
      <c r="O493" s="34" t="str">
        <f>HYPERLINK("https://b2b.kobi.pl/pl/product/10039,plafon-z-czujnikiem-ruchu-led-nairos-g2-12w-3cct-lx-ip65-czarny-kobi-premium?currency=PLN")</f>
        <v>https://b2b.kobi.pl/pl/product/10039,plafon-z-czujnikiem-ruchu-led-nairos-g2-12w-3cct-lx-ip65-czarny-kobi-premium?currency=PLN</v>
      </c>
      <c r="P493" s="34" t="str">
        <f>HYPERLINK("https://eprel.ec.europa.eu/qr/2056899")</f>
        <v>https://eprel.ec.europa.eu/qr/2056899</v>
      </c>
      <c r="Q493"/>
    </row>
    <row r="494" spans="1:17" ht="14.4" x14ac:dyDescent="0.3">
      <c r="A494" t="s">
        <v>10</v>
      </c>
      <c r="B494" t="s">
        <v>22</v>
      </c>
      <c r="C494" t="s">
        <v>885</v>
      </c>
      <c r="D494" t="s">
        <v>1828</v>
      </c>
      <c r="E494" t="s">
        <v>1829</v>
      </c>
      <c r="F494" t="s">
        <v>836</v>
      </c>
      <c r="G494" s="35">
        <v>50.36</v>
      </c>
      <c r="H494" s="33">
        <f>G494*(1-IFERROR(VLOOKUP(F494,'enter the discount'!$D$10:$E$40,2,FALSE),0))</f>
        <v>50.36</v>
      </c>
      <c r="I494" s="35" t="s">
        <v>2598</v>
      </c>
      <c r="J494" s="33" t="s">
        <v>742</v>
      </c>
      <c r="K494" s="33" t="s">
        <v>2749</v>
      </c>
      <c r="L494">
        <v>10</v>
      </c>
      <c r="M494"/>
      <c r="N494" t="s">
        <v>2755</v>
      </c>
      <c r="O494" s="34" t="str">
        <f>HYPERLINK("https://b2b.kobi.pl/pl/product/10040,plafon-z-czujnikiem-ruchu-led-nairos-g2-18w-3cct-lx-ip65-bialy-kobi-premium?currency=PLN")</f>
        <v>https://b2b.kobi.pl/pl/product/10040,plafon-z-czujnikiem-ruchu-led-nairos-g2-18w-3cct-lx-ip65-bialy-kobi-premium?currency=PLN</v>
      </c>
      <c r="P494" s="34" t="str">
        <f>HYPERLINK("https://eprel.ec.europa.eu/qr/2058716")</f>
        <v>https://eprel.ec.europa.eu/qr/2058716</v>
      </c>
      <c r="Q494"/>
    </row>
    <row r="495" spans="1:17" ht="14.4" x14ac:dyDescent="0.3">
      <c r="A495" t="s">
        <v>10</v>
      </c>
      <c r="B495" t="s">
        <v>22</v>
      </c>
      <c r="C495" t="s">
        <v>885</v>
      </c>
      <c r="D495" t="s">
        <v>1830</v>
      </c>
      <c r="E495" t="s">
        <v>1831</v>
      </c>
      <c r="F495" t="s">
        <v>836</v>
      </c>
      <c r="G495" s="35">
        <v>50.36</v>
      </c>
      <c r="H495" s="33">
        <f>G495*(1-IFERROR(VLOOKUP(F495,'enter the discount'!$D$10:$E$40,2,FALSE),0))</f>
        <v>50.36</v>
      </c>
      <c r="I495" s="35" t="s">
        <v>2598</v>
      </c>
      <c r="J495" s="33" t="s">
        <v>743</v>
      </c>
      <c r="K495" s="33" t="s">
        <v>2749</v>
      </c>
      <c r="L495">
        <v>10</v>
      </c>
      <c r="M495"/>
      <c r="N495" t="s">
        <v>2755</v>
      </c>
      <c r="O495" s="34" t="str">
        <f>HYPERLINK("https://b2b.kobi.pl/pl/product/10041,plafon-z-czujnikiem-ruchu-led-nairos-g2-18w-3cct-lx-ip65-czarny-kobi-premium?currency=PLN")</f>
        <v>https://b2b.kobi.pl/pl/product/10041,plafon-z-czujnikiem-ruchu-led-nairos-g2-18w-3cct-lx-ip65-czarny-kobi-premium?currency=PLN</v>
      </c>
      <c r="P495" s="34" t="str">
        <f>HYPERLINK("https://eprel.ec.europa.eu/qr/2058716")</f>
        <v>https://eprel.ec.europa.eu/qr/2058716</v>
      </c>
      <c r="Q495"/>
    </row>
    <row r="496" spans="1:17" ht="14.4" x14ac:dyDescent="0.3">
      <c r="A496" t="s">
        <v>10</v>
      </c>
      <c r="B496" t="s">
        <v>22</v>
      </c>
      <c r="C496" t="s">
        <v>885</v>
      </c>
      <c r="D496" t="s">
        <v>1832</v>
      </c>
      <c r="E496" t="s">
        <v>1833</v>
      </c>
      <c r="F496" t="s">
        <v>836</v>
      </c>
      <c r="G496" s="35">
        <v>55.42</v>
      </c>
      <c r="H496" s="33">
        <f>G496*(1-IFERROR(VLOOKUP(F496,'enter the discount'!$D$10:$E$40,2,FALSE),0))</f>
        <v>55.42</v>
      </c>
      <c r="I496" s="35" t="s">
        <v>2598</v>
      </c>
      <c r="J496" s="33" t="s">
        <v>744</v>
      </c>
      <c r="K496" s="33" t="s">
        <v>2749</v>
      </c>
      <c r="L496">
        <v>10</v>
      </c>
      <c r="M496"/>
      <c r="N496" t="s">
        <v>2755</v>
      </c>
      <c r="O496" s="34" t="str">
        <f>HYPERLINK("https://b2b.kobi.pl/pl/product/10042,plafon-z-czujnikiem-ruchu-led-nairos-g2-24w-3cct-lx-ip65-bialy-kobi-premium?currency=PLN")</f>
        <v>https://b2b.kobi.pl/pl/product/10042,plafon-z-czujnikiem-ruchu-led-nairos-g2-24w-3cct-lx-ip65-bialy-kobi-premium?currency=PLN</v>
      </c>
      <c r="P496" s="34" t="str">
        <f>HYPERLINK("https://eprel.ec.europa.eu/qr/2058756")</f>
        <v>https://eprel.ec.europa.eu/qr/2058756</v>
      </c>
      <c r="Q496"/>
    </row>
    <row r="497" spans="1:17" ht="14.4" x14ac:dyDescent="0.3">
      <c r="A497" t="s">
        <v>10</v>
      </c>
      <c r="B497" t="s">
        <v>22</v>
      </c>
      <c r="C497" t="s">
        <v>885</v>
      </c>
      <c r="D497" t="s">
        <v>1834</v>
      </c>
      <c r="E497" t="s">
        <v>1835</v>
      </c>
      <c r="F497" t="s">
        <v>836</v>
      </c>
      <c r="G497" s="35">
        <v>55.42</v>
      </c>
      <c r="H497" s="33">
        <f>G497*(1-IFERROR(VLOOKUP(F497,'enter the discount'!$D$10:$E$40,2,FALSE),0))</f>
        <v>55.42</v>
      </c>
      <c r="I497" s="35" t="s">
        <v>2598</v>
      </c>
      <c r="J497" s="33" t="s">
        <v>745</v>
      </c>
      <c r="K497" s="33" t="s">
        <v>2749</v>
      </c>
      <c r="L497">
        <v>10</v>
      </c>
      <c r="M497"/>
      <c r="N497" t="s">
        <v>2755</v>
      </c>
      <c r="O497" s="34" t="str">
        <f>HYPERLINK("https://b2b.kobi.pl/pl/product/10043,plafon-z-czujnikiem-ruchu-led-nairos-g2-24w-3cct-lx-ip65-czarny-kobi-premium?currency=PLN")</f>
        <v>https://b2b.kobi.pl/pl/product/10043,plafon-z-czujnikiem-ruchu-led-nairos-g2-24w-3cct-lx-ip65-czarny-kobi-premium?currency=PLN</v>
      </c>
      <c r="P497" s="34" t="str">
        <f>HYPERLINK("https://eprel.ec.europa.eu/qr/2058756")</f>
        <v>https://eprel.ec.europa.eu/qr/2058756</v>
      </c>
      <c r="Q497"/>
    </row>
    <row r="498" spans="1:17" ht="14.4" x14ac:dyDescent="0.3">
      <c r="A498" t="s">
        <v>10</v>
      </c>
      <c r="B498" t="s">
        <v>22</v>
      </c>
      <c r="C498" t="s">
        <v>885</v>
      </c>
      <c r="D498" t="s">
        <v>1836</v>
      </c>
      <c r="E498" t="s">
        <v>1837</v>
      </c>
      <c r="F498" t="s">
        <v>836</v>
      </c>
      <c r="G498" s="35">
        <v>71.08</v>
      </c>
      <c r="H498" s="33">
        <f>G498*(1-IFERROR(VLOOKUP(F498,'enter the discount'!$D$10:$E$40,2,FALSE),0))</f>
        <v>71.08</v>
      </c>
      <c r="I498" s="35" t="s">
        <v>2598</v>
      </c>
      <c r="J498" s="33" t="s">
        <v>746</v>
      </c>
      <c r="K498" s="33" t="s">
        <v>2749</v>
      </c>
      <c r="L498">
        <v>10</v>
      </c>
      <c r="M498"/>
      <c r="N498" t="s">
        <v>2755</v>
      </c>
      <c r="O498" s="34" t="str">
        <f>HYPERLINK("https://b2b.kobi.pl/pl/product/10044,plafon-z-czujnikiem-ruchu-led-nairos-g2-36w-3cct-lx-ip65-bialy-kobi-premium?currency=PLN")</f>
        <v>https://b2b.kobi.pl/pl/product/10044,plafon-z-czujnikiem-ruchu-led-nairos-g2-36w-3cct-lx-ip65-bialy-kobi-premium?currency=PLN</v>
      </c>
      <c r="P498" s="34" t="str">
        <f>HYPERLINK("https://eprel.ec.europa.eu/qr/2058805")</f>
        <v>https://eprel.ec.europa.eu/qr/2058805</v>
      </c>
      <c r="Q498"/>
    </row>
    <row r="499" spans="1:17" ht="14.4" x14ac:dyDescent="0.3">
      <c r="A499" t="s">
        <v>10</v>
      </c>
      <c r="B499" t="s">
        <v>22</v>
      </c>
      <c r="C499" t="s">
        <v>885</v>
      </c>
      <c r="D499" t="s">
        <v>1838</v>
      </c>
      <c r="E499" t="s">
        <v>1839</v>
      </c>
      <c r="F499" t="s">
        <v>836</v>
      </c>
      <c r="G499" s="35">
        <v>25.39</v>
      </c>
      <c r="H499" s="33">
        <f>G499*(1-IFERROR(VLOOKUP(F499,'enter the discount'!$D$10:$E$40,2,FALSE),0))</f>
        <v>25.39</v>
      </c>
      <c r="I499" s="35" t="s">
        <v>2605</v>
      </c>
      <c r="J499" s="33" t="s">
        <v>441</v>
      </c>
      <c r="K499" s="33" t="s">
        <v>2749</v>
      </c>
      <c r="L499">
        <v>5</v>
      </c>
      <c r="M499">
        <v>120</v>
      </c>
      <c r="N499" t="s">
        <v>2755</v>
      </c>
      <c r="O499" s="34" t="str">
        <f>HYPERLINK("https://b2b.kobi.pl/pl/product/10201,plafon-z-czujnikiem-ruchu-led-sofi-13w-4000k-lx-kobi-premium?currency=PLN")</f>
        <v>https://b2b.kobi.pl/pl/product/10201,plafon-z-czujnikiem-ruchu-led-sofi-13w-4000k-lx-kobi-premium?currency=PLN</v>
      </c>
      <c r="P499" s="34" t="str">
        <f>HYPERLINK("https://eprel.ec.europa.eu/qr/1998293")</f>
        <v>https://eprel.ec.europa.eu/qr/1998293</v>
      </c>
      <c r="Q499"/>
    </row>
    <row r="500" spans="1:17" ht="14.4" x14ac:dyDescent="0.3">
      <c r="A500" t="s">
        <v>10</v>
      </c>
      <c r="B500" t="s">
        <v>22</v>
      </c>
      <c r="C500" t="s">
        <v>910</v>
      </c>
      <c r="D500" t="s">
        <v>1840</v>
      </c>
      <c r="E500" t="s">
        <v>1841</v>
      </c>
      <c r="F500" t="s">
        <v>836</v>
      </c>
      <c r="G500" s="35">
        <v>21.2</v>
      </c>
      <c r="H500" s="33">
        <f>G500*(1-IFERROR(VLOOKUP(F500,'enter the discount'!$D$10:$E$40,2,FALSE),0))</f>
        <v>21.2</v>
      </c>
      <c r="I500" s="35" t="s">
        <v>2609</v>
      </c>
      <c r="J500" s="33" t="s">
        <v>168</v>
      </c>
      <c r="K500" s="33" t="s">
        <v>2749</v>
      </c>
      <c r="L500">
        <v>10</v>
      </c>
      <c r="M500">
        <v>80</v>
      </c>
      <c r="N500" t="s">
        <v>2754</v>
      </c>
      <c r="O500" s="34" t="str">
        <f>HYPERLINK("https://b2b.kobi.pl/pl/product/10279,plafon-romero-2xe27-chrom-kobi?currency=PLN")</f>
        <v>https://b2b.kobi.pl/pl/product/10279,plafon-romero-2xe27-chrom-kobi?currency=PLN</v>
      </c>
      <c r="P500" t="s">
        <v>3</v>
      </c>
      <c r="Q500"/>
    </row>
    <row r="501" spans="1:17" ht="14.4" x14ac:dyDescent="0.3">
      <c r="A501" t="s">
        <v>10</v>
      </c>
      <c r="B501" t="s">
        <v>22</v>
      </c>
      <c r="C501" t="s">
        <v>910</v>
      </c>
      <c r="D501" t="s">
        <v>1842</v>
      </c>
      <c r="E501" t="s">
        <v>1843</v>
      </c>
      <c r="F501" t="s">
        <v>836</v>
      </c>
      <c r="G501" s="35">
        <v>23.37</v>
      </c>
      <c r="H501" s="33">
        <f>G501*(1-IFERROR(VLOOKUP(F501,'enter the discount'!$D$10:$E$40,2,FALSE),0))</f>
        <v>23.37</v>
      </c>
      <c r="I501" s="35" t="s">
        <v>2609</v>
      </c>
      <c r="J501" s="33" t="s">
        <v>169</v>
      </c>
      <c r="K501" s="33" t="s">
        <v>2749</v>
      </c>
      <c r="L501">
        <v>10</v>
      </c>
      <c r="M501">
        <v>80</v>
      </c>
      <c r="N501" t="s">
        <v>2754</v>
      </c>
      <c r="O501" s="34" t="str">
        <f>HYPERLINK("https://b2b.kobi.pl/pl/product/10281,plafon-romero-2xe27-czarna-kobi?currency=PLN")</f>
        <v>https://b2b.kobi.pl/pl/product/10281,plafon-romero-2xe27-czarna-kobi?currency=PLN</v>
      </c>
      <c r="P501" t="s">
        <v>3</v>
      </c>
      <c r="Q501"/>
    </row>
    <row r="502" spans="1:17" ht="14.4" x14ac:dyDescent="0.3">
      <c r="A502" t="s">
        <v>10</v>
      </c>
      <c r="B502" t="s">
        <v>22</v>
      </c>
      <c r="C502" t="s">
        <v>910</v>
      </c>
      <c r="D502" t="s">
        <v>1844</v>
      </c>
      <c r="E502" t="s">
        <v>1845</v>
      </c>
      <c r="F502" t="s">
        <v>836</v>
      </c>
      <c r="G502" s="35">
        <v>27.77</v>
      </c>
      <c r="H502" s="33">
        <f>G502*(1-IFERROR(VLOOKUP(F502,'enter the discount'!$D$10:$E$40,2,FALSE),0))</f>
        <v>27.77</v>
      </c>
      <c r="I502" s="35" t="s">
        <v>2609</v>
      </c>
      <c r="J502" s="33" t="s">
        <v>170</v>
      </c>
      <c r="K502" s="33" t="s">
        <v>2749</v>
      </c>
      <c r="L502">
        <v>10</v>
      </c>
      <c r="M502">
        <v>80</v>
      </c>
      <c r="N502" t="s">
        <v>2754</v>
      </c>
      <c r="O502" s="34" t="str">
        <f>HYPERLINK("https://b2b.kobi.pl/pl/product/10288,plafon-samira-s-2xe27-chrom-kobi?currency=PLN")</f>
        <v>https://b2b.kobi.pl/pl/product/10288,plafon-samira-s-2xe27-chrom-kobi?currency=PLN</v>
      </c>
      <c r="P502" t="s">
        <v>3</v>
      </c>
      <c r="Q502"/>
    </row>
    <row r="503" spans="1:17" ht="14.4" x14ac:dyDescent="0.3">
      <c r="A503" t="s">
        <v>10</v>
      </c>
      <c r="B503" t="s">
        <v>22</v>
      </c>
      <c r="C503" t="s">
        <v>910</v>
      </c>
      <c r="D503" t="s">
        <v>1846</v>
      </c>
      <c r="E503" t="s">
        <v>1847</v>
      </c>
      <c r="F503" t="s">
        <v>836</v>
      </c>
      <c r="G503" s="35">
        <v>27.77</v>
      </c>
      <c r="H503" s="33">
        <f>G503*(1-IFERROR(VLOOKUP(F503,'enter the discount'!$D$10:$E$40,2,FALSE),0))</f>
        <v>27.77</v>
      </c>
      <c r="I503" s="35" t="s">
        <v>2609</v>
      </c>
      <c r="J503" s="33" t="s">
        <v>171</v>
      </c>
      <c r="K503" s="33" t="s">
        <v>2749</v>
      </c>
      <c r="L503">
        <v>10</v>
      </c>
      <c r="M503">
        <v>80</v>
      </c>
      <c r="N503" t="s">
        <v>2754</v>
      </c>
      <c r="O503" s="34" t="str">
        <f>HYPERLINK("https://b2b.kobi.pl/pl/product/10289,plafon-samira-s-2xe27-czarny-kobi?currency=PLN")</f>
        <v>https://b2b.kobi.pl/pl/product/10289,plafon-samira-s-2xe27-czarny-kobi?currency=PLN</v>
      </c>
      <c r="P503" t="s">
        <v>3</v>
      </c>
      <c r="Q503"/>
    </row>
    <row r="504" spans="1:17" ht="14.4" x14ac:dyDescent="0.3">
      <c r="A504" t="s">
        <v>10</v>
      </c>
      <c r="B504" t="s">
        <v>22</v>
      </c>
      <c r="C504" t="s">
        <v>910</v>
      </c>
      <c r="D504" t="s">
        <v>1848</v>
      </c>
      <c r="E504" t="s">
        <v>1849</v>
      </c>
      <c r="F504" t="s">
        <v>836</v>
      </c>
      <c r="G504" s="35">
        <v>34.340000000000003</v>
      </c>
      <c r="H504" s="33">
        <f>G504*(1-IFERROR(VLOOKUP(F504,'enter the discount'!$D$10:$E$40,2,FALSE),0))</f>
        <v>34.340000000000003</v>
      </c>
      <c r="I504" s="35" t="s">
        <v>2609</v>
      </c>
      <c r="J504" s="33" t="s">
        <v>463</v>
      </c>
      <c r="K504" s="33" t="s">
        <v>2749</v>
      </c>
      <c r="L504">
        <v>5</v>
      </c>
      <c r="M504">
        <v>80</v>
      </c>
      <c r="N504" t="s">
        <v>2754</v>
      </c>
      <c r="O504" s="34" t="str">
        <f>HYPERLINK("https://b2b.kobi.pl/pl/product/10286,plafon-samira-b-2xe27-chrom-kobi?currency=PLN")</f>
        <v>https://b2b.kobi.pl/pl/product/10286,plafon-samira-b-2xe27-chrom-kobi?currency=PLN</v>
      </c>
      <c r="P504" t="s">
        <v>3</v>
      </c>
      <c r="Q504"/>
    </row>
    <row r="505" spans="1:17" ht="14.4" x14ac:dyDescent="0.3">
      <c r="A505" t="s">
        <v>10</v>
      </c>
      <c r="B505" t="s">
        <v>22</v>
      </c>
      <c r="C505" t="s">
        <v>910</v>
      </c>
      <c r="D505" t="s">
        <v>1850</v>
      </c>
      <c r="E505" t="s">
        <v>1851</v>
      </c>
      <c r="F505" t="s">
        <v>836</v>
      </c>
      <c r="G505" s="35">
        <v>34.340000000000003</v>
      </c>
      <c r="H505" s="33">
        <f>G505*(1-IFERROR(VLOOKUP(F505,'enter the discount'!$D$10:$E$40,2,FALSE),0))</f>
        <v>34.340000000000003</v>
      </c>
      <c r="I505" s="35" t="s">
        <v>2609</v>
      </c>
      <c r="J505" s="33" t="s">
        <v>464</v>
      </c>
      <c r="K505" s="33" t="s">
        <v>2749</v>
      </c>
      <c r="L505">
        <v>5</v>
      </c>
      <c r="M505">
        <v>80</v>
      </c>
      <c r="N505" t="s">
        <v>2754</v>
      </c>
      <c r="O505" s="34" t="str">
        <f>HYPERLINK("https://b2b.kobi.pl/pl/product/10287,plafon-samira-b-2xe27-czarny-kobi?currency=PLN")</f>
        <v>https://b2b.kobi.pl/pl/product/10287,plafon-samira-b-2xe27-czarny-kobi?currency=PLN</v>
      </c>
      <c r="P505" t="s">
        <v>3</v>
      </c>
      <c r="Q505" t="s">
        <v>2775</v>
      </c>
    </row>
    <row r="506" spans="1:17" ht="14.4" x14ac:dyDescent="0.3">
      <c r="A506" t="s">
        <v>10</v>
      </c>
      <c r="B506" t="s">
        <v>27</v>
      </c>
      <c r="C506" t="s">
        <v>910</v>
      </c>
      <c r="D506" t="s">
        <v>1852</v>
      </c>
      <c r="E506" t="s">
        <v>1853</v>
      </c>
      <c r="F506" t="s">
        <v>835</v>
      </c>
      <c r="G506" s="35">
        <v>7.24</v>
      </c>
      <c r="H506" s="33">
        <f>G506*(1-IFERROR(VLOOKUP(F506,'enter the discount'!$D$10:$E$40,2,FALSE),0))</f>
        <v>7.24</v>
      </c>
      <c r="I506" s="35" t="s">
        <v>2609</v>
      </c>
      <c r="J506" s="33" t="s">
        <v>304</v>
      </c>
      <c r="K506" s="33" t="s">
        <v>2749</v>
      </c>
      <c r="L506">
        <v>1</v>
      </c>
      <c r="M506"/>
      <c r="N506" t="s">
        <v>2758</v>
      </c>
      <c r="O506" s="34" t="str">
        <f>HYPERLINK("https://b2b.kobi.pl/pl/product/10143,akumulator-li-ion-18650-3-7v-3ah-do-solar-led-mhc-5w?currency=PLN")</f>
        <v>https://b2b.kobi.pl/pl/product/10143,akumulator-li-ion-18650-3-7v-3ah-do-solar-led-mhc-5w?currency=PLN</v>
      </c>
      <c r="P506" t="s">
        <v>3</v>
      </c>
      <c r="Q506" t="s">
        <v>2775</v>
      </c>
    </row>
    <row r="507" spans="1:17" ht="14.4" x14ac:dyDescent="0.3">
      <c r="A507" t="s">
        <v>10</v>
      </c>
      <c r="B507" t="s">
        <v>27</v>
      </c>
      <c r="C507" t="s">
        <v>910</v>
      </c>
      <c r="D507" t="s">
        <v>1854</v>
      </c>
      <c r="E507" t="s">
        <v>1855</v>
      </c>
      <c r="F507" t="s">
        <v>835</v>
      </c>
      <c r="G507" s="35">
        <v>17.98</v>
      </c>
      <c r="H507" s="33">
        <f>G507*(1-IFERROR(VLOOKUP(F507,'enter the discount'!$D$10:$E$40,2,FALSE),0))</f>
        <v>17.98</v>
      </c>
      <c r="I507" s="35" t="s">
        <v>2609</v>
      </c>
      <c r="J507" s="33" t="s">
        <v>305</v>
      </c>
      <c r="K507" s="33" t="s">
        <v>2749</v>
      </c>
      <c r="L507">
        <v>1</v>
      </c>
      <c r="M507"/>
      <c r="N507" t="s">
        <v>2758</v>
      </c>
      <c r="O507" s="34" t="str">
        <f>HYPERLINK("https://b2b.kobi.pl/pl/product/10141,akumulator-li-ion-18650-3-7v-7-2ah-do-solar-led-mhc-s-10w?currency=PLN")</f>
        <v>https://b2b.kobi.pl/pl/product/10141,akumulator-li-ion-18650-3-7v-7-2ah-do-solar-led-mhc-s-10w?currency=PLN</v>
      </c>
      <c r="P507" t="s">
        <v>3</v>
      </c>
      <c r="Q507" t="s">
        <v>2775</v>
      </c>
    </row>
    <row r="508" spans="1:17" ht="14.4" x14ac:dyDescent="0.3">
      <c r="A508" t="s">
        <v>10</v>
      </c>
      <c r="B508" t="s">
        <v>27</v>
      </c>
      <c r="C508" t="s">
        <v>910</v>
      </c>
      <c r="D508" t="s">
        <v>1856</v>
      </c>
      <c r="E508" t="s">
        <v>1857</v>
      </c>
      <c r="F508" t="s">
        <v>835</v>
      </c>
      <c r="G508" s="35">
        <v>26.97</v>
      </c>
      <c r="H508" s="33">
        <f>G508*(1-IFERROR(VLOOKUP(F508,'enter the discount'!$D$10:$E$40,2,FALSE),0))</f>
        <v>26.97</v>
      </c>
      <c r="I508" s="35" t="s">
        <v>2609</v>
      </c>
      <c r="J508" s="33" t="s">
        <v>306</v>
      </c>
      <c r="K508" s="33" t="s">
        <v>2749</v>
      </c>
      <c r="L508">
        <v>1</v>
      </c>
      <c r="M508"/>
      <c r="N508" t="s">
        <v>2758</v>
      </c>
      <c r="O508" s="34" t="str">
        <f>HYPERLINK("https://b2b.kobi.pl/pl/product/10155,akumulator-li-ion-18650-7-4v-5-4ah-do-solar-led-street-15w?currency=PLN")</f>
        <v>https://b2b.kobi.pl/pl/product/10155,akumulator-li-ion-18650-7-4v-5-4ah-do-solar-led-street-15w?currency=PLN</v>
      </c>
      <c r="P508" t="s">
        <v>3</v>
      </c>
      <c r="Q508" t="s">
        <v>2775</v>
      </c>
    </row>
    <row r="509" spans="1:17" ht="14.4" x14ac:dyDescent="0.3">
      <c r="A509" t="s">
        <v>10</v>
      </c>
      <c r="B509" t="s">
        <v>27</v>
      </c>
      <c r="C509" t="s">
        <v>30</v>
      </c>
      <c r="D509" t="s">
        <v>1858</v>
      </c>
      <c r="E509" t="s">
        <v>1859</v>
      </c>
      <c r="F509" t="s">
        <v>835</v>
      </c>
      <c r="G509" s="35">
        <v>57.97</v>
      </c>
      <c r="H509" s="33">
        <f>G509*(1-IFERROR(VLOOKUP(F509,'enter the discount'!$D$10:$E$40,2,FALSE),0))</f>
        <v>57.97</v>
      </c>
      <c r="I509" s="35" t="s">
        <v>2609</v>
      </c>
      <c r="J509" s="33" t="s">
        <v>199</v>
      </c>
      <c r="K509" s="33" t="s">
        <v>2749</v>
      </c>
      <c r="L509">
        <v>12</v>
      </c>
      <c r="M509">
        <v>288</v>
      </c>
      <c r="N509" t="s">
        <v>2754</v>
      </c>
      <c r="O509" s="34" t="str">
        <f>HYPERLINK("https://b2b.kobi.pl/pl/product/9972,naswietlacz-z-czujnikiem-ruchu-solar-led-ncs-10w-6500k-ip65-led2b?currency=PLN")</f>
        <v>https://b2b.kobi.pl/pl/product/9972,naswietlacz-z-czujnikiem-ruchu-solar-led-ncs-10w-6500k-ip65-led2b?currency=PLN</v>
      </c>
      <c r="P509" t="s">
        <v>3</v>
      </c>
      <c r="Q509" t="s">
        <v>2775</v>
      </c>
    </row>
    <row r="510" spans="1:17" ht="14.4" x14ac:dyDescent="0.3">
      <c r="A510" t="s">
        <v>10</v>
      </c>
      <c r="B510" t="s">
        <v>27</v>
      </c>
      <c r="C510" t="s">
        <v>30</v>
      </c>
      <c r="D510" t="s">
        <v>1860</v>
      </c>
      <c r="E510" t="s">
        <v>1861</v>
      </c>
      <c r="F510" t="s">
        <v>835</v>
      </c>
      <c r="G510" s="35">
        <v>74.599999999999994</v>
      </c>
      <c r="H510" s="33">
        <f>G510*(1-IFERROR(VLOOKUP(F510,'enter the discount'!$D$10:$E$40,2,FALSE),0))</f>
        <v>74.599999999999994</v>
      </c>
      <c r="I510" s="35" t="s">
        <v>2609</v>
      </c>
      <c r="J510" s="33" t="s">
        <v>200</v>
      </c>
      <c r="K510" s="33" t="s">
        <v>2749</v>
      </c>
      <c r="L510">
        <v>10</v>
      </c>
      <c r="M510">
        <v>180</v>
      </c>
      <c r="N510" t="s">
        <v>2754</v>
      </c>
      <c r="O510" s="34" t="str">
        <f>HYPERLINK("https://b2b.kobi.pl/pl/product/9973,naswietlacz-z-czujnikiem-ruchu-solar-led-ncs-20w-6500k-ip65-led2b?currency=PLN")</f>
        <v>https://b2b.kobi.pl/pl/product/9973,naswietlacz-z-czujnikiem-ruchu-solar-led-ncs-20w-6500k-ip65-led2b?currency=PLN</v>
      </c>
      <c r="P510" t="s">
        <v>3</v>
      </c>
      <c r="Q510" t="s">
        <v>2775</v>
      </c>
    </row>
    <row r="511" spans="1:17" ht="14.4" x14ac:dyDescent="0.3">
      <c r="A511" t="s">
        <v>10</v>
      </c>
      <c r="B511" t="s">
        <v>27</v>
      </c>
      <c r="C511" t="s">
        <v>30</v>
      </c>
      <c r="D511" t="s">
        <v>1862</v>
      </c>
      <c r="E511" t="s">
        <v>1863</v>
      </c>
      <c r="F511" t="s">
        <v>835</v>
      </c>
      <c r="G511" s="35">
        <v>91.52</v>
      </c>
      <c r="H511" s="33">
        <f>G511*(1-IFERROR(VLOOKUP(F511,'enter the discount'!$D$10:$E$40,2,FALSE),0))</f>
        <v>91.52</v>
      </c>
      <c r="I511" s="35" t="s">
        <v>2609</v>
      </c>
      <c r="J511" s="33" t="s">
        <v>201</v>
      </c>
      <c r="K511" s="33" t="s">
        <v>2749</v>
      </c>
      <c r="L511">
        <v>8</v>
      </c>
      <c r="M511">
        <v>104</v>
      </c>
      <c r="N511" t="s">
        <v>2754</v>
      </c>
      <c r="O511" s="34" t="str">
        <f>HYPERLINK("https://b2b.kobi.pl/pl/product/9974,naswietlacz-z-czujnikiem-ruchu-solar-led-ncs-30w-6500k-ip65-led2b?currency=PLN")</f>
        <v>https://b2b.kobi.pl/pl/product/9974,naswietlacz-z-czujnikiem-ruchu-solar-led-ncs-30w-6500k-ip65-led2b?currency=PLN</v>
      </c>
      <c r="P511" t="s">
        <v>3</v>
      </c>
      <c r="Q511" t="s">
        <v>2775</v>
      </c>
    </row>
    <row r="512" spans="1:17" ht="14.4" x14ac:dyDescent="0.3">
      <c r="A512" t="s">
        <v>10</v>
      </c>
      <c r="B512" t="s">
        <v>27</v>
      </c>
      <c r="C512" t="s">
        <v>885</v>
      </c>
      <c r="D512" t="s">
        <v>1864</v>
      </c>
      <c r="E512" t="s">
        <v>1865</v>
      </c>
      <c r="F512" t="s">
        <v>835</v>
      </c>
      <c r="G512" s="35">
        <v>67.47</v>
      </c>
      <c r="H512" s="33">
        <f>G512*(1-IFERROR(VLOOKUP(F512,'enter the discount'!$D$10:$E$40,2,FALSE),0))</f>
        <v>67.47</v>
      </c>
      <c r="I512" s="35" t="s">
        <v>2609</v>
      </c>
      <c r="J512" s="33" t="s">
        <v>455</v>
      </c>
      <c r="K512" s="33" t="s">
        <v>2749</v>
      </c>
      <c r="L512">
        <v>12</v>
      </c>
      <c r="M512">
        <v>432</v>
      </c>
      <c r="N512" t="s">
        <v>2754</v>
      </c>
      <c r="O512" s="34" t="str">
        <f>HYPERLINK("https://b2b.kobi.pl/pl/product/10151,naswietlacz-solar-led-mhcs-10w-4000k-ip65-kobi-premium?currency=PLN")</f>
        <v>https://b2b.kobi.pl/pl/product/10151,naswietlacz-solar-led-mhcs-10w-4000k-ip65-kobi-premium?currency=PLN</v>
      </c>
      <c r="P512" t="s">
        <v>3</v>
      </c>
      <c r="Q512" t="s">
        <v>2775</v>
      </c>
    </row>
    <row r="513" spans="1:17" ht="14.4" x14ac:dyDescent="0.3">
      <c r="A513" t="s">
        <v>10</v>
      </c>
      <c r="B513" t="s">
        <v>27</v>
      </c>
      <c r="C513" t="s">
        <v>885</v>
      </c>
      <c r="D513" t="s">
        <v>1866</v>
      </c>
      <c r="E513" t="s">
        <v>1867</v>
      </c>
      <c r="F513" t="s">
        <v>835</v>
      </c>
      <c r="G513" s="35">
        <v>121.45</v>
      </c>
      <c r="H513" s="33">
        <f>G513*(1-IFERROR(VLOOKUP(F513,'enter the discount'!$D$10:$E$40,2,FALSE),0))</f>
        <v>121.45</v>
      </c>
      <c r="I513" s="35" t="s">
        <v>2609</v>
      </c>
      <c r="J513" s="33" t="s">
        <v>456</v>
      </c>
      <c r="K513" s="33" t="s">
        <v>2749</v>
      </c>
      <c r="L513">
        <v>8</v>
      </c>
      <c r="M513">
        <v>128</v>
      </c>
      <c r="N513" t="s">
        <v>2755</v>
      </c>
      <c r="O513" s="34" t="str">
        <f>HYPERLINK("https://b2b.kobi.pl/pl/product/10146,naswietlacz-solarz-czujnikiem-ruchu-led-mhcs-30w-4000k-ip65-kobi-premium?currency=PLN")</f>
        <v>https://b2b.kobi.pl/pl/product/10146,naswietlacz-solarz-czujnikiem-ruchu-led-mhcs-30w-4000k-ip65-kobi-premium?currency=PLN</v>
      </c>
      <c r="P513" t="s">
        <v>3</v>
      </c>
      <c r="Q513" t="s">
        <v>2775</v>
      </c>
    </row>
    <row r="514" spans="1:17" ht="14.4" x14ac:dyDescent="0.3">
      <c r="A514" t="s">
        <v>10</v>
      </c>
      <c r="B514" t="s">
        <v>27</v>
      </c>
      <c r="C514" t="s">
        <v>910</v>
      </c>
      <c r="D514" t="s">
        <v>1868</v>
      </c>
      <c r="E514" t="s">
        <v>1869</v>
      </c>
      <c r="F514" t="s">
        <v>835</v>
      </c>
      <c r="G514" s="35">
        <v>46.71</v>
      </c>
      <c r="H514" s="33">
        <f>G514*(1-IFERROR(VLOOKUP(F514,'enter the discount'!$D$10:$E$40,2,FALSE),0))</f>
        <v>46.71</v>
      </c>
      <c r="I514" s="35" t="s">
        <v>2609</v>
      </c>
      <c r="J514" s="33" t="s">
        <v>197</v>
      </c>
      <c r="K514" s="33" t="s">
        <v>2749</v>
      </c>
      <c r="L514">
        <v>18</v>
      </c>
      <c r="M514">
        <v>576</v>
      </c>
      <c r="N514" t="s">
        <v>2754</v>
      </c>
      <c r="O514" s="34" t="str">
        <f>HYPERLINK("https://b2b.kobi.pl/pl/product/10144,naswietlacz-z-czujnikiem-ruchu-solar-led-mhc-5w-4000k-ip65-kobi?currency=PLN")</f>
        <v>https://b2b.kobi.pl/pl/product/10144,naswietlacz-z-czujnikiem-ruchu-solar-led-mhc-5w-4000k-ip65-kobi?currency=PLN</v>
      </c>
      <c r="P514" t="s">
        <v>3</v>
      </c>
      <c r="Q514"/>
    </row>
    <row r="515" spans="1:17" ht="14.4" x14ac:dyDescent="0.3">
      <c r="A515" t="s">
        <v>10</v>
      </c>
      <c r="B515" t="s">
        <v>27</v>
      </c>
      <c r="C515" t="s">
        <v>910</v>
      </c>
      <c r="D515" t="s">
        <v>1870</v>
      </c>
      <c r="E515" t="s">
        <v>1871</v>
      </c>
      <c r="F515" t="s">
        <v>835</v>
      </c>
      <c r="G515" s="35">
        <v>93.53</v>
      </c>
      <c r="H515" s="33">
        <f>G515*(1-IFERROR(VLOOKUP(F515,'enter the discount'!$D$10:$E$40,2,FALSE),0))</f>
        <v>93.53</v>
      </c>
      <c r="I515" s="35" t="s">
        <v>2609</v>
      </c>
      <c r="J515" s="33" t="s">
        <v>198</v>
      </c>
      <c r="K515" s="33" t="s">
        <v>2749</v>
      </c>
      <c r="L515">
        <v>8</v>
      </c>
      <c r="M515">
        <v>240</v>
      </c>
      <c r="N515" t="s">
        <v>2754</v>
      </c>
      <c r="O515" s="34" t="str">
        <f>HYPERLINK("https://b2b.kobi.pl/pl/product/10142,naswietlacz-z-czujnikiem-ruchu-solar-led-mhc-10w-4000k-ip65-kobi?currency=PLN")</f>
        <v>https://b2b.kobi.pl/pl/product/10142,naswietlacz-z-czujnikiem-ruchu-solar-led-mhc-10w-4000k-ip65-kobi?currency=PLN</v>
      </c>
      <c r="P515" t="s">
        <v>3</v>
      </c>
      <c r="Q515"/>
    </row>
    <row r="516" spans="1:17" ht="14.4" x14ac:dyDescent="0.3">
      <c r="A516" t="s">
        <v>10</v>
      </c>
      <c r="B516" t="s">
        <v>27</v>
      </c>
      <c r="C516" t="s">
        <v>910</v>
      </c>
      <c r="D516" t="s">
        <v>1872</v>
      </c>
      <c r="E516" t="s">
        <v>1873</v>
      </c>
      <c r="F516" t="s">
        <v>835</v>
      </c>
      <c r="G516" s="35">
        <v>52.8</v>
      </c>
      <c r="H516" s="33">
        <f>G516*(1-IFERROR(VLOOKUP(F516,'enter the discount'!$D$10:$E$40,2,FALSE),0))</f>
        <v>52.8</v>
      </c>
      <c r="I516" s="35" t="s">
        <v>2609</v>
      </c>
      <c r="J516" s="33" t="s">
        <v>715</v>
      </c>
      <c r="K516" s="33" t="s">
        <v>2749</v>
      </c>
      <c r="L516">
        <v>8</v>
      </c>
      <c r="M516">
        <v>288</v>
      </c>
      <c r="N516" t="s">
        <v>2754</v>
      </c>
      <c r="O516" s="34" t="str">
        <f>HYPERLINK("https://b2b.kobi.pl/pl/product/10147,naswietlacz-z-czujnikiem-ruchu-solar-led-kobi-new-phoenix-13w-4000k-ip65-kobi?currency=PLN")</f>
        <v>https://b2b.kobi.pl/pl/product/10147,naswietlacz-z-czujnikiem-ruchu-solar-led-kobi-new-phoenix-13w-4000k-ip65-kobi?currency=PLN</v>
      </c>
      <c r="P516" t="s">
        <v>3</v>
      </c>
      <c r="Q516"/>
    </row>
    <row r="517" spans="1:17" ht="14.4" x14ac:dyDescent="0.3">
      <c r="A517" t="s">
        <v>11</v>
      </c>
      <c r="B517" t="s">
        <v>1874</v>
      </c>
      <c r="C517" t="s">
        <v>1875</v>
      </c>
      <c r="D517" t="s">
        <v>1876</v>
      </c>
      <c r="E517" t="s">
        <v>1877</v>
      </c>
      <c r="F517" t="s">
        <v>848</v>
      </c>
      <c r="G517" s="35">
        <v>31.37</v>
      </c>
      <c r="H517" s="33">
        <f>G517*(1-IFERROR(VLOOKUP(F517,'enter the discount'!$D$10:$E$40,2,FALSE),0))</f>
        <v>31.37</v>
      </c>
      <c r="I517" s="35" t="s">
        <v>2609</v>
      </c>
      <c r="J517" s="33" t="s">
        <v>582</v>
      </c>
      <c r="K517" s="33" t="s">
        <v>2749</v>
      </c>
      <c r="L517">
        <v>4</v>
      </c>
      <c r="M517"/>
      <c r="N517" t="s">
        <v>2754</v>
      </c>
      <c r="O517" s="34" t="str">
        <f>HYPERLINK("https://b2b.kobi.pl/pl/product/9777,girlanda-crete-5xe27-5m-kobi-design?currency=PLN")</f>
        <v>https://b2b.kobi.pl/pl/product/9777,girlanda-crete-5xe27-5m-kobi-design?currency=PLN</v>
      </c>
      <c r="P517" t="s">
        <v>3</v>
      </c>
      <c r="Q517" t="s">
        <v>2775</v>
      </c>
    </row>
    <row r="518" spans="1:17" ht="14.4" x14ac:dyDescent="0.3">
      <c r="A518" t="s">
        <v>11</v>
      </c>
      <c r="B518" t="s">
        <v>1874</v>
      </c>
      <c r="C518" t="s">
        <v>1875</v>
      </c>
      <c r="D518" t="s">
        <v>1878</v>
      </c>
      <c r="E518" t="s">
        <v>1879</v>
      </c>
      <c r="F518" t="s">
        <v>848</v>
      </c>
      <c r="G518" s="35">
        <v>25.27</v>
      </c>
      <c r="H518" s="33">
        <f>G518*(1-IFERROR(VLOOKUP(F518,'enter the discount'!$D$10:$E$40,2,FALSE),0))</f>
        <v>25.27</v>
      </c>
      <c r="I518" s="35" t="s">
        <v>2609</v>
      </c>
      <c r="J518" s="33" t="s">
        <v>583</v>
      </c>
      <c r="K518" s="33" t="s">
        <v>2750</v>
      </c>
      <c r="L518">
        <v>20</v>
      </c>
      <c r="M518"/>
      <c r="N518" t="s">
        <v>2754</v>
      </c>
      <c r="O518" s="34" t="str">
        <f>HYPERLINK("https://b2b.kobi.pl/pl/product/9780,klosz-do-zestawu-crete-ls-d1-czarny-5-sztuk-kobi-design?currency=PLN")</f>
        <v>https://b2b.kobi.pl/pl/product/9780,klosz-do-zestawu-crete-ls-d1-czarny-5-sztuk-kobi-design?currency=PLN</v>
      </c>
      <c r="P518" t="s">
        <v>3</v>
      </c>
      <c r="Q518" t="s">
        <v>2775</v>
      </c>
    </row>
    <row r="519" spans="1:17" ht="14.4" x14ac:dyDescent="0.3">
      <c r="A519" t="s">
        <v>11</v>
      </c>
      <c r="B519" t="s">
        <v>1874</v>
      </c>
      <c r="C519" t="s">
        <v>1875</v>
      </c>
      <c r="D519" t="s">
        <v>1880</v>
      </c>
      <c r="E519" t="s">
        <v>1881</v>
      </c>
      <c r="F519" t="s">
        <v>848</v>
      </c>
      <c r="G519" s="35">
        <v>23.45</v>
      </c>
      <c r="H519" s="33">
        <f>G519*(1-IFERROR(VLOOKUP(F519,'enter the discount'!$D$10:$E$40,2,FALSE),0))</f>
        <v>23.45</v>
      </c>
      <c r="I519" s="35" t="s">
        <v>2609</v>
      </c>
      <c r="J519" s="33" t="s">
        <v>586</v>
      </c>
      <c r="K519" s="33" t="s">
        <v>2750</v>
      </c>
      <c r="L519">
        <v>20</v>
      </c>
      <c r="M519"/>
      <c r="N519" t="s">
        <v>2754</v>
      </c>
      <c r="O519" s="34" t="str">
        <f>HYPERLINK("https://b2b.kobi.pl/pl/product/9778,klosz-do-zestawu-crete-ls-m1-czarny-5-sztuk-kobi-design?currency=PLN")</f>
        <v>https://b2b.kobi.pl/pl/product/9778,klosz-do-zestawu-crete-ls-m1-czarny-5-sztuk-kobi-design?currency=PLN</v>
      </c>
      <c r="P519" t="s">
        <v>3</v>
      </c>
      <c r="Q519" t="s">
        <v>2775</v>
      </c>
    </row>
    <row r="520" spans="1:17" ht="14.4" x14ac:dyDescent="0.3">
      <c r="A520" t="s">
        <v>11</v>
      </c>
      <c r="B520" t="s">
        <v>1874</v>
      </c>
      <c r="C520" t="s">
        <v>1875</v>
      </c>
      <c r="D520" t="s">
        <v>1882</v>
      </c>
      <c r="E520" t="s">
        <v>1883</v>
      </c>
      <c r="F520" t="s">
        <v>848</v>
      </c>
      <c r="G520" s="35">
        <v>21.47</v>
      </c>
      <c r="H520" s="33">
        <f>G520*(1-IFERROR(VLOOKUP(F520,'enter the discount'!$D$10:$E$40,2,FALSE),0))</f>
        <v>21.47</v>
      </c>
      <c r="I520" s="35" t="s">
        <v>2609</v>
      </c>
      <c r="J520" s="33" t="s">
        <v>587</v>
      </c>
      <c r="K520" s="33" t="s">
        <v>2750</v>
      </c>
      <c r="L520">
        <v>20</v>
      </c>
      <c r="M520"/>
      <c r="N520" t="s">
        <v>2754</v>
      </c>
      <c r="O520" s="34" t="str">
        <f>HYPERLINK("https://b2b.kobi.pl/pl/product/9779,klosz-do-zestawu-crete-ls-m2-czarny-5-sztuk-kobi-design?currency=PLN")</f>
        <v>https://b2b.kobi.pl/pl/product/9779,klosz-do-zestawu-crete-ls-m2-czarny-5-sztuk-kobi-design?currency=PLN</v>
      </c>
      <c r="P520" t="s">
        <v>3</v>
      </c>
      <c r="Q520" t="s">
        <v>2775</v>
      </c>
    </row>
    <row r="521" spans="1:17" ht="14.4" x14ac:dyDescent="0.3">
      <c r="A521" t="s">
        <v>11</v>
      </c>
      <c r="B521" t="s">
        <v>1874</v>
      </c>
      <c r="C521" t="s">
        <v>1875</v>
      </c>
      <c r="D521" t="s">
        <v>1884</v>
      </c>
      <c r="E521" t="s">
        <v>1885</v>
      </c>
      <c r="F521" t="s">
        <v>848</v>
      </c>
      <c r="G521" s="35">
        <v>72.48</v>
      </c>
      <c r="H521" s="33">
        <f>G521*(1-IFERROR(VLOOKUP(F521,'enter the discount'!$D$10:$E$40,2,FALSE),0))</f>
        <v>72.48</v>
      </c>
      <c r="I521" s="35" t="s">
        <v>2609</v>
      </c>
      <c r="J521" s="33" t="s">
        <v>584</v>
      </c>
      <c r="K521" s="33" t="s">
        <v>2750</v>
      </c>
      <c r="L521">
        <v>4</v>
      </c>
      <c r="M521"/>
      <c r="N521" t="s">
        <v>2754</v>
      </c>
      <c r="O521" s="34" t="str">
        <f>HYPERLINK("https://b2b.kobi.pl/pl/product/9781,klosz-do-zestawu-crete-ls-r1-drewno-5-sztuk-kobi-design?currency=PLN")</f>
        <v>https://b2b.kobi.pl/pl/product/9781,klosz-do-zestawu-crete-ls-r1-drewno-5-sztuk-kobi-design?currency=PLN</v>
      </c>
      <c r="P521" t="s">
        <v>3</v>
      </c>
      <c r="Q521" t="s">
        <v>2775</v>
      </c>
    </row>
    <row r="522" spans="1:17" ht="14.4" x14ac:dyDescent="0.3">
      <c r="A522" t="s">
        <v>11</v>
      </c>
      <c r="B522" t="s">
        <v>1874</v>
      </c>
      <c r="C522" t="s">
        <v>1875</v>
      </c>
      <c r="D522" t="s">
        <v>1886</v>
      </c>
      <c r="E522" t="s">
        <v>1887</v>
      </c>
      <c r="F522" t="s">
        <v>848</v>
      </c>
      <c r="G522" s="35">
        <v>72.48</v>
      </c>
      <c r="H522" s="33">
        <f>G522*(1-IFERROR(VLOOKUP(F522,'enter the discount'!$D$10:$E$40,2,FALSE),0))</f>
        <v>72.48</v>
      </c>
      <c r="I522" s="35" t="s">
        <v>2609</v>
      </c>
      <c r="J522" s="33" t="s">
        <v>585</v>
      </c>
      <c r="K522" s="33" t="s">
        <v>2750</v>
      </c>
      <c r="L522">
        <v>4</v>
      </c>
      <c r="M522"/>
      <c r="N522" t="s">
        <v>2754</v>
      </c>
      <c r="O522" s="34" t="str">
        <f>HYPERLINK("https://b2b.kobi.pl/pl/product/9782,klosz-do-zestawu-crete-ls-r2-czarny-5-sztuk-kobi-design?currency=PLN")</f>
        <v>https://b2b.kobi.pl/pl/product/9782,klosz-do-zestawu-crete-ls-r2-czarny-5-sztuk-kobi-design?currency=PLN</v>
      </c>
      <c r="P522" t="s">
        <v>3</v>
      </c>
      <c r="Q522" t="s">
        <v>2775</v>
      </c>
    </row>
    <row r="523" spans="1:17" ht="14.4" x14ac:dyDescent="0.3">
      <c r="A523" t="s">
        <v>11</v>
      </c>
      <c r="B523" t="s">
        <v>1874</v>
      </c>
      <c r="C523" t="s">
        <v>1875</v>
      </c>
      <c r="D523" t="s">
        <v>1888</v>
      </c>
      <c r="E523" t="s">
        <v>1889</v>
      </c>
      <c r="F523" t="s">
        <v>848</v>
      </c>
      <c r="G523" s="35">
        <v>23.81</v>
      </c>
      <c r="H523" s="33">
        <f>G523*(1-IFERROR(VLOOKUP(F523,'enter the discount'!$D$10:$E$40,2,FALSE),0))</f>
        <v>23.81</v>
      </c>
      <c r="I523" s="35" t="s">
        <v>2609</v>
      </c>
      <c r="J523" s="33" t="s">
        <v>588</v>
      </c>
      <c r="K523" s="33" t="s">
        <v>2749</v>
      </c>
      <c r="L523">
        <v>20</v>
      </c>
      <c r="M523"/>
      <c r="N523" t="s">
        <v>2754</v>
      </c>
      <c r="O523" s="34" t="str">
        <f>HYPERLINK("https://b2b.kobi.pl/pl/product/9776,przewod-zasilajacy-crete-pc-10m-kobi-design?currency=PLN")</f>
        <v>https://b2b.kobi.pl/pl/product/9776,przewod-zasilajacy-crete-pc-10m-kobi-design?currency=PLN</v>
      </c>
      <c r="P523" t="s">
        <v>3</v>
      </c>
      <c r="Q523" t="s">
        <v>2775</v>
      </c>
    </row>
    <row r="524" spans="1:17" ht="14.4" x14ac:dyDescent="0.3">
      <c r="A524" t="s">
        <v>11</v>
      </c>
      <c r="B524" t="s">
        <v>1874</v>
      </c>
      <c r="C524" t="s">
        <v>1875</v>
      </c>
      <c r="D524" t="s">
        <v>1890</v>
      </c>
      <c r="E524" t="s">
        <v>1891</v>
      </c>
      <c r="F524" t="s">
        <v>848</v>
      </c>
      <c r="G524" s="35">
        <v>13.19</v>
      </c>
      <c r="H524" s="33">
        <f>G524*(1-IFERROR(VLOOKUP(F524,'enter the discount'!$D$10:$E$40,2,FALSE),0))</f>
        <v>13.19</v>
      </c>
      <c r="I524" s="35" t="s">
        <v>2609</v>
      </c>
      <c r="J524" s="33" t="s">
        <v>589</v>
      </c>
      <c r="K524" s="33" t="s">
        <v>2749</v>
      </c>
      <c r="L524">
        <v>40</v>
      </c>
      <c r="M524"/>
      <c r="N524" t="s">
        <v>2754</v>
      </c>
      <c r="O524" s="34" t="str">
        <f>HYPERLINK("https://b2b.kobi.pl/pl/product/9775,przewod-zasilajacy-crete-pc-5m-kobi-design?currency=PLN")</f>
        <v>https://b2b.kobi.pl/pl/product/9775,przewod-zasilajacy-crete-pc-5m-kobi-design?currency=PLN</v>
      </c>
      <c r="P524" t="s">
        <v>3</v>
      </c>
      <c r="Q524" t="s">
        <v>2775</v>
      </c>
    </row>
    <row r="525" spans="1:17" ht="14.4" x14ac:dyDescent="0.3">
      <c r="A525" t="s">
        <v>11</v>
      </c>
      <c r="B525" t="s">
        <v>1874</v>
      </c>
      <c r="C525" t="s">
        <v>1875</v>
      </c>
      <c r="D525" t="s">
        <v>1892</v>
      </c>
      <c r="E525" t="s">
        <v>1893</v>
      </c>
      <c r="F525" t="s">
        <v>848</v>
      </c>
      <c r="G525" s="35">
        <v>100.24</v>
      </c>
      <c r="H525" s="33">
        <f>G525*(1-IFERROR(VLOOKUP(F525,'enter the discount'!$D$10:$E$40,2,FALSE),0))</f>
        <v>100.24</v>
      </c>
      <c r="I525" s="35" t="s">
        <v>2605</v>
      </c>
      <c r="J525" s="33" t="s">
        <v>574</v>
      </c>
      <c r="K525" s="33" t="s">
        <v>2749</v>
      </c>
      <c r="L525">
        <v>8</v>
      </c>
      <c r="M525">
        <v>48</v>
      </c>
      <c r="N525" t="s">
        <v>2754</v>
      </c>
      <c r="O525" s="34" t="str">
        <f>HYPERLINK("https://b2b.kobi.pl/pl/product/9772,girlanda-led-venezia-10w-kobi-design?currency=PLN")</f>
        <v>https://b2b.kobi.pl/pl/product/9772,girlanda-led-venezia-10w-kobi-design?currency=PLN</v>
      </c>
      <c r="P525" s="34" t="str">
        <f>HYPERLINK("https://eprel.ec.europa.eu/qr/2032423")</f>
        <v>https://eprel.ec.europa.eu/qr/2032423</v>
      </c>
      <c r="Q525" t="s">
        <v>2775</v>
      </c>
    </row>
    <row r="526" spans="1:17" ht="14.4" x14ac:dyDescent="0.3">
      <c r="A526" t="s">
        <v>11</v>
      </c>
      <c r="B526" t="s">
        <v>1874</v>
      </c>
      <c r="C526" t="s">
        <v>1875</v>
      </c>
      <c r="D526" t="s">
        <v>1894</v>
      </c>
      <c r="E526" t="s">
        <v>1895</v>
      </c>
      <c r="F526" t="s">
        <v>848</v>
      </c>
      <c r="G526" s="35">
        <v>58.34</v>
      </c>
      <c r="H526" s="33">
        <f>G526*(1-IFERROR(VLOOKUP(F526,'enter the discount'!$D$10:$E$40,2,FALSE),0))</f>
        <v>58.34</v>
      </c>
      <c r="I526" s="35" t="s">
        <v>2609</v>
      </c>
      <c r="J526" s="33" t="s">
        <v>575</v>
      </c>
      <c r="K526" s="33" t="s">
        <v>2749</v>
      </c>
      <c r="L526">
        <v>4</v>
      </c>
      <c r="M526"/>
      <c r="N526" t="s">
        <v>2754</v>
      </c>
      <c r="O526" s="34" t="str">
        <f>HYPERLINK("https://b2b.kobi.pl/pl/product/9773,lampa-biurkowa-led-venezia-s-2w-2700k-kobi-design?currency=PLN")</f>
        <v>https://b2b.kobi.pl/pl/product/9773,lampa-biurkowa-led-venezia-s-2w-2700k-kobi-design?currency=PLN</v>
      </c>
      <c r="P526" t="s">
        <v>3</v>
      </c>
      <c r="Q526" t="s">
        <v>2775</v>
      </c>
    </row>
    <row r="527" spans="1:17" ht="14.4" x14ac:dyDescent="0.3">
      <c r="A527" t="s">
        <v>11</v>
      </c>
      <c r="B527" t="s">
        <v>1874</v>
      </c>
      <c r="C527" t="s">
        <v>1875</v>
      </c>
      <c r="D527" t="s">
        <v>1896</v>
      </c>
      <c r="E527" t="s">
        <v>1897</v>
      </c>
      <c r="F527" t="s">
        <v>848</v>
      </c>
      <c r="G527" s="35">
        <v>48.53</v>
      </c>
      <c r="H527" s="33">
        <f>G527*(1-IFERROR(VLOOKUP(F527,'enter the discount'!$D$10:$E$40,2,FALSE),0))</f>
        <v>48.53</v>
      </c>
      <c r="I527" s="35" t="s">
        <v>2609</v>
      </c>
      <c r="J527" s="33" t="s">
        <v>617</v>
      </c>
      <c r="K527" s="33" t="s">
        <v>2749</v>
      </c>
      <c r="L527">
        <v>4</v>
      </c>
      <c r="M527"/>
      <c r="N527" t="s">
        <v>2754</v>
      </c>
      <c r="O527" s="34" t="str">
        <f>HYPERLINK("https://b2b.kobi.pl/pl/product/10555,girlanda-baja-led-set-10x1w-10m-e27-kobi-design?currency=PLN")</f>
        <v>https://b2b.kobi.pl/pl/product/10555,girlanda-baja-led-set-10x1w-10m-e27-kobi-design?currency=PLN</v>
      </c>
      <c r="P527" t="s">
        <v>3</v>
      </c>
      <c r="Q527"/>
    </row>
    <row r="528" spans="1:17" ht="14.4" x14ac:dyDescent="0.3">
      <c r="A528" t="s">
        <v>11</v>
      </c>
      <c r="B528" t="s">
        <v>1874</v>
      </c>
      <c r="C528" t="s">
        <v>1875</v>
      </c>
      <c r="D528" t="s">
        <v>1898</v>
      </c>
      <c r="E528" t="s">
        <v>1899</v>
      </c>
      <c r="F528" t="s">
        <v>848</v>
      </c>
      <c r="G528" s="35">
        <v>73.8</v>
      </c>
      <c r="H528" s="33">
        <f>G528*(1-IFERROR(VLOOKUP(F528,'enter the discount'!$D$10:$E$40,2,FALSE),0))</f>
        <v>73.8</v>
      </c>
      <c r="I528" s="35" t="s">
        <v>2609</v>
      </c>
      <c r="J528" s="33" t="s">
        <v>618</v>
      </c>
      <c r="K528" s="33" t="s">
        <v>2749</v>
      </c>
      <c r="L528">
        <v>4</v>
      </c>
      <c r="M528"/>
      <c r="N528" t="s">
        <v>2754</v>
      </c>
      <c r="O528" s="34" t="str">
        <f>HYPERLINK("https://b2b.kobi.pl/pl/product/10556,girlanda-baja-led-set-20x1w-e27-10m-kobi-design?currency=PLN")</f>
        <v>https://b2b.kobi.pl/pl/product/10556,girlanda-baja-led-set-20x1w-e27-10m-kobi-design?currency=PLN</v>
      </c>
      <c r="P528" t="s">
        <v>3</v>
      </c>
      <c r="Q528"/>
    </row>
    <row r="529" spans="1:17" ht="14.4" x14ac:dyDescent="0.3">
      <c r="A529" t="s">
        <v>11</v>
      </c>
      <c r="B529" t="s">
        <v>1874</v>
      </c>
      <c r="C529" t="s">
        <v>1875</v>
      </c>
      <c r="D529" t="s">
        <v>1900</v>
      </c>
      <c r="E529" t="s">
        <v>1901</v>
      </c>
      <c r="F529" t="s">
        <v>848</v>
      </c>
      <c r="G529" s="35">
        <v>61.78</v>
      </c>
      <c r="H529" s="33">
        <f>G529*(1-IFERROR(VLOOKUP(F529,'enter the discount'!$D$10:$E$40,2,FALSE),0))</f>
        <v>61.78</v>
      </c>
      <c r="I529" s="35" t="s">
        <v>2609</v>
      </c>
      <c r="J529" s="33" t="s">
        <v>619</v>
      </c>
      <c r="K529" s="33" t="s">
        <v>2749</v>
      </c>
      <c r="L529">
        <v>4</v>
      </c>
      <c r="M529"/>
      <c r="N529" t="s">
        <v>2754</v>
      </c>
      <c r="O529" s="34" t="str">
        <f>HYPERLINK("https://b2b.kobi.pl/pl/product/10557,girlanda-baja-led-set-15x1w-15m-e27-kobi-design?currency=PLN")</f>
        <v>https://b2b.kobi.pl/pl/product/10557,girlanda-baja-led-set-15x1w-15m-e27-kobi-design?currency=PLN</v>
      </c>
      <c r="P529" t="s">
        <v>3</v>
      </c>
      <c r="Q529"/>
    </row>
    <row r="530" spans="1:17" ht="14.4" x14ac:dyDescent="0.3">
      <c r="A530" t="s">
        <v>11</v>
      </c>
      <c r="B530" t="s">
        <v>1874</v>
      </c>
      <c r="C530" t="s">
        <v>1875</v>
      </c>
      <c r="D530" t="s">
        <v>1902</v>
      </c>
      <c r="E530" t="s">
        <v>1903</v>
      </c>
      <c r="F530" t="s">
        <v>848</v>
      </c>
      <c r="G530" s="35">
        <v>85.23</v>
      </c>
      <c r="H530" s="33">
        <f>G530*(1-IFERROR(VLOOKUP(F530,'enter the discount'!$D$10:$E$40,2,FALSE),0))</f>
        <v>85.23</v>
      </c>
      <c r="I530" s="35" t="s">
        <v>2609</v>
      </c>
      <c r="J530" s="33" t="s">
        <v>620</v>
      </c>
      <c r="K530" s="33" t="s">
        <v>2749</v>
      </c>
      <c r="L530">
        <v>4</v>
      </c>
      <c r="M530"/>
      <c r="N530" t="s">
        <v>2754</v>
      </c>
      <c r="O530" s="34" t="str">
        <f>HYPERLINK("https://b2b.kobi.pl/pl/product/10558,girlanda-baja-led-set-20x1w-20m-e27-kobi-design?currency=PLN")</f>
        <v>https://b2b.kobi.pl/pl/product/10558,girlanda-baja-led-set-20x1w-20m-e27-kobi-design?currency=PLN</v>
      </c>
      <c r="P530" t="s">
        <v>3</v>
      </c>
      <c r="Q530"/>
    </row>
    <row r="531" spans="1:17" ht="14.4" x14ac:dyDescent="0.3">
      <c r="A531" t="s">
        <v>11</v>
      </c>
      <c r="B531" t="s">
        <v>1874</v>
      </c>
      <c r="C531" t="s">
        <v>910</v>
      </c>
      <c r="D531" t="s">
        <v>1904</v>
      </c>
      <c r="E531" t="s">
        <v>1905</v>
      </c>
      <c r="F531" t="s">
        <v>848</v>
      </c>
      <c r="G531" s="35">
        <v>48.53</v>
      </c>
      <c r="H531" s="33">
        <f>G531*(1-IFERROR(VLOOKUP(F531,'enter the discount'!$D$10:$E$40,2,FALSE),0))</f>
        <v>48.53</v>
      </c>
      <c r="I531" s="35" t="s">
        <v>2609</v>
      </c>
      <c r="J531" s="33" t="s">
        <v>598</v>
      </c>
      <c r="K531" s="33" t="s">
        <v>2749</v>
      </c>
      <c r="L531">
        <v>4</v>
      </c>
      <c r="M531"/>
      <c r="N531" t="s">
        <v>2754</v>
      </c>
      <c r="O531" s="34" t="str">
        <f>HYPERLINK("https://b2b.kobi.pl/pl/product/10658,girlanda-mimosa-led-set-10m-10x1w-e27-kobi?currency=PLN")</f>
        <v>https://b2b.kobi.pl/pl/product/10658,girlanda-mimosa-led-set-10m-10x1w-e27-kobi?currency=PLN</v>
      </c>
      <c r="P531" t="s">
        <v>3</v>
      </c>
      <c r="Q531"/>
    </row>
    <row r="532" spans="1:17" ht="14.4" x14ac:dyDescent="0.3">
      <c r="A532" t="s">
        <v>11</v>
      </c>
      <c r="B532" t="s">
        <v>1874</v>
      </c>
      <c r="C532" t="s">
        <v>910</v>
      </c>
      <c r="D532" t="s">
        <v>1906</v>
      </c>
      <c r="E532" t="s">
        <v>1907</v>
      </c>
      <c r="F532" t="s">
        <v>848</v>
      </c>
      <c r="G532" s="35">
        <v>50.84</v>
      </c>
      <c r="H532" s="33">
        <f>G532*(1-IFERROR(VLOOKUP(F532,'enter the discount'!$D$10:$E$40,2,FALSE),0))</f>
        <v>50.84</v>
      </c>
      <c r="I532" s="35" t="s">
        <v>2609</v>
      </c>
      <c r="J532" s="33" t="s">
        <v>509</v>
      </c>
      <c r="K532" s="33" t="s">
        <v>2749</v>
      </c>
      <c r="L532">
        <v>8</v>
      </c>
      <c r="M532">
        <v>128</v>
      </c>
      <c r="N532" t="s">
        <v>2754</v>
      </c>
      <c r="O532" s="34" t="str">
        <f>HYPERLINK("https://b2b.kobi.pl/pl/product/10659,girlanda-mimosa-10m-20xe27-kobi?currency=PLN")</f>
        <v>https://b2b.kobi.pl/pl/product/10659,girlanda-mimosa-10m-20xe27-kobi?currency=PLN</v>
      </c>
      <c r="P532" t="s">
        <v>3</v>
      </c>
      <c r="Q532"/>
    </row>
    <row r="533" spans="1:17" ht="14.4" x14ac:dyDescent="0.3">
      <c r="A533" t="s">
        <v>11</v>
      </c>
      <c r="B533" t="s">
        <v>1874</v>
      </c>
      <c r="C533" t="s">
        <v>910</v>
      </c>
      <c r="D533" t="s">
        <v>1908</v>
      </c>
      <c r="E533" t="s">
        <v>1909</v>
      </c>
      <c r="F533" t="s">
        <v>848</v>
      </c>
      <c r="G533" s="35">
        <v>69.88</v>
      </c>
      <c r="H533" s="33">
        <f>G533*(1-IFERROR(VLOOKUP(F533,'enter the discount'!$D$10:$E$40,2,FALSE),0))</f>
        <v>69.88</v>
      </c>
      <c r="I533" s="35" t="s">
        <v>2609</v>
      </c>
      <c r="J533" s="33" t="s">
        <v>510</v>
      </c>
      <c r="K533" s="33" t="s">
        <v>2749</v>
      </c>
      <c r="L533">
        <v>8</v>
      </c>
      <c r="M533">
        <v>96</v>
      </c>
      <c r="N533" t="s">
        <v>2754</v>
      </c>
      <c r="O533" s="34" t="str">
        <f>HYPERLINK("https://b2b.kobi.pl/pl/product/10661,girlanda-mimosa-20m-20xe27-kobi?currency=PLN")</f>
        <v>https://b2b.kobi.pl/pl/product/10661,girlanda-mimosa-20m-20xe27-kobi?currency=PLN</v>
      </c>
      <c r="P533" t="s">
        <v>3</v>
      </c>
      <c r="Q533"/>
    </row>
    <row r="534" spans="1:17" ht="14.4" x14ac:dyDescent="0.3">
      <c r="A534" t="s">
        <v>11</v>
      </c>
      <c r="B534" t="s">
        <v>1874</v>
      </c>
      <c r="C534" t="s">
        <v>910</v>
      </c>
      <c r="D534" t="s">
        <v>1910</v>
      </c>
      <c r="E534" t="s">
        <v>1911</v>
      </c>
      <c r="F534" t="s">
        <v>848</v>
      </c>
      <c r="G534" s="35">
        <v>85.23</v>
      </c>
      <c r="H534" s="33">
        <f>G534*(1-IFERROR(VLOOKUP(F534,'enter the discount'!$D$10:$E$40,2,FALSE),0))</f>
        <v>85.23</v>
      </c>
      <c r="I534" s="35" t="s">
        <v>2609</v>
      </c>
      <c r="J534" s="33" t="s">
        <v>572</v>
      </c>
      <c r="K534" s="33" t="s">
        <v>2749</v>
      </c>
      <c r="L534">
        <v>4</v>
      </c>
      <c r="M534">
        <v>60</v>
      </c>
      <c r="N534" t="s">
        <v>2754</v>
      </c>
      <c r="O534" s="34" t="str">
        <f>HYPERLINK("https://b2b.kobi.pl/pl/product/10662,girlanda-mimosa-led-set-20m-20x1w-e27-kobi?currency=PLN")</f>
        <v>https://b2b.kobi.pl/pl/product/10662,girlanda-mimosa-led-set-20m-20x1w-e27-kobi?currency=PLN</v>
      </c>
      <c r="P534" t="s">
        <v>3</v>
      </c>
      <c r="Q534"/>
    </row>
    <row r="535" spans="1:17" ht="14.4" x14ac:dyDescent="0.3">
      <c r="A535" t="s">
        <v>11</v>
      </c>
      <c r="B535" t="s">
        <v>1874</v>
      </c>
      <c r="C535" t="s">
        <v>910</v>
      </c>
      <c r="D535" t="s">
        <v>1912</v>
      </c>
      <c r="E535" t="s">
        <v>1913</v>
      </c>
      <c r="F535" t="s">
        <v>848</v>
      </c>
      <c r="G535" s="35">
        <v>43.73</v>
      </c>
      <c r="H535" s="33">
        <f>G535*(1-IFERROR(VLOOKUP(F535,'enter the discount'!$D$10:$E$40,2,FALSE),0))</f>
        <v>43.73</v>
      </c>
      <c r="I535" s="35" t="s">
        <v>2609</v>
      </c>
      <c r="J535" s="33" t="s">
        <v>573</v>
      </c>
      <c r="K535" s="33" t="s">
        <v>2749</v>
      </c>
      <c r="L535">
        <v>8</v>
      </c>
      <c r="M535">
        <v>160</v>
      </c>
      <c r="N535" t="s">
        <v>2754</v>
      </c>
      <c r="O535" s="34" t="str">
        <f>HYPERLINK("https://b2b.kobi.pl/pl/product/10663,girlanda-mimosa-2-10m-10xe27-kobi?currency=PLN")</f>
        <v>https://b2b.kobi.pl/pl/product/10663,girlanda-mimosa-2-10m-10xe27-kobi?currency=PLN</v>
      </c>
      <c r="P535" t="s">
        <v>3</v>
      </c>
      <c r="Q535"/>
    </row>
    <row r="536" spans="1:17" ht="14.4" x14ac:dyDescent="0.3">
      <c r="A536" t="s">
        <v>10</v>
      </c>
      <c r="B536" t="s">
        <v>1914</v>
      </c>
      <c r="C536" t="s">
        <v>1258</v>
      </c>
      <c r="D536" t="s">
        <v>1915</v>
      </c>
      <c r="E536" t="s">
        <v>1916</v>
      </c>
      <c r="F536" t="s">
        <v>838</v>
      </c>
      <c r="G536" s="35">
        <v>39.520000000000003</v>
      </c>
      <c r="H536" s="33">
        <f>G536*(1-IFERROR(VLOOKUP(F536,'enter the discount'!$D$10:$E$40,2,FALSE),0))</f>
        <v>39.520000000000003</v>
      </c>
      <c r="I536" s="35" t="s">
        <v>2594</v>
      </c>
      <c r="J536" s="33" t="s">
        <v>365</v>
      </c>
      <c r="K536" s="33" t="s">
        <v>2749</v>
      </c>
      <c r="L536">
        <v>24</v>
      </c>
      <c r="M536">
        <v>384</v>
      </c>
      <c r="N536" t="s">
        <v>2756</v>
      </c>
      <c r="O536" s="34" t="str">
        <f>HYPERLINK("https://b2b.kobi.pl/pl/product/8398,downlight-led-nexeye-ne1-15w-4000k-ip44-kobi-pro?currency=PLN")</f>
        <v>https://b2b.kobi.pl/pl/product/8398,downlight-led-nexeye-ne1-15w-4000k-ip44-kobi-pro?currency=PLN</v>
      </c>
      <c r="P536" s="34" t="str">
        <f>HYPERLINK("https://eprel.ec.europa.eu/qr/669368")</f>
        <v>https://eprel.ec.europa.eu/qr/669368</v>
      </c>
      <c r="Q536"/>
    </row>
    <row r="537" spans="1:17" ht="14.4" x14ac:dyDescent="0.3">
      <c r="A537" t="s">
        <v>10</v>
      </c>
      <c r="B537" t="s">
        <v>1914</v>
      </c>
      <c r="C537" t="s">
        <v>1258</v>
      </c>
      <c r="D537" t="s">
        <v>1917</v>
      </c>
      <c r="E537" t="s">
        <v>1918</v>
      </c>
      <c r="F537" t="s">
        <v>838</v>
      </c>
      <c r="G537" s="35">
        <v>53.49</v>
      </c>
      <c r="H537" s="33">
        <f>G537*(1-IFERROR(VLOOKUP(F537,'enter the discount'!$D$10:$E$40,2,FALSE),0))</f>
        <v>53.49</v>
      </c>
      <c r="I537" s="35" t="s">
        <v>2594</v>
      </c>
      <c r="J537" s="33" t="s">
        <v>366</v>
      </c>
      <c r="K537" s="33" t="s">
        <v>2749</v>
      </c>
      <c r="L537">
        <v>16</v>
      </c>
      <c r="M537">
        <v>240</v>
      </c>
      <c r="N537" t="s">
        <v>2756</v>
      </c>
      <c r="O537" s="34" t="str">
        <f>HYPERLINK("https://b2b.kobi.pl/pl/product/8400,downlight-led-nexeye-ne1-20w-4000k-ip44-kobi-pro?currency=PLN")</f>
        <v>https://b2b.kobi.pl/pl/product/8400,downlight-led-nexeye-ne1-20w-4000k-ip44-kobi-pro?currency=PLN</v>
      </c>
      <c r="P537" s="34" t="str">
        <f>HYPERLINK("https://eprel.ec.europa.eu/qr/669370")</f>
        <v>https://eprel.ec.europa.eu/qr/669370</v>
      </c>
      <c r="Q537"/>
    </row>
    <row r="538" spans="1:17" ht="14.4" x14ac:dyDescent="0.3">
      <c r="A538" t="s">
        <v>10</v>
      </c>
      <c r="B538" t="s">
        <v>1914</v>
      </c>
      <c r="C538" t="s">
        <v>1258</v>
      </c>
      <c r="D538" t="s">
        <v>1919</v>
      </c>
      <c r="E538" t="s">
        <v>1920</v>
      </c>
      <c r="F538" t="s">
        <v>838</v>
      </c>
      <c r="G538" s="35">
        <v>70.36</v>
      </c>
      <c r="H538" s="33">
        <f>G538*(1-IFERROR(VLOOKUP(F538,'enter the discount'!$D$10:$E$40,2,FALSE),0))</f>
        <v>70.36</v>
      </c>
      <c r="I538" s="35" t="s">
        <v>2594</v>
      </c>
      <c r="J538" s="33" t="s">
        <v>367</v>
      </c>
      <c r="K538" s="33" t="s">
        <v>2749</v>
      </c>
      <c r="L538">
        <v>10</v>
      </c>
      <c r="M538">
        <v>190</v>
      </c>
      <c r="N538" t="s">
        <v>2756</v>
      </c>
      <c r="O538" s="34" t="str">
        <f>HYPERLINK("https://b2b.kobi.pl/pl/product/8402,downlight-led-nexeye-ne1-30w-4000k-ip44-kobi-pro?currency=PLN")</f>
        <v>https://b2b.kobi.pl/pl/product/8402,downlight-led-nexeye-ne1-30w-4000k-ip44-kobi-pro?currency=PLN</v>
      </c>
      <c r="P538" s="34" t="str">
        <f>HYPERLINK("https://eprel.ec.europa.eu/qr/669371")</f>
        <v>https://eprel.ec.europa.eu/qr/669371</v>
      </c>
      <c r="Q538"/>
    </row>
    <row r="539" spans="1:17" ht="14.4" x14ac:dyDescent="0.3">
      <c r="A539" t="s">
        <v>10</v>
      </c>
      <c r="B539" t="s">
        <v>1914</v>
      </c>
      <c r="C539" t="s">
        <v>885</v>
      </c>
      <c r="D539" t="s">
        <v>1921</v>
      </c>
      <c r="E539" t="s">
        <v>1922</v>
      </c>
      <c r="F539" t="s">
        <v>838</v>
      </c>
      <c r="G539" s="35">
        <v>15.17</v>
      </c>
      <c r="H539" s="33">
        <f>G539*(1-IFERROR(VLOOKUP(F539,'enter the discount'!$D$10:$E$40,2,FALSE),0))</f>
        <v>15.17</v>
      </c>
      <c r="I539" s="35" t="s">
        <v>2593</v>
      </c>
      <c r="J539" s="33" t="s">
        <v>211</v>
      </c>
      <c r="K539" s="33" t="s">
        <v>2749</v>
      </c>
      <c r="L539">
        <v>20</v>
      </c>
      <c r="M539">
        <v>400</v>
      </c>
      <c r="N539" t="s">
        <v>2755</v>
      </c>
      <c r="O539" s="34" t="str">
        <f>HYPERLINK("https://b2b.kobi.pl/pl/product/10184,plafon-led-sigaro-circle-18w-4000k-kobi-premium?currency=PLN")</f>
        <v>https://b2b.kobi.pl/pl/product/10184,plafon-led-sigaro-circle-18w-4000k-kobi-premium?currency=PLN</v>
      </c>
      <c r="P539" s="34" t="str">
        <f>HYPERLINK("https://eprel.ec.europa.eu/qr/850585")</f>
        <v>https://eprel.ec.europa.eu/qr/850585</v>
      </c>
      <c r="Q539"/>
    </row>
    <row r="540" spans="1:17" ht="14.4" x14ac:dyDescent="0.3">
      <c r="A540" t="s">
        <v>10</v>
      </c>
      <c r="B540" t="s">
        <v>1914</v>
      </c>
      <c r="C540" t="s">
        <v>885</v>
      </c>
      <c r="D540" t="s">
        <v>1923</v>
      </c>
      <c r="E540" t="s">
        <v>1924</v>
      </c>
      <c r="F540" t="s">
        <v>838</v>
      </c>
      <c r="G540" s="35">
        <v>18.37</v>
      </c>
      <c r="H540" s="33">
        <f>G540*(1-IFERROR(VLOOKUP(F540,'enter the discount'!$D$10:$E$40,2,FALSE),0))</f>
        <v>18.37</v>
      </c>
      <c r="I540" s="35" t="s">
        <v>2593</v>
      </c>
      <c r="J540" s="33" t="s">
        <v>212</v>
      </c>
      <c r="K540" s="33" t="s">
        <v>2749</v>
      </c>
      <c r="L540">
        <v>20</v>
      </c>
      <c r="M540">
        <v>400</v>
      </c>
      <c r="N540" t="s">
        <v>2755</v>
      </c>
      <c r="O540" s="34" t="str">
        <f>HYPERLINK("https://b2b.kobi.pl/pl/product/10185,plafon-led-sigaro-circle-24w-4000k-kobi-premium?currency=PLN")</f>
        <v>https://b2b.kobi.pl/pl/product/10185,plafon-led-sigaro-circle-24w-4000k-kobi-premium?currency=PLN</v>
      </c>
      <c r="P540" s="34" t="str">
        <f>HYPERLINK("https://eprel.ec.europa.eu/qr/850598")</f>
        <v>https://eprel.ec.europa.eu/qr/850598</v>
      </c>
      <c r="Q540"/>
    </row>
    <row r="541" spans="1:17" ht="14.4" x14ac:dyDescent="0.3">
      <c r="A541" t="s">
        <v>10</v>
      </c>
      <c r="B541" t="s">
        <v>1914</v>
      </c>
      <c r="C541" t="s">
        <v>885</v>
      </c>
      <c r="D541" t="s">
        <v>1925</v>
      </c>
      <c r="E541" t="s">
        <v>1926</v>
      </c>
      <c r="F541" t="s">
        <v>838</v>
      </c>
      <c r="G541" s="35">
        <v>5.77</v>
      </c>
      <c r="H541" s="33">
        <f>G541*(1-IFERROR(VLOOKUP(F541,'enter the discount'!$D$10:$E$40,2,FALSE),0))</f>
        <v>5.77</v>
      </c>
      <c r="I541" s="35" t="s">
        <v>2593</v>
      </c>
      <c r="J541" s="33" t="s">
        <v>215</v>
      </c>
      <c r="K541" s="33" t="s">
        <v>2749</v>
      </c>
      <c r="L541">
        <v>40</v>
      </c>
      <c r="M541">
        <v>1000</v>
      </c>
      <c r="N541" t="s">
        <v>2755</v>
      </c>
      <c r="O541" s="34" t="str">
        <f>HYPERLINK("https://b2b.kobi.pl/pl/product/10189,downlight-led-sigaro-circle-pt-6w-4000k-kobi-premium?currency=PLN")</f>
        <v>https://b2b.kobi.pl/pl/product/10189,downlight-led-sigaro-circle-pt-6w-4000k-kobi-premium?currency=PLN</v>
      </c>
      <c r="P541" s="34" t="str">
        <f>HYPERLINK("https://eprel.ec.europa.eu/qr/850354")</f>
        <v>https://eprel.ec.europa.eu/qr/850354</v>
      </c>
      <c r="Q541"/>
    </row>
    <row r="542" spans="1:17" ht="14.4" x14ac:dyDescent="0.3">
      <c r="A542" t="s">
        <v>10</v>
      </c>
      <c r="B542" t="s">
        <v>1914</v>
      </c>
      <c r="C542" t="s">
        <v>885</v>
      </c>
      <c r="D542" t="s">
        <v>1927</v>
      </c>
      <c r="E542" t="s">
        <v>1928</v>
      </c>
      <c r="F542" t="s">
        <v>838</v>
      </c>
      <c r="G542" s="35">
        <v>9.59</v>
      </c>
      <c r="H542" s="33">
        <f>G542*(1-IFERROR(VLOOKUP(F542,'enter the discount'!$D$10:$E$40,2,FALSE),0))</f>
        <v>9.59</v>
      </c>
      <c r="I542" s="35" t="s">
        <v>2593</v>
      </c>
      <c r="J542" s="33" t="s">
        <v>216</v>
      </c>
      <c r="K542" s="33" t="s">
        <v>2749</v>
      </c>
      <c r="L542">
        <v>20</v>
      </c>
      <c r="M542">
        <v>960</v>
      </c>
      <c r="N542" t="s">
        <v>2755</v>
      </c>
      <c r="O542" s="34" t="str">
        <f>HYPERLINK("https://b2b.kobi.pl/pl/product/10186,downlight-led-sigaro-circle-pt-12w-4000k-kobi-premium?currency=PLN")</f>
        <v>https://b2b.kobi.pl/pl/product/10186,downlight-led-sigaro-circle-pt-12w-4000k-kobi-premium?currency=PLN</v>
      </c>
      <c r="P542" s="34" t="str">
        <f>HYPERLINK("https://eprel.ec.europa.eu/qr/850485")</f>
        <v>https://eprel.ec.europa.eu/qr/850485</v>
      </c>
      <c r="Q542"/>
    </row>
    <row r="543" spans="1:17" ht="14.4" x14ac:dyDescent="0.3">
      <c r="A543" t="s">
        <v>10</v>
      </c>
      <c r="B543" t="s">
        <v>1914</v>
      </c>
      <c r="C543" t="s">
        <v>885</v>
      </c>
      <c r="D543" t="s">
        <v>1929</v>
      </c>
      <c r="E543" t="s">
        <v>1930</v>
      </c>
      <c r="F543" t="s">
        <v>838</v>
      </c>
      <c r="G543" s="35">
        <v>13.09</v>
      </c>
      <c r="H543" s="33">
        <f>G543*(1-IFERROR(VLOOKUP(F543,'enter the discount'!$D$10:$E$40,2,FALSE),0))</f>
        <v>13.09</v>
      </c>
      <c r="I543" s="35" t="s">
        <v>2593</v>
      </c>
      <c r="J543" s="33" t="s">
        <v>217</v>
      </c>
      <c r="K543" s="33" t="s">
        <v>2749</v>
      </c>
      <c r="L543">
        <v>20</v>
      </c>
      <c r="M543">
        <v>520</v>
      </c>
      <c r="N543" t="s">
        <v>2755</v>
      </c>
      <c r="O543" s="34" t="str">
        <f>HYPERLINK("https://b2b.kobi.pl/pl/product/10187,downlight-led-sigaro-circle-pt-18w-4000k-kobi-premium?currency=PLN")</f>
        <v>https://b2b.kobi.pl/pl/product/10187,downlight-led-sigaro-circle-pt-18w-4000k-kobi-premium?currency=PLN</v>
      </c>
      <c r="P543" s="34" t="str">
        <f>HYPERLINK("https://eprel.ec.europa.eu/qr/850526")</f>
        <v>https://eprel.ec.europa.eu/qr/850526</v>
      </c>
      <c r="Q543"/>
    </row>
    <row r="544" spans="1:17" ht="14.4" x14ac:dyDescent="0.3">
      <c r="A544" t="s">
        <v>10</v>
      </c>
      <c r="B544" t="s">
        <v>1914</v>
      </c>
      <c r="C544" t="s">
        <v>885</v>
      </c>
      <c r="D544" t="s">
        <v>1931</v>
      </c>
      <c r="E544" t="s">
        <v>1932</v>
      </c>
      <c r="F544" t="s">
        <v>838</v>
      </c>
      <c r="G544" s="35">
        <v>16.27</v>
      </c>
      <c r="H544" s="33">
        <f>G544*(1-IFERROR(VLOOKUP(F544,'enter the discount'!$D$10:$E$40,2,FALSE),0))</f>
        <v>16.27</v>
      </c>
      <c r="I544" s="35" t="s">
        <v>2593</v>
      </c>
      <c r="J544" s="33" t="s">
        <v>218</v>
      </c>
      <c r="K544" s="33" t="s">
        <v>2749</v>
      </c>
      <c r="L544">
        <v>20</v>
      </c>
      <c r="M544">
        <v>520</v>
      </c>
      <c r="N544" t="s">
        <v>2755</v>
      </c>
      <c r="O544" s="34" t="str">
        <f>HYPERLINK("https://b2b.kobi.pl/pl/product/10188,downlight-led-sigaro-circle-pt-24w-4000k-kobi-premium?currency=PLN")</f>
        <v>https://b2b.kobi.pl/pl/product/10188,downlight-led-sigaro-circle-pt-24w-4000k-kobi-premium?currency=PLN</v>
      </c>
      <c r="P544" s="34" t="str">
        <f>HYPERLINK("https://eprel.ec.europa.eu/qr/850541")</f>
        <v>https://eprel.ec.europa.eu/qr/850541</v>
      </c>
      <c r="Q544"/>
    </row>
    <row r="545" spans="1:17" ht="14.4" x14ac:dyDescent="0.3">
      <c r="A545" t="s">
        <v>10</v>
      </c>
      <c r="B545" t="s">
        <v>1914</v>
      </c>
      <c r="C545" t="s">
        <v>885</v>
      </c>
      <c r="D545" t="s">
        <v>1933</v>
      </c>
      <c r="E545" t="s">
        <v>1934</v>
      </c>
      <c r="F545" t="s">
        <v>838</v>
      </c>
      <c r="G545" s="35">
        <v>16.329999999999998</v>
      </c>
      <c r="H545" s="33">
        <f>G545*(1-IFERROR(VLOOKUP(F545,'enter the discount'!$D$10:$E$40,2,FALSE),0))</f>
        <v>16.329999999999998</v>
      </c>
      <c r="I545" s="35" t="s">
        <v>2593</v>
      </c>
      <c r="J545" s="33" t="s">
        <v>213</v>
      </c>
      <c r="K545" s="33" t="s">
        <v>2749</v>
      </c>
      <c r="L545">
        <v>20</v>
      </c>
      <c r="M545">
        <v>520</v>
      </c>
      <c r="N545" t="s">
        <v>2755</v>
      </c>
      <c r="O545" s="34" t="str">
        <f>HYPERLINK("https://b2b.kobi.pl/pl/product/10199,plafon-led-sigaro-square-18w-4000k-kobi-premium?currency=PLN")</f>
        <v>https://b2b.kobi.pl/pl/product/10199,plafon-led-sigaro-square-18w-4000k-kobi-premium?currency=PLN</v>
      </c>
      <c r="P545" s="34" t="str">
        <f>HYPERLINK("https://eprel.ec.europa.eu/qr/850607")</f>
        <v>https://eprel.ec.europa.eu/qr/850607</v>
      </c>
      <c r="Q545"/>
    </row>
    <row r="546" spans="1:17" ht="14.4" x14ac:dyDescent="0.3">
      <c r="A546" t="s">
        <v>10</v>
      </c>
      <c r="B546" t="s">
        <v>1914</v>
      </c>
      <c r="C546" t="s">
        <v>885</v>
      </c>
      <c r="D546" t="s">
        <v>1935</v>
      </c>
      <c r="E546" t="s">
        <v>1936</v>
      </c>
      <c r="F546" t="s">
        <v>838</v>
      </c>
      <c r="G546" s="35">
        <v>20.03</v>
      </c>
      <c r="H546" s="33">
        <f>G546*(1-IFERROR(VLOOKUP(F546,'enter the discount'!$D$10:$E$40,2,FALSE),0))</f>
        <v>20.03</v>
      </c>
      <c r="I546" s="35" t="s">
        <v>2593</v>
      </c>
      <c r="J546" s="33" t="s">
        <v>214</v>
      </c>
      <c r="K546" s="33" t="s">
        <v>2749</v>
      </c>
      <c r="L546">
        <v>20</v>
      </c>
      <c r="M546">
        <v>400</v>
      </c>
      <c r="N546" t="s">
        <v>2755</v>
      </c>
      <c r="O546" s="34" t="str">
        <f>HYPERLINK("https://b2b.kobi.pl/pl/product/10200,plafon-led-sigaro-square-24w-4000k-kobi-premium?currency=PLN")</f>
        <v>https://b2b.kobi.pl/pl/product/10200,plafon-led-sigaro-square-24w-4000k-kobi-premium?currency=PLN</v>
      </c>
      <c r="P546" s="34" t="str">
        <f>HYPERLINK("https://eprel.ec.europa.eu/qr/850609")</f>
        <v>https://eprel.ec.europa.eu/qr/850609</v>
      </c>
      <c r="Q546"/>
    </row>
    <row r="547" spans="1:17" ht="14.4" x14ac:dyDescent="0.3">
      <c r="A547" t="s">
        <v>11</v>
      </c>
      <c r="B547" t="s">
        <v>23</v>
      </c>
      <c r="C547" t="s">
        <v>910</v>
      </c>
      <c r="D547" t="s">
        <v>1937</v>
      </c>
      <c r="E547" t="s">
        <v>1938</v>
      </c>
      <c r="F547" t="s">
        <v>855</v>
      </c>
      <c r="G547" s="35">
        <v>10.8</v>
      </c>
      <c r="H547" s="33">
        <f>G547*(1-IFERROR(VLOOKUP(F547,'enter the discount'!$D$10:$E$40,2,FALSE),0))</f>
        <v>10.8</v>
      </c>
      <c r="I547" s="35" t="s">
        <v>2609</v>
      </c>
      <c r="J547" s="33" t="s">
        <v>482</v>
      </c>
      <c r="K547" s="33" t="s">
        <v>2749</v>
      </c>
      <c r="L547">
        <v>20</v>
      </c>
      <c r="M547"/>
      <c r="N547" t="s">
        <v>2754</v>
      </c>
      <c r="O547" s="34" t="str">
        <f>HYPERLINK("https://b2b.kobi.pl/pl/product/10321,oprawa-meblowa-led-correa-3-4w-3000k-lx-kobi?currency=PLN")</f>
        <v>https://b2b.kobi.pl/pl/product/10321,oprawa-meblowa-led-correa-3-4w-3000k-lx-kobi?currency=PLN</v>
      </c>
      <c r="P547" t="s">
        <v>3</v>
      </c>
      <c r="Q547"/>
    </row>
    <row r="548" spans="1:17" ht="14.4" x14ac:dyDescent="0.3">
      <c r="A548" t="s">
        <v>11</v>
      </c>
      <c r="B548" t="s">
        <v>23</v>
      </c>
      <c r="C548" t="s">
        <v>885</v>
      </c>
      <c r="D548" t="s">
        <v>1939</v>
      </c>
      <c r="E548" t="s">
        <v>1940</v>
      </c>
      <c r="F548" t="s">
        <v>855</v>
      </c>
      <c r="G548" s="35">
        <v>14</v>
      </c>
      <c r="H548" s="33">
        <f>G548*(1-IFERROR(VLOOKUP(F548,'enter the discount'!$D$10:$E$40,2,FALSE),0))</f>
        <v>14</v>
      </c>
      <c r="I548" s="35" t="s">
        <v>2609</v>
      </c>
      <c r="J548" s="33" t="s">
        <v>468</v>
      </c>
      <c r="K548" s="33" t="s">
        <v>2749</v>
      </c>
      <c r="L548">
        <v>50</v>
      </c>
      <c r="M548">
        <v>1200</v>
      </c>
      <c r="N548" t="s">
        <v>2755</v>
      </c>
      <c r="O548" s="34" t="str">
        <f>HYPERLINK("https://b2b.kobi.pl/pl/product/10323,oprawa-meblowa-led-click-1-5w-cct-kobi-premium?currency=PLN")</f>
        <v>https://b2b.kobi.pl/pl/product/10323,oprawa-meblowa-led-click-1-5w-cct-kobi-premium?currency=PLN</v>
      </c>
      <c r="P548" t="s">
        <v>3</v>
      </c>
      <c r="Q548"/>
    </row>
    <row r="549" spans="1:17" ht="14.4" x14ac:dyDescent="0.3">
      <c r="A549" t="s">
        <v>11</v>
      </c>
      <c r="B549" t="s">
        <v>23</v>
      </c>
      <c r="C549" t="s">
        <v>910</v>
      </c>
      <c r="D549" t="s">
        <v>1941</v>
      </c>
      <c r="E549" t="s">
        <v>1942</v>
      </c>
      <c r="F549" t="s">
        <v>855</v>
      </c>
      <c r="G549" s="35">
        <v>9.7899999999999991</v>
      </c>
      <c r="H549" s="33">
        <f>G549*(1-IFERROR(VLOOKUP(F549,'enter the discount'!$D$10:$E$40,2,FALSE),0))</f>
        <v>9.7899999999999991</v>
      </c>
      <c r="I549" s="35" t="s">
        <v>2594</v>
      </c>
      <c r="J549" s="33" t="s">
        <v>225</v>
      </c>
      <c r="K549" s="33" t="s">
        <v>2749</v>
      </c>
      <c r="L549">
        <v>30</v>
      </c>
      <c r="M549">
        <v>1200</v>
      </c>
      <c r="N549" t="s">
        <v>2754</v>
      </c>
      <c r="O549" s="34" t="str">
        <f>HYPERLINK("https://b2b.kobi.pl/pl/product/10335,oprawa-meblowa-led-wl-4w-4000k-kobi?currency=PLN")</f>
        <v>https://b2b.kobi.pl/pl/product/10335,oprawa-meblowa-led-wl-4w-4000k-kobi?currency=PLN</v>
      </c>
      <c r="P549" s="34" t="str">
        <f>HYPERLINK("https://eprel.ec.europa.eu/qr/862612")</f>
        <v>https://eprel.ec.europa.eu/qr/862612</v>
      </c>
      <c r="Q549" t="s">
        <v>2775</v>
      </c>
    </row>
    <row r="550" spans="1:17" ht="14.4" x14ac:dyDescent="0.3">
      <c r="A550" t="s">
        <v>11</v>
      </c>
      <c r="B550" t="s">
        <v>23</v>
      </c>
      <c r="C550" t="s">
        <v>910</v>
      </c>
      <c r="D550" t="s">
        <v>1943</v>
      </c>
      <c r="E550" t="s">
        <v>1944</v>
      </c>
      <c r="F550" t="s">
        <v>855</v>
      </c>
      <c r="G550" s="35">
        <v>11.57</v>
      </c>
      <c r="H550" s="33">
        <f>G550*(1-IFERROR(VLOOKUP(F550,'enter the discount'!$D$10:$E$40,2,FALSE),0))</f>
        <v>11.57</v>
      </c>
      <c r="I550" s="35" t="s">
        <v>2594</v>
      </c>
      <c r="J550" s="33" t="s">
        <v>226</v>
      </c>
      <c r="K550" s="33" t="s">
        <v>2749</v>
      </c>
      <c r="L550">
        <v>30</v>
      </c>
      <c r="M550">
        <v>720</v>
      </c>
      <c r="N550" t="s">
        <v>2754</v>
      </c>
      <c r="O550" s="34" t="str">
        <f>HYPERLINK("https://b2b.kobi.pl/pl/product/10337,oprawa-meblowa-led-wl-8w-4000k-kobi?currency=PLN")</f>
        <v>https://b2b.kobi.pl/pl/product/10337,oprawa-meblowa-led-wl-8w-4000k-kobi?currency=PLN</v>
      </c>
      <c r="P550" s="34" t="str">
        <f>HYPERLINK("https://eprel.ec.europa.eu/qr/862613")</f>
        <v>https://eprel.ec.europa.eu/qr/862613</v>
      </c>
      <c r="Q550" t="s">
        <v>2775</v>
      </c>
    </row>
    <row r="551" spans="1:17" ht="14.4" x14ac:dyDescent="0.3">
      <c r="A551" t="s">
        <v>11</v>
      </c>
      <c r="B551" t="s">
        <v>23</v>
      </c>
      <c r="C551" t="s">
        <v>910</v>
      </c>
      <c r="D551" t="s">
        <v>1945</v>
      </c>
      <c r="E551" t="s">
        <v>1946</v>
      </c>
      <c r="F551" t="s">
        <v>855</v>
      </c>
      <c r="G551" s="35">
        <v>14.99</v>
      </c>
      <c r="H551" s="33">
        <f>G551*(1-IFERROR(VLOOKUP(F551,'enter the discount'!$D$10:$E$40,2,FALSE),0))</f>
        <v>14.99</v>
      </c>
      <c r="I551" s="35" t="s">
        <v>2594</v>
      </c>
      <c r="J551" s="33" t="s">
        <v>470</v>
      </c>
      <c r="K551" s="33" t="s">
        <v>2749</v>
      </c>
      <c r="L551">
        <v>30</v>
      </c>
      <c r="M551">
        <v>450</v>
      </c>
      <c r="N551" t="s">
        <v>2754</v>
      </c>
      <c r="O551" s="34" t="str">
        <f>HYPERLINK("https://b2b.kobi.pl/pl/product/10332,oprawa-meblowa-led-wl-10w-3000k-kobi?currency=PLN")</f>
        <v>https://b2b.kobi.pl/pl/product/10332,oprawa-meblowa-led-wl-10w-3000k-kobi?currency=PLN</v>
      </c>
      <c r="P551" s="34" t="str">
        <f>HYPERLINK("https://eprel.ec.europa.eu/qr/1482315")</f>
        <v>https://eprel.ec.europa.eu/qr/1482315</v>
      </c>
      <c r="Q551" t="s">
        <v>2775</v>
      </c>
    </row>
    <row r="552" spans="1:17" ht="14.4" x14ac:dyDescent="0.3">
      <c r="A552" t="s">
        <v>11</v>
      </c>
      <c r="B552" t="s">
        <v>23</v>
      </c>
      <c r="C552" t="s">
        <v>910</v>
      </c>
      <c r="D552" t="s">
        <v>1947</v>
      </c>
      <c r="E552" t="s">
        <v>1948</v>
      </c>
      <c r="F552" t="s">
        <v>855</v>
      </c>
      <c r="G552" s="35">
        <v>14.99</v>
      </c>
      <c r="H552" s="33">
        <f>G552*(1-IFERROR(VLOOKUP(F552,'enter the discount'!$D$10:$E$40,2,FALSE),0))</f>
        <v>14.99</v>
      </c>
      <c r="I552" s="35" t="s">
        <v>2594</v>
      </c>
      <c r="J552" s="33" t="s">
        <v>227</v>
      </c>
      <c r="K552" s="33" t="s">
        <v>2749</v>
      </c>
      <c r="L552">
        <v>30</v>
      </c>
      <c r="M552">
        <v>510</v>
      </c>
      <c r="N552" t="s">
        <v>2754</v>
      </c>
      <c r="O552" s="34" t="str">
        <f>HYPERLINK("https://b2b.kobi.pl/pl/product/10331,oprawa-meblowa-led-wl-10w-4000k-kobi?currency=PLN")</f>
        <v>https://b2b.kobi.pl/pl/product/10331,oprawa-meblowa-led-wl-10w-4000k-kobi?currency=PLN</v>
      </c>
      <c r="P552" s="34" t="str">
        <f>HYPERLINK("https://eprel.ec.europa.eu/qr/862614")</f>
        <v>https://eprel.ec.europa.eu/qr/862614</v>
      </c>
      <c r="Q552" t="s">
        <v>2775</v>
      </c>
    </row>
    <row r="553" spans="1:17" ht="14.4" x14ac:dyDescent="0.3">
      <c r="A553" t="s">
        <v>11</v>
      </c>
      <c r="B553" t="s">
        <v>23</v>
      </c>
      <c r="C553" t="s">
        <v>910</v>
      </c>
      <c r="D553" t="s">
        <v>1949</v>
      </c>
      <c r="E553" t="s">
        <v>1950</v>
      </c>
      <c r="F553" t="s">
        <v>855</v>
      </c>
      <c r="G553" s="35">
        <v>16.09</v>
      </c>
      <c r="H553" s="33">
        <f>G553*(1-IFERROR(VLOOKUP(F553,'enter the discount'!$D$10:$E$40,2,FALSE),0))</f>
        <v>16.09</v>
      </c>
      <c r="I553" s="35" t="s">
        <v>2594</v>
      </c>
      <c r="J553" s="33" t="s">
        <v>471</v>
      </c>
      <c r="K553" s="33" t="s">
        <v>2749</v>
      </c>
      <c r="L553">
        <v>30</v>
      </c>
      <c r="M553">
        <v>450</v>
      </c>
      <c r="N553" t="s">
        <v>2754</v>
      </c>
      <c r="O553" s="34" t="str">
        <f>HYPERLINK("https://b2b.kobi.pl/pl/product/10334,oprawa-meblowa-led-wl-14w-3000k-kobi?currency=PLN")</f>
        <v>https://b2b.kobi.pl/pl/product/10334,oprawa-meblowa-led-wl-14w-3000k-kobi?currency=PLN</v>
      </c>
      <c r="P553" s="34" t="str">
        <f>HYPERLINK("https://eprel.ec.europa.eu/qr/1482407")</f>
        <v>https://eprel.ec.europa.eu/qr/1482407</v>
      </c>
      <c r="Q553" t="s">
        <v>2775</v>
      </c>
    </row>
    <row r="554" spans="1:17" ht="14.4" x14ac:dyDescent="0.3">
      <c r="A554" t="s">
        <v>11</v>
      </c>
      <c r="B554" t="s">
        <v>23</v>
      </c>
      <c r="C554" t="s">
        <v>910</v>
      </c>
      <c r="D554" t="s">
        <v>1951</v>
      </c>
      <c r="E554" t="s">
        <v>1952</v>
      </c>
      <c r="F554" t="s">
        <v>855</v>
      </c>
      <c r="G554" s="35">
        <v>16.09</v>
      </c>
      <c r="H554" s="33">
        <f>G554*(1-IFERROR(VLOOKUP(F554,'enter the discount'!$D$10:$E$40,2,FALSE),0))</f>
        <v>16.09</v>
      </c>
      <c r="I554" s="35" t="s">
        <v>2594</v>
      </c>
      <c r="J554" s="33" t="s">
        <v>228</v>
      </c>
      <c r="K554" s="33" t="s">
        <v>2749</v>
      </c>
      <c r="L554">
        <v>30</v>
      </c>
      <c r="M554">
        <v>450</v>
      </c>
      <c r="N554" t="s">
        <v>2754</v>
      </c>
      <c r="O554" s="34" t="str">
        <f>HYPERLINK("https://b2b.kobi.pl/pl/product/10333,oprawa-meblowa-led-wl-14w-4000k-kobi?currency=PLN")</f>
        <v>https://b2b.kobi.pl/pl/product/10333,oprawa-meblowa-led-wl-14w-4000k-kobi?currency=PLN</v>
      </c>
      <c r="P554" s="34" t="str">
        <f>HYPERLINK("https://eprel.ec.europa.eu/qr/862617")</f>
        <v>https://eprel.ec.europa.eu/qr/862617</v>
      </c>
      <c r="Q554" t="s">
        <v>2775</v>
      </c>
    </row>
    <row r="555" spans="1:17" ht="14.4" x14ac:dyDescent="0.3">
      <c r="A555" t="s">
        <v>11</v>
      </c>
      <c r="B555" t="s">
        <v>1953</v>
      </c>
      <c r="C555" t="s">
        <v>910</v>
      </c>
      <c r="D555" t="s">
        <v>1954</v>
      </c>
      <c r="E555" t="s">
        <v>1955</v>
      </c>
      <c r="F555" t="s">
        <v>850</v>
      </c>
      <c r="G555" s="35">
        <v>11.72</v>
      </c>
      <c r="H555" s="33">
        <f>G555*(1-IFERROR(VLOOKUP(F555,'enter the discount'!$D$10:$E$40,2,FALSE),0))</f>
        <v>11.72</v>
      </c>
      <c r="I555" s="35" t="s">
        <v>2609</v>
      </c>
      <c r="J555" s="33" t="s">
        <v>244</v>
      </c>
      <c r="K555" s="33" t="s">
        <v>2749</v>
      </c>
      <c r="L555">
        <v>24</v>
      </c>
      <c r="M555">
        <v>600</v>
      </c>
      <c r="N555" t="s">
        <v>2754</v>
      </c>
      <c r="O555" s="34" t="str">
        <f>HYPERLINK("https://b2b.kobi.pl/pl/product/10600,lampa-ogrodowa-blake-2-1xgu10-ip65-czarna-kobi?currency=PLN")</f>
        <v>https://b2b.kobi.pl/pl/product/10600,lampa-ogrodowa-blake-2-1xgu10-ip65-czarna-kobi?currency=PLN</v>
      </c>
      <c r="P555" t="s">
        <v>3</v>
      </c>
      <c r="Q555"/>
    </row>
    <row r="556" spans="1:17" ht="14.4" x14ac:dyDescent="0.3">
      <c r="A556" t="s">
        <v>11</v>
      </c>
      <c r="B556" t="s">
        <v>1953</v>
      </c>
      <c r="C556" t="s">
        <v>910</v>
      </c>
      <c r="D556" t="s">
        <v>1956</v>
      </c>
      <c r="E556" t="s">
        <v>1957</v>
      </c>
      <c r="F556" t="s">
        <v>850</v>
      </c>
      <c r="G556" s="35">
        <v>22.71</v>
      </c>
      <c r="H556" s="33">
        <f>G556*(1-IFERROR(VLOOKUP(F556,'enter the discount'!$D$10:$E$40,2,FALSE),0))</f>
        <v>22.71</v>
      </c>
      <c r="I556" s="35" t="s">
        <v>2609</v>
      </c>
      <c r="J556" s="33" t="s">
        <v>245</v>
      </c>
      <c r="K556" s="33" t="s">
        <v>2749</v>
      </c>
      <c r="L556">
        <v>18</v>
      </c>
      <c r="M556"/>
      <c r="N556" t="s">
        <v>2754</v>
      </c>
      <c r="O556" s="34" t="str">
        <f>HYPERLINK("https://b2b.kobi.pl/pl/product/10669,oprawa-najazdowa-entrada-1-1xgu10-kwadrat-kobi?currency=PLN")</f>
        <v>https://b2b.kobi.pl/pl/product/10669,oprawa-najazdowa-entrada-1-1xgu10-kwadrat-kobi?currency=PLN</v>
      </c>
      <c r="P556" t="s">
        <v>3</v>
      </c>
      <c r="Q556"/>
    </row>
    <row r="557" spans="1:17" ht="14.4" x14ac:dyDescent="0.3">
      <c r="A557" t="s">
        <v>11</v>
      </c>
      <c r="B557" t="s">
        <v>1953</v>
      </c>
      <c r="C557" t="s">
        <v>910</v>
      </c>
      <c r="D557" t="s">
        <v>1958</v>
      </c>
      <c r="E557" t="s">
        <v>1959</v>
      </c>
      <c r="F557" t="s">
        <v>850</v>
      </c>
      <c r="G557" s="35">
        <v>20.93</v>
      </c>
      <c r="H557" s="33">
        <f>G557*(1-IFERROR(VLOOKUP(F557,'enter the discount'!$D$10:$E$40,2,FALSE),0))</f>
        <v>20.93</v>
      </c>
      <c r="I557" s="35" t="s">
        <v>2609</v>
      </c>
      <c r="J557" s="33" t="s">
        <v>246</v>
      </c>
      <c r="K557" s="33" t="s">
        <v>2749</v>
      </c>
      <c r="L557">
        <v>18</v>
      </c>
      <c r="M557"/>
      <c r="N557" t="s">
        <v>2754</v>
      </c>
      <c r="O557" s="34" t="str">
        <f>HYPERLINK("https://b2b.kobi.pl/pl/product/10670,oprawa-najazdowa-entrada-2-1xgu10-okragla-kobi?currency=PLN")</f>
        <v>https://b2b.kobi.pl/pl/product/10670,oprawa-najazdowa-entrada-2-1xgu10-okragla-kobi?currency=PLN</v>
      </c>
      <c r="P557" t="s">
        <v>3</v>
      </c>
      <c r="Q557"/>
    </row>
    <row r="558" spans="1:17" ht="14.4" x14ac:dyDescent="0.3">
      <c r="A558" t="s">
        <v>11</v>
      </c>
      <c r="B558" t="s">
        <v>1960</v>
      </c>
      <c r="C558" t="s">
        <v>910</v>
      </c>
      <c r="D558" t="s">
        <v>1961</v>
      </c>
      <c r="E558" t="s">
        <v>1962</v>
      </c>
      <c r="F558" t="s">
        <v>856</v>
      </c>
      <c r="G558" s="35">
        <v>39.159999999999997</v>
      </c>
      <c r="H558" s="33">
        <f>G558*(1-IFERROR(VLOOKUP(F558,'enter the discount'!$D$10:$E$40,2,FALSE),0))</f>
        <v>39.159999999999997</v>
      </c>
      <c r="I558" s="35" t="s">
        <v>2609</v>
      </c>
      <c r="J558" s="33" t="s">
        <v>2665</v>
      </c>
      <c r="K558" s="33" t="s">
        <v>2749</v>
      </c>
      <c r="L558">
        <v>12</v>
      </c>
      <c r="M558"/>
      <c r="N558" t="s">
        <v>2754</v>
      </c>
      <c r="O558" s="34" t="str">
        <f>HYPERLINK("https://b2b.kobi.pl/pl/product/12135,uchwyt-montazowy-base-tp-360mm-fi-60mm-kobi?currency=PLN")</f>
        <v>https://b2b.kobi.pl/pl/product/12135,uchwyt-montazowy-base-tp-360mm-fi-60mm-kobi?currency=PLN</v>
      </c>
      <c r="P558" t="s">
        <v>3</v>
      </c>
      <c r="Q558"/>
    </row>
    <row r="559" spans="1:17" ht="14.4" x14ac:dyDescent="0.3">
      <c r="A559" t="s">
        <v>11</v>
      </c>
      <c r="B559" t="s">
        <v>1953</v>
      </c>
      <c r="C559" t="s">
        <v>30</v>
      </c>
      <c r="D559" t="s">
        <v>1963</v>
      </c>
      <c r="E559" t="s">
        <v>1964</v>
      </c>
      <c r="F559" t="s">
        <v>850</v>
      </c>
      <c r="G559" s="35">
        <v>13.83</v>
      </c>
      <c r="H559" s="33">
        <f>G559*(1-IFERROR(VLOOKUP(F559,'enter the discount'!$D$10:$E$40,2,FALSE),0))</f>
        <v>13.83</v>
      </c>
      <c r="I559" s="35" t="s">
        <v>2609</v>
      </c>
      <c r="J559" s="33" t="s">
        <v>530</v>
      </c>
      <c r="K559" s="33" t="s">
        <v>2749</v>
      </c>
      <c r="L559">
        <v>20</v>
      </c>
      <c r="M559"/>
      <c r="N559" t="s">
        <v>2754</v>
      </c>
      <c r="O559" s="34" t="str">
        <f>HYPERLINK("https://b2b.kobi.pl/pl/product/10579,oprawa-najazdowa-ingress-1xgu10-okragla-ip67-led2b?currency=PLN")</f>
        <v>https://b2b.kobi.pl/pl/product/10579,oprawa-najazdowa-ingress-1xgu10-okragla-ip67-led2b?currency=PLN</v>
      </c>
      <c r="P559" t="s">
        <v>3</v>
      </c>
      <c r="Q559"/>
    </row>
    <row r="560" spans="1:17" ht="14.4" x14ac:dyDescent="0.3">
      <c r="A560" t="s">
        <v>11</v>
      </c>
      <c r="B560" t="s">
        <v>1953</v>
      </c>
      <c r="C560" t="s">
        <v>30</v>
      </c>
      <c r="D560" t="s">
        <v>1965</v>
      </c>
      <c r="E560" t="s">
        <v>1966</v>
      </c>
      <c r="F560" t="s">
        <v>850</v>
      </c>
      <c r="G560" s="35">
        <v>14.41</v>
      </c>
      <c r="H560" s="33">
        <f>G560*(1-IFERROR(VLOOKUP(F560,'enter the discount'!$D$10:$E$40,2,FALSE),0))</f>
        <v>14.41</v>
      </c>
      <c r="I560" s="35" t="s">
        <v>2609</v>
      </c>
      <c r="J560" s="33" t="s">
        <v>531</v>
      </c>
      <c r="K560" s="33" t="s">
        <v>2749</v>
      </c>
      <c r="L560">
        <v>20</v>
      </c>
      <c r="M560"/>
      <c r="N560" t="s">
        <v>2754</v>
      </c>
      <c r="O560" s="34" t="str">
        <f>HYPERLINK("https://b2b.kobi.pl/pl/product/10580,oprawa-najazdowa-ingress-1xgu10-kwadratowa-ip67-led2b?currency=PLN")</f>
        <v>https://b2b.kobi.pl/pl/product/10580,oprawa-najazdowa-ingress-1xgu10-kwadratowa-ip67-led2b?currency=PLN</v>
      </c>
      <c r="P560" t="s">
        <v>3</v>
      </c>
      <c r="Q560"/>
    </row>
    <row r="561" spans="1:17" ht="14.4" x14ac:dyDescent="0.3">
      <c r="A561" t="s">
        <v>11</v>
      </c>
      <c r="B561" t="s">
        <v>1960</v>
      </c>
      <c r="C561" t="s">
        <v>30</v>
      </c>
      <c r="D561" t="s">
        <v>1967</v>
      </c>
      <c r="E561" t="s">
        <v>1968</v>
      </c>
      <c r="F561" t="s">
        <v>856</v>
      </c>
      <c r="G561" s="35">
        <v>11.45</v>
      </c>
      <c r="H561" s="33">
        <f>G561*(1-IFERROR(VLOOKUP(F561,'enter the discount'!$D$10:$E$40,2,FALSE),0))</f>
        <v>11.45</v>
      </c>
      <c r="I561" s="35" t="s">
        <v>2609</v>
      </c>
      <c r="J561" s="33" t="s">
        <v>2666</v>
      </c>
      <c r="K561" s="33" t="s">
        <v>2749</v>
      </c>
      <c r="L561">
        <v>10</v>
      </c>
      <c r="M561"/>
      <c r="N561" t="s">
        <v>2754</v>
      </c>
      <c r="O561" s="34" t="str">
        <f>HYPERLINK("https://b2b.kobi.pl/pl/product/12126,uchwyt-scienny-base-se-500mm-fi-48mm-led2b?currency=PLN")</f>
        <v>https://b2b.kobi.pl/pl/product/12126,uchwyt-scienny-base-se-500mm-fi-48mm-led2b?currency=PLN</v>
      </c>
      <c r="P561" t="s">
        <v>3</v>
      </c>
      <c r="Q561"/>
    </row>
    <row r="562" spans="1:17" ht="14.4" x14ac:dyDescent="0.3">
      <c r="A562" t="s">
        <v>11</v>
      </c>
      <c r="B562" t="s">
        <v>1960</v>
      </c>
      <c r="C562" t="s">
        <v>910</v>
      </c>
      <c r="D562" t="s">
        <v>1969</v>
      </c>
      <c r="E562" t="s">
        <v>1970</v>
      </c>
      <c r="F562" t="s">
        <v>856</v>
      </c>
      <c r="G562" s="35">
        <v>95.78</v>
      </c>
      <c r="H562" s="33">
        <f>G562*(1-IFERROR(VLOOKUP(F562,'enter the discount'!$D$10:$E$40,2,FALSE),0))</f>
        <v>95.78</v>
      </c>
      <c r="I562" s="35" t="s">
        <v>2609</v>
      </c>
      <c r="J562" s="33" t="s">
        <v>2667</v>
      </c>
      <c r="K562" s="33" t="s">
        <v>2749</v>
      </c>
      <c r="L562">
        <v>1</v>
      </c>
      <c r="M562"/>
      <c r="N562" t="s">
        <v>2754</v>
      </c>
      <c r="O562" s="34" t="str">
        <f>HYPERLINK("https://b2b.kobi.pl/pl/product/12128,slup-base-sg-3m-fi-60mm-kobi?currency=PLN")</f>
        <v>https://b2b.kobi.pl/pl/product/12128,slup-base-sg-3m-fi-60mm-kobi?currency=PLN</v>
      </c>
      <c r="P562" t="s">
        <v>3</v>
      </c>
      <c r="Q562"/>
    </row>
    <row r="563" spans="1:17" ht="14.4" x14ac:dyDescent="0.3">
      <c r="A563" t="s">
        <v>11</v>
      </c>
      <c r="B563" t="s">
        <v>1960</v>
      </c>
      <c r="C563" t="s">
        <v>910</v>
      </c>
      <c r="D563" t="s">
        <v>1971</v>
      </c>
      <c r="E563" t="s">
        <v>1972</v>
      </c>
      <c r="F563" t="s">
        <v>856</v>
      </c>
      <c r="G563" s="35">
        <v>119.88</v>
      </c>
      <c r="H563" s="33">
        <f>G563*(1-IFERROR(VLOOKUP(F563,'enter the discount'!$D$10:$E$40,2,FALSE),0))</f>
        <v>119.88</v>
      </c>
      <c r="I563" s="35" t="s">
        <v>2609</v>
      </c>
      <c r="J563" s="33" t="s">
        <v>2668</v>
      </c>
      <c r="K563" s="33" t="s">
        <v>2749</v>
      </c>
      <c r="L563">
        <v>1</v>
      </c>
      <c r="M563"/>
      <c r="N563" t="s">
        <v>2754</v>
      </c>
      <c r="O563" s="34" t="str">
        <f>HYPERLINK("https://b2b.kobi.pl/pl/product/12129,slup-base-sg-4m-fi-60mm-kobi?currency=PLN")</f>
        <v>https://b2b.kobi.pl/pl/product/12129,slup-base-sg-4m-fi-60mm-kobi?currency=PLN</v>
      </c>
      <c r="P563" t="s">
        <v>3</v>
      </c>
      <c r="Q563"/>
    </row>
    <row r="564" spans="1:17" ht="14.4" x14ac:dyDescent="0.3">
      <c r="A564" t="s">
        <v>11</v>
      </c>
      <c r="B564" t="s">
        <v>18</v>
      </c>
      <c r="C564" t="s">
        <v>910</v>
      </c>
      <c r="D564" t="s">
        <v>1973</v>
      </c>
      <c r="E564" t="s">
        <v>1974</v>
      </c>
      <c r="F564" t="s">
        <v>853</v>
      </c>
      <c r="G564" s="35">
        <v>14.3</v>
      </c>
      <c r="H564" s="33">
        <f>G564*(1-IFERROR(VLOOKUP(F564,'enter the discount'!$D$10:$E$40,2,FALSE),0))</f>
        <v>14.3</v>
      </c>
      <c r="I564" s="35" t="s">
        <v>2609</v>
      </c>
      <c r="J564" s="33" t="s">
        <v>219</v>
      </c>
      <c r="K564" s="33" t="s">
        <v>2749</v>
      </c>
      <c r="L564">
        <v>12</v>
      </c>
      <c r="M564">
        <v>240</v>
      </c>
      <c r="N564" t="s">
        <v>2754</v>
      </c>
      <c r="O564" s="34" t="str">
        <f>HYPERLINK("https://b2b.kobi.pl/pl/product/10295,lampka-biurkowa-smieszek-1xe27-biala-kobi?currency=PLN")</f>
        <v>https://b2b.kobi.pl/pl/product/10295,lampka-biurkowa-smieszek-1xe27-biala-kobi?currency=PLN</v>
      </c>
      <c r="P564" t="s">
        <v>3</v>
      </c>
      <c r="Q564"/>
    </row>
    <row r="565" spans="1:17" ht="14.4" x14ac:dyDescent="0.3">
      <c r="A565" t="s">
        <v>11</v>
      </c>
      <c r="B565" t="s">
        <v>18</v>
      </c>
      <c r="C565" t="s">
        <v>910</v>
      </c>
      <c r="D565" t="s">
        <v>1975</v>
      </c>
      <c r="E565" t="s">
        <v>1976</v>
      </c>
      <c r="F565" t="s">
        <v>853</v>
      </c>
      <c r="G565" s="35">
        <v>14.3</v>
      </c>
      <c r="H565" s="33">
        <f>G565*(1-IFERROR(VLOOKUP(F565,'enter the discount'!$D$10:$E$40,2,FALSE),0))</f>
        <v>14.3</v>
      </c>
      <c r="I565" s="35" t="s">
        <v>2609</v>
      </c>
      <c r="J565" s="33" t="s">
        <v>220</v>
      </c>
      <c r="K565" s="33" t="s">
        <v>2749</v>
      </c>
      <c r="L565">
        <v>12</v>
      </c>
      <c r="M565">
        <v>240</v>
      </c>
      <c r="N565" t="s">
        <v>2754</v>
      </c>
      <c r="O565" s="34" t="str">
        <f>HYPERLINK("https://b2b.kobi.pl/pl/product/10296,lampka-biurkowa-smieszek-1xe27-czarna-kobi?currency=PLN")</f>
        <v>https://b2b.kobi.pl/pl/product/10296,lampka-biurkowa-smieszek-1xe27-czarna-kobi?currency=PLN</v>
      </c>
      <c r="P565" t="s">
        <v>3</v>
      </c>
      <c r="Q565"/>
    </row>
    <row r="566" spans="1:17" ht="14.4" x14ac:dyDescent="0.3">
      <c r="A566" t="s">
        <v>11</v>
      </c>
      <c r="B566" t="s">
        <v>18</v>
      </c>
      <c r="C566" t="s">
        <v>910</v>
      </c>
      <c r="D566" t="s">
        <v>1977</v>
      </c>
      <c r="E566" t="s">
        <v>1978</v>
      </c>
      <c r="F566" t="s">
        <v>853</v>
      </c>
      <c r="G566" s="35">
        <v>14.3</v>
      </c>
      <c r="H566" s="33">
        <f>G566*(1-IFERROR(VLOOKUP(F566,'enter the discount'!$D$10:$E$40,2,FALSE),0))</f>
        <v>14.3</v>
      </c>
      <c r="I566" s="35" t="s">
        <v>2609</v>
      </c>
      <c r="J566" s="33" t="s">
        <v>221</v>
      </c>
      <c r="K566" s="33" t="s">
        <v>2749</v>
      </c>
      <c r="L566">
        <v>12</v>
      </c>
      <c r="M566">
        <v>240</v>
      </c>
      <c r="N566" t="s">
        <v>2754</v>
      </c>
      <c r="O566" s="34" t="str">
        <f>HYPERLINK("https://b2b.kobi.pl/pl/product/10297,lampka-biurkowa-smieszek-1xe27-czerwona-kobi?currency=PLN")</f>
        <v>https://b2b.kobi.pl/pl/product/10297,lampka-biurkowa-smieszek-1xe27-czerwona-kobi?currency=PLN</v>
      </c>
      <c r="P566" t="s">
        <v>3</v>
      </c>
      <c r="Q566"/>
    </row>
    <row r="567" spans="1:17" ht="14.4" x14ac:dyDescent="0.3">
      <c r="A567" t="s">
        <v>11</v>
      </c>
      <c r="B567" t="s">
        <v>18</v>
      </c>
      <c r="C567" t="s">
        <v>910</v>
      </c>
      <c r="D567" t="s">
        <v>1979</v>
      </c>
      <c r="E567" t="s">
        <v>1980</v>
      </c>
      <c r="F567" t="s">
        <v>853</v>
      </c>
      <c r="G567" s="35">
        <v>14.3</v>
      </c>
      <c r="H567" s="33">
        <f>G567*(1-IFERROR(VLOOKUP(F567,'enter the discount'!$D$10:$E$40,2,FALSE),0))</f>
        <v>14.3</v>
      </c>
      <c r="I567" s="35" t="s">
        <v>2609</v>
      </c>
      <c r="J567" s="33" t="s">
        <v>222</v>
      </c>
      <c r="K567" s="33" t="s">
        <v>2749</v>
      </c>
      <c r="L567">
        <v>12</v>
      </c>
      <c r="M567">
        <v>240</v>
      </c>
      <c r="N567" t="s">
        <v>2754</v>
      </c>
      <c r="O567" s="34" t="str">
        <f>HYPERLINK("https://b2b.kobi.pl/pl/product/10298,lampka-biurkowa-smieszek-1xe27-niebieska-kobi?currency=PLN")</f>
        <v>https://b2b.kobi.pl/pl/product/10298,lampka-biurkowa-smieszek-1xe27-niebieska-kobi?currency=PLN</v>
      </c>
      <c r="P567" t="s">
        <v>3</v>
      </c>
      <c r="Q567"/>
    </row>
    <row r="568" spans="1:17" ht="14.4" x14ac:dyDescent="0.3">
      <c r="A568" t="s">
        <v>11</v>
      </c>
      <c r="B568" t="s">
        <v>18</v>
      </c>
      <c r="C568" t="s">
        <v>910</v>
      </c>
      <c r="D568" t="s">
        <v>1981</v>
      </c>
      <c r="E568" t="s">
        <v>1982</v>
      </c>
      <c r="F568" t="s">
        <v>853</v>
      </c>
      <c r="G568" s="35">
        <v>14.3</v>
      </c>
      <c r="H568" s="33">
        <f>G568*(1-IFERROR(VLOOKUP(F568,'enter the discount'!$D$10:$E$40,2,FALSE),0))</f>
        <v>14.3</v>
      </c>
      <c r="I568" s="35" t="s">
        <v>2609</v>
      </c>
      <c r="J568" s="33" t="s">
        <v>454</v>
      </c>
      <c r="K568" s="33" t="s">
        <v>2749</v>
      </c>
      <c r="L568">
        <v>12</v>
      </c>
      <c r="M568">
        <v>240</v>
      </c>
      <c r="N568" t="s">
        <v>2754</v>
      </c>
      <c r="O568" s="34" t="str">
        <f>HYPERLINK("https://b2b.kobi.pl/pl/product/10299,lampka-biurkowa-smieszek-1xe27-rozowa-kobi?currency=PLN")</f>
        <v>https://b2b.kobi.pl/pl/product/10299,lampka-biurkowa-smieszek-1xe27-rozowa-kobi?currency=PLN</v>
      </c>
      <c r="P568" t="s">
        <v>3</v>
      </c>
      <c r="Q568"/>
    </row>
    <row r="569" spans="1:17" ht="14.4" x14ac:dyDescent="0.3">
      <c r="A569" t="s">
        <v>11</v>
      </c>
      <c r="B569" t="s">
        <v>18</v>
      </c>
      <c r="C569" t="s">
        <v>910</v>
      </c>
      <c r="D569" t="s">
        <v>1983</v>
      </c>
      <c r="E569" t="s">
        <v>1984</v>
      </c>
      <c r="F569" t="s">
        <v>853</v>
      </c>
      <c r="G569" s="35">
        <v>14.3</v>
      </c>
      <c r="H569" s="33">
        <f>G569*(1-IFERROR(VLOOKUP(F569,'enter the discount'!$D$10:$E$40,2,FALSE),0))</f>
        <v>14.3</v>
      </c>
      <c r="I569" s="35" t="s">
        <v>2609</v>
      </c>
      <c r="J569" s="33" t="s">
        <v>223</v>
      </c>
      <c r="K569" s="33" t="s">
        <v>2749</v>
      </c>
      <c r="L569">
        <v>12</v>
      </c>
      <c r="M569">
        <v>240</v>
      </c>
      <c r="N569" t="s">
        <v>2754</v>
      </c>
      <c r="O569" s="34" t="str">
        <f>HYPERLINK("https://b2b.kobi.pl/pl/product/10300,lampka-biurkowa-smieszek-1xe27-zielona-kobi?currency=PLN")</f>
        <v>https://b2b.kobi.pl/pl/product/10300,lampka-biurkowa-smieszek-1xe27-zielona-kobi?currency=PLN</v>
      </c>
      <c r="P569" t="s">
        <v>3</v>
      </c>
      <c r="Q569"/>
    </row>
    <row r="570" spans="1:17" ht="14.4" x14ac:dyDescent="0.3">
      <c r="A570" t="s">
        <v>11</v>
      </c>
      <c r="B570" t="s">
        <v>18</v>
      </c>
      <c r="C570" t="s">
        <v>910</v>
      </c>
      <c r="D570" t="s">
        <v>1985</v>
      </c>
      <c r="E570" t="s">
        <v>1986</v>
      </c>
      <c r="F570" t="s">
        <v>853</v>
      </c>
      <c r="G570" s="35">
        <v>14.3</v>
      </c>
      <c r="H570" s="33">
        <f>G570*(1-IFERROR(VLOOKUP(F570,'enter the discount'!$D$10:$E$40,2,FALSE),0))</f>
        <v>14.3</v>
      </c>
      <c r="I570" s="35" t="s">
        <v>2609</v>
      </c>
      <c r="J570" s="33" t="s">
        <v>224</v>
      </c>
      <c r="K570" s="33" t="s">
        <v>2749</v>
      </c>
      <c r="L570">
        <v>12</v>
      </c>
      <c r="M570">
        <v>240</v>
      </c>
      <c r="N570" t="s">
        <v>2754</v>
      </c>
      <c r="O570" s="34" t="str">
        <f>HYPERLINK("https://b2b.kobi.pl/pl/product/10301,lampka-biurkowa-smieszek-1xe27-zolta-kobi?currency=PLN")</f>
        <v>https://b2b.kobi.pl/pl/product/10301,lampka-biurkowa-smieszek-1xe27-zolta-kobi?currency=PLN</v>
      </c>
      <c r="P570" t="s">
        <v>3</v>
      </c>
      <c r="Q570"/>
    </row>
    <row r="571" spans="1:17" ht="14.4" x14ac:dyDescent="0.3">
      <c r="A571" t="s">
        <v>11</v>
      </c>
      <c r="B571" t="s">
        <v>18</v>
      </c>
      <c r="C571" t="s">
        <v>885</v>
      </c>
      <c r="D571" t="s">
        <v>1987</v>
      </c>
      <c r="E571" t="s">
        <v>1988</v>
      </c>
      <c r="F571" t="s">
        <v>853</v>
      </c>
      <c r="G571" s="35">
        <v>40.479999999999997</v>
      </c>
      <c r="H571" s="33">
        <f>G571*(1-IFERROR(VLOOKUP(F571,'enter the discount'!$D$10:$E$40,2,FALSE),0))</f>
        <v>40.479999999999997</v>
      </c>
      <c r="I571" s="35" t="s">
        <v>2609</v>
      </c>
      <c r="J571" s="33" t="s">
        <v>511</v>
      </c>
      <c r="K571" s="33" t="s">
        <v>2749</v>
      </c>
      <c r="L571">
        <v>12</v>
      </c>
      <c r="M571"/>
      <c r="N571" t="s">
        <v>2755</v>
      </c>
      <c r="O571" s="34" t="str">
        <f>HYPERLINK("https://b2b.kobi.pl/pl/product/10302,lampka-biurkowa-led-lizbona-3-5w-ip54-biala-kobi-premium?currency=PLN")</f>
        <v>https://b2b.kobi.pl/pl/product/10302,lampka-biurkowa-led-lizbona-3-5w-ip54-biala-kobi-premium?currency=PLN</v>
      </c>
      <c r="P571" t="s">
        <v>3</v>
      </c>
      <c r="Q571"/>
    </row>
    <row r="572" spans="1:17" ht="14.4" x14ac:dyDescent="0.3">
      <c r="A572" t="s">
        <v>11</v>
      </c>
      <c r="B572" t="s">
        <v>18</v>
      </c>
      <c r="C572" t="s">
        <v>885</v>
      </c>
      <c r="D572" t="s">
        <v>1989</v>
      </c>
      <c r="E572" t="s">
        <v>1990</v>
      </c>
      <c r="F572" t="s">
        <v>853</v>
      </c>
      <c r="G572" s="35">
        <v>40.479999999999997</v>
      </c>
      <c r="H572" s="33">
        <f>G572*(1-IFERROR(VLOOKUP(F572,'enter the discount'!$D$10:$E$40,2,FALSE),0))</f>
        <v>40.479999999999997</v>
      </c>
      <c r="I572" s="35" t="s">
        <v>2609</v>
      </c>
      <c r="J572" s="33" t="s">
        <v>512</v>
      </c>
      <c r="K572" s="33" t="s">
        <v>2749</v>
      </c>
      <c r="L572">
        <v>12</v>
      </c>
      <c r="M572"/>
      <c r="N572" t="s">
        <v>2755</v>
      </c>
      <c r="O572" s="34" t="str">
        <f>HYPERLINK("https://b2b.kobi.pl/pl/product/10303,lampka-biurkowa-led-lizbona-3-5w-ip54-czarna-kobi-premium?currency=PLN")</f>
        <v>https://b2b.kobi.pl/pl/product/10303,lampka-biurkowa-led-lizbona-3-5w-ip54-czarna-kobi-premium?currency=PLN</v>
      </c>
      <c r="P572" t="s">
        <v>3</v>
      </c>
      <c r="Q572"/>
    </row>
    <row r="573" spans="1:17" ht="14.4" x14ac:dyDescent="0.3">
      <c r="A573" t="s">
        <v>11</v>
      </c>
      <c r="B573" t="s">
        <v>18</v>
      </c>
      <c r="C573" t="s">
        <v>30</v>
      </c>
      <c r="D573" t="s">
        <v>1991</v>
      </c>
      <c r="E573" t="s">
        <v>1992</v>
      </c>
      <c r="F573" t="s">
        <v>853</v>
      </c>
      <c r="G573" s="35">
        <v>15.21</v>
      </c>
      <c r="H573" s="33">
        <f>G573*(1-IFERROR(VLOOKUP(F573,'enter the discount'!$D$10:$E$40,2,FALSE),0))</f>
        <v>15.21</v>
      </c>
      <c r="I573" s="35" t="s">
        <v>2609</v>
      </c>
      <c r="J573" s="33" t="s">
        <v>697</v>
      </c>
      <c r="K573" s="33" t="s">
        <v>2749</v>
      </c>
      <c r="L573">
        <v>12</v>
      </c>
      <c r="M573"/>
      <c r="N573" t="s">
        <v>2754</v>
      </c>
      <c r="O573" s="34" t="str">
        <f>HYPERLINK("https://b2b.kobi.pl/pl/product/10304,lampka-biurkowa-auriq-1xe27-biala-led2b?currency=PLN")</f>
        <v>https://b2b.kobi.pl/pl/product/10304,lampka-biurkowa-auriq-1xe27-biala-led2b?currency=PLN</v>
      </c>
      <c r="P573" t="s">
        <v>3</v>
      </c>
      <c r="Q573"/>
    </row>
    <row r="574" spans="1:17" ht="14.4" x14ac:dyDescent="0.3">
      <c r="A574" t="s">
        <v>11</v>
      </c>
      <c r="B574" t="s">
        <v>18</v>
      </c>
      <c r="C574" t="s">
        <v>30</v>
      </c>
      <c r="D574" t="s">
        <v>1993</v>
      </c>
      <c r="E574" t="s">
        <v>1994</v>
      </c>
      <c r="F574" t="s">
        <v>853</v>
      </c>
      <c r="G574" s="35">
        <v>15.21</v>
      </c>
      <c r="H574" s="33">
        <f>G574*(1-IFERROR(VLOOKUP(F574,'enter the discount'!$D$10:$E$40,2,FALSE),0))</f>
        <v>15.21</v>
      </c>
      <c r="I574" s="35" t="s">
        <v>2609</v>
      </c>
      <c r="J574" s="33" t="s">
        <v>696</v>
      </c>
      <c r="K574" s="33" t="s">
        <v>2749</v>
      </c>
      <c r="L574">
        <v>12</v>
      </c>
      <c r="M574"/>
      <c r="N574" t="s">
        <v>2754</v>
      </c>
      <c r="O574" s="34" t="str">
        <f>HYPERLINK("https://b2b.kobi.pl/pl/product/10305,lampka-biurkowa-auriq-1xe27-czarna-led2b?currency=PLN")</f>
        <v>https://b2b.kobi.pl/pl/product/10305,lampka-biurkowa-auriq-1xe27-czarna-led2b?currency=PLN</v>
      </c>
      <c r="P574" t="s">
        <v>3</v>
      </c>
      <c r="Q574"/>
    </row>
    <row r="575" spans="1:17" ht="14.4" x14ac:dyDescent="0.3">
      <c r="A575" t="s">
        <v>11</v>
      </c>
      <c r="B575" t="s">
        <v>18</v>
      </c>
      <c r="C575" t="s">
        <v>30</v>
      </c>
      <c r="D575" t="s">
        <v>1995</v>
      </c>
      <c r="E575" t="s">
        <v>1996</v>
      </c>
      <c r="F575" t="s">
        <v>853</v>
      </c>
      <c r="G575" s="35">
        <v>28.31</v>
      </c>
      <c r="H575" s="33">
        <f>G575*(1-IFERROR(VLOOKUP(F575,'enter the discount'!$D$10:$E$40,2,FALSE),0))</f>
        <v>28.31</v>
      </c>
      <c r="I575" s="35" t="s">
        <v>2609</v>
      </c>
      <c r="J575" s="33" t="s">
        <v>698</v>
      </c>
      <c r="K575" s="33" t="s">
        <v>2749</v>
      </c>
      <c r="L575">
        <v>5</v>
      </c>
      <c r="M575"/>
      <c r="N575" t="s">
        <v>2754</v>
      </c>
      <c r="O575" s="34" t="str">
        <f>HYPERLINK("https://b2b.kobi.pl/pl/product/10306,lampa-podlogowa-auriq-st-1xe27-czarna-led2b?currency=PLN")</f>
        <v>https://b2b.kobi.pl/pl/product/10306,lampa-podlogowa-auriq-st-1xe27-czarna-led2b?currency=PLN</v>
      </c>
      <c r="P575" t="s">
        <v>3</v>
      </c>
      <c r="Q575"/>
    </row>
    <row r="576" spans="1:17" ht="14.4" x14ac:dyDescent="0.3">
      <c r="A576" t="s">
        <v>11</v>
      </c>
      <c r="B576" t="s">
        <v>18</v>
      </c>
      <c r="C576" t="s">
        <v>30</v>
      </c>
      <c r="D576" t="s">
        <v>1997</v>
      </c>
      <c r="E576" t="s">
        <v>1998</v>
      </c>
      <c r="F576" t="s">
        <v>853</v>
      </c>
      <c r="G576" s="35">
        <v>51.06</v>
      </c>
      <c r="H576" s="33">
        <f>G576*(1-IFERROR(VLOOKUP(F576,'enter the discount'!$D$10:$E$40,2,FALSE),0))</f>
        <v>51.06</v>
      </c>
      <c r="I576" s="35" t="s">
        <v>2609</v>
      </c>
      <c r="J576" s="33" t="s">
        <v>699</v>
      </c>
      <c r="K576" s="33" t="s">
        <v>2749</v>
      </c>
      <c r="L576">
        <v>18</v>
      </c>
      <c r="M576"/>
      <c r="N576" t="s">
        <v>2754</v>
      </c>
      <c r="O576" s="34" t="str">
        <f>HYPERLINK("https://b2b.kobi.pl/pl/product/10308,lampka-biurkowa-led-noblite-7w-cct-czarna-led2b?currency=PLN")</f>
        <v>https://b2b.kobi.pl/pl/product/10308,lampka-biurkowa-led-noblite-7w-cct-czarna-led2b?currency=PLN</v>
      </c>
      <c r="P576" s="34" t="str">
        <f>HYPERLINK("https://eprel.ec.europa.eu/qr/2076933")</f>
        <v>https://eprel.ec.europa.eu/qr/2076933</v>
      </c>
      <c r="Q576" t="s">
        <v>2775</v>
      </c>
    </row>
    <row r="577" spans="1:17" ht="14.4" x14ac:dyDescent="0.3">
      <c r="A577" t="s">
        <v>11</v>
      </c>
      <c r="B577" t="s">
        <v>18</v>
      </c>
      <c r="C577" t="s">
        <v>30</v>
      </c>
      <c r="D577" t="s">
        <v>1999</v>
      </c>
      <c r="E577" t="s">
        <v>2000</v>
      </c>
      <c r="F577" t="s">
        <v>853</v>
      </c>
      <c r="G577" s="35">
        <v>51.06</v>
      </c>
      <c r="H577" s="33">
        <f>G577*(1-IFERROR(VLOOKUP(F577,'enter the discount'!$D$10:$E$40,2,FALSE),0))</f>
        <v>51.06</v>
      </c>
      <c r="I577" s="35" t="s">
        <v>2609</v>
      </c>
      <c r="J577" s="33" t="s">
        <v>700</v>
      </c>
      <c r="K577" s="33" t="s">
        <v>2749</v>
      </c>
      <c r="L577">
        <v>18</v>
      </c>
      <c r="M577"/>
      <c r="N577" t="s">
        <v>2754</v>
      </c>
      <c r="O577" s="34" t="str">
        <f>HYPERLINK("https://b2b.kobi.pl/pl/product/10307,lampka-biurkowa-led-noblite-7w-cct-biala-led2b?currency=PLN")</f>
        <v>https://b2b.kobi.pl/pl/product/10307,lampka-biurkowa-led-noblite-7w-cct-biala-led2b?currency=PLN</v>
      </c>
      <c r="P577" s="34" t="str">
        <f>HYPERLINK("https://eprel.ec.europa.eu/qr/2076933")</f>
        <v>https://eprel.ec.europa.eu/qr/2076933</v>
      </c>
      <c r="Q577" t="s">
        <v>2775</v>
      </c>
    </row>
    <row r="578" spans="1:17" ht="14.4" x14ac:dyDescent="0.3">
      <c r="A578" t="s">
        <v>11</v>
      </c>
      <c r="B578" t="s">
        <v>18</v>
      </c>
      <c r="C578" t="s">
        <v>30</v>
      </c>
      <c r="D578" t="s">
        <v>2001</v>
      </c>
      <c r="E578" t="s">
        <v>2002</v>
      </c>
      <c r="F578" t="s">
        <v>853</v>
      </c>
      <c r="G578" s="35">
        <v>24.04</v>
      </c>
      <c r="H578" s="33">
        <f>G578*(1-IFERROR(VLOOKUP(F578,'enter the discount'!$D$10:$E$40,2,FALSE),0))</f>
        <v>24.04</v>
      </c>
      <c r="I578" s="35" t="s">
        <v>2593</v>
      </c>
      <c r="J578" s="33" t="s">
        <v>694</v>
      </c>
      <c r="K578" s="33" t="s">
        <v>2749</v>
      </c>
      <c r="L578">
        <v>8</v>
      </c>
      <c r="M578"/>
      <c r="N578" t="s">
        <v>2754</v>
      </c>
      <c r="O578" s="34" t="str">
        <f>HYPERLINK("https://b2b.kobi.pl/pl/product/10309,lampka-biurkowa-led-tenuix-14w-cct-czarna-led2b?currency=PLN")</f>
        <v>https://b2b.kobi.pl/pl/product/10309,lampka-biurkowa-led-tenuix-14w-cct-czarna-led2b?currency=PLN</v>
      </c>
      <c r="P578" s="34" t="str">
        <f>HYPERLINK("https://eprel.ec.europa.eu/qr/2077025")</f>
        <v>https://eprel.ec.europa.eu/qr/2077025</v>
      </c>
      <c r="Q578"/>
    </row>
    <row r="579" spans="1:17" ht="14.4" x14ac:dyDescent="0.3">
      <c r="A579" t="s">
        <v>11</v>
      </c>
      <c r="B579" t="s">
        <v>18</v>
      </c>
      <c r="C579" t="s">
        <v>30</v>
      </c>
      <c r="D579" t="s">
        <v>2003</v>
      </c>
      <c r="E579" t="s">
        <v>2004</v>
      </c>
      <c r="F579" t="s">
        <v>853</v>
      </c>
      <c r="G579" s="35">
        <v>35.950000000000003</v>
      </c>
      <c r="H579" s="33">
        <f>G579*(1-IFERROR(VLOOKUP(F579,'enter the discount'!$D$10:$E$40,2,FALSE),0))</f>
        <v>35.950000000000003</v>
      </c>
      <c r="I579" s="35" t="s">
        <v>2609</v>
      </c>
      <c r="J579" s="33" t="s">
        <v>695</v>
      </c>
      <c r="K579" s="33" t="s">
        <v>2749</v>
      </c>
      <c r="L579">
        <v>16</v>
      </c>
      <c r="M579"/>
      <c r="N579" t="s">
        <v>2754</v>
      </c>
      <c r="O579" s="34" t="str">
        <f>HYPERLINK("https://b2b.kobi.pl/pl/product/10310,lampka-biurkowa-led-tenuix-duo-28w-cct-czarna-led2b?currency=PLN")</f>
        <v>https://b2b.kobi.pl/pl/product/10310,lampka-biurkowa-led-tenuix-duo-28w-cct-czarna-led2b?currency=PLN</v>
      </c>
      <c r="P579" s="34" t="str">
        <f>HYPERLINK("https://eprel.ec.europa.eu/qr/2077037")</f>
        <v>https://eprel.ec.europa.eu/qr/2077037</v>
      </c>
      <c r="Q579"/>
    </row>
    <row r="580" spans="1:17" ht="14.4" x14ac:dyDescent="0.3">
      <c r="A580" t="s">
        <v>11</v>
      </c>
      <c r="B580" t="s">
        <v>18</v>
      </c>
      <c r="C580" t="s">
        <v>30</v>
      </c>
      <c r="D580" t="s">
        <v>2005</v>
      </c>
      <c r="E580" t="s">
        <v>2006</v>
      </c>
      <c r="F580" t="s">
        <v>853</v>
      </c>
      <c r="G580" s="35">
        <v>11.05</v>
      </c>
      <c r="H580" s="33">
        <f>G580*(1-IFERROR(VLOOKUP(F580,'enter the discount'!$D$10:$E$40,2,FALSE),0))</f>
        <v>11.05</v>
      </c>
      <c r="I580" s="35" t="s">
        <v>2609</v>
      </c>
      <c r="J580" s="33" t="s">
        <v>703</v>
      </c>
      <c r="K580" s="33" t="s">
        <v>2749</v>
      </c>
      <c r="L580">
        <v>60</v>
      </c>
      <c r="M580"/>
      <c r="N580" t="s">
        <v>2754</v>
      </c>
      <c r="O580" s="34" t="str">
        <f>HYPERLINK("https://b2b.kobi.pl/pl/product/10311,lampka-biurkowa-led-visua-desk-5w-biala-led2b?currency=PLN")</f>
        <v>https://b2b.kobi.pl/pl/product/10311,lampka-biurkowa-led-visua-desk-5w-biala-led2b?currency=PLN</v>
      </c>
      <c r="P580" t="s">
        <v>3</v>
      </c>
      <c r="Q580"/>
    </row>
    <row r="581" spans="1:17" ht="14.4" x14ac:dyDescent="0.3">
      <c r="A581" t="s">
        <v>11</v>
      </c>
      <c r="B581" t="s">
        <v>18</v>
      </c>
      <c r="C581" t="s">
        <v>30</v>
      </c>
      <c r="D581" t="s">
        <v>2007</v>
      </c>
      <c r="E581" t="s">
        <v>2008</v>
      </c>
      <c r="F581" t="s">
        <v>853</v>
      </c>
      <c r="G581" s="35">
        <v>11.05</v>
      </c>
      <c r="H581" s="33">
        <f>G581*(1-IFERROR(VLOOKUP(F581,'enter the discount'!$D$10:$E$40,2,FALSE),0))</f>
        <v>11.05</v>
      </c>
      <c r="I581" s="35" t="s">
        <v>2609</v>
      </c>
      <c r="J581" s="33" t="s">
        <v>702</v>
      </c>
      <c r="K581" s="33" t="s">
        <v>2749</v>
      </c>
      <c r="L581">
        <v>60</v>
      </c>
      <c r="M581"/>
      <c r="N581" t="s">
        <v>2754</v>
      </c>
      <c r="O581" s="34" t="str">
        <f>HYPERLINK("https://b2b.kobi.pl/pl/product/10312,lampka-biurkowa-led-visua-desk-5w-czarna-led2b?currency=PLN")</f>
        <v>https://b2b.kobi.pl/pl/product/10312,lampka-biurkowa-led-visua-desk-5w-czarna-led2b?currency=PLN</v>
      </c>
      <c r="P581" t="s">
        <v>3</v>
      </c>
      <c r="Q581"/>
    </row>
    <row r="582" spans="1:17" ht="14.4" x14ac:dyDescent="0.3">
      <c r="A582" t="s">
        <v>11</v>
      </c>
      <c r="B582" t="s">
        <v>18</v>
      </c>
      <c r="C582" t="s">
        <v>30</v>
      </c>
      <c r="D582" t="s">
        <v>2009</v>
      </c>
      <c r="E582" t="s">
        <v>2010</v>
      </c>
      <c r="F582" t="s">
        <v>853</v>
      </c>
      <c r="G582" s="35">
        <v>11.05</v>
      </c>
      <c r="H582" s="33">
        <f>G582*(1-IFERROR(VLOOKUP(F582,'enter the discount'!$D$10:$E$40,2,FALSE),0))</f>
        <v>11.05</v>
      </c>
      <c r="I582" s="35" t="s">
        <v>2609</v>
      </c>
      <c r="J582" s="33" t="s">
        <v>712</v>
      </c>
      <c r="K582" s="33" t="s">
        <v>2749</v>
      </c>
      <c r="L582">
        <v>60</v>
      </c>
      <c r="M582"/>
      <c r="N582" t="s">
        <v>2754</v>
      </c>
      <c r="O582" s="34" t="str">
        <f>HYPERLINK("https://b2b.kobi.pl/pl/product/10313,lampka-biurkowa-led-visua-desk-5w-mietowa-led2b?currency=PLN")</f>
        <v>https://b2b.kobi.pl/pl/product/10313,lampka-biurkowa-led-visua-desk-5w-mietowa-led2b?currency=PLN</v>
      </c>
      <c r="P582" t="s">
        <v>3</v>
      </c>
      <c r="Q582"/>
    </row>
    <row r="583" spans="1:17" ht="14.4" x14ac:dyDescent="0.3">
      <c r="A583" t="s">
        <v>11</v>
      </c>
      <c r="B583" t="s">
        <v>18</v>
      </c>
      <c r="C583" t="s">
        <v>30</v>
      </c>
      <c r="D583" t="s">
        <v>2011</v>
      </c>
      <c r="E583" t="s">
        <v>2012</v>
      </c>
      <c r="F583" t="s">
        <v>853</v>
      </c>
      <c r="G583" s="35">
        <v>11.05</v>
      </c>
      <c r="H583" s="33">
        <f>G583*(1-IFERROR(VLOOKUP(F583,'enter the discount'!$D$10:$E$40,2,FALSE),0))</f>
        <v>11.05</v>
      </c>
      <c r="I583" s="35" t="s">
        <v>2609</v>
      </c>
      <c r="J583" s="33" t="s">
        <v>2669</v>
      </c>
      <c r="K583" s="33" t="s">
        <v>2749</v>
      </c>
      <c r="L583">
        <v>60</v>
      </c>
      <c r="M583"/>
      <c r="N583" t="s">
        <v>2754</v>
      </c>
      <c r="O583" s="34" t="str">
        <f>HYPERLINK("https://b2b.kobi.pl/pl/product/10314,lampka-biurkowa-led-visua-desk-5w-niebieska-led2b?currency=PLN")</f>
        <v>https://b2b.kobi.pl/pl/product/10314,lampka-biurkowa-led-visua-desk-5w-niebieska-led2b?currency=PLN</v>
      </c>
      <c r="P583" t="s">
        <v>3</v>
      </c>
      <c r="Q583"/>
    </row>
    <row r="584" spans="1:17" ht="14.4" x14ac:dyDescent="0.3">
      <c r="A584" t="s">
        <v>11</v>
      </c>
      <c r="B584" t="s">
        <v>18</v>
      </c>
      <c r="C584" t="s">
        <v>30</v>
      </c>
      <c r="D584" t="s">
        <v>2013</v>
      </c>
      <c r="E584" t="s">
        <v>2014</v>
      </c>
      <c r="F584" t="s">
        <v>853</v>
      </c>
      <c r="G584" s="35">
        <v>11.05</v>
      </c>
      <c r="H584" s="33">
        <f>G584*(1-IFERROR(VLOOKUP(F584,'enter the discount'!$D$10:$E$40,2,FALSE),0))</f>
        <v>11.05</v>
      </c>
      <c r="I584" s="35" t="s">
        <v>2609</v>
      </c>
      <c r="J584" s="33" t="s">
        <v>705</v>
      </c>
      <c r="K584" s="33" t="s">
        <v>2749</v>
      </c>
      <c r="L584">
        <v>60</v>
      </c>
      <c r="M584"/>
      <c r="N584" t="s">
        <v>2754</v>
      </c>
      <c r="O584" s="34" t="str">
        <f>HYPERLINK("https://b2b.kobi.pl/pl/product/10315,lampka-biurkowa-led-visua-desk-5w-rozowa-led2b?currency=PLN")</f>
        <v>https://b2b.kobi.pl/pl/product/10315,lampka-biurkowa-led-visua-desk-5w-rozowa-led2b?currency=PLN</v>
      </c>
      <c r="P584" t="s">
        <v>3</v>
      </c>
      <c r="Q584"/>
    </row>
    <row r="585" spans="1:17" ht="14.4" x14ac:dyDescent="0.3">
      <c r="A585" t="s">
        <v>11</v>
      </c>
      <c r="B585" t="s">
        <v>18</v>
      </c>
      <c r="C585" t="s">
        <v>30</v>
      </c>
      <c r="D585" t="s">
        <v>2015</v>
      </c>
      <c r="E585" t="s">
        <v>2016</v>
      </c>
      <c r="F585" t="s">
        <v>853</v>
      </c>
      <c r="G585" s="35">
        <v>11.05</v>
      </c>
      <c r="H585" s="33">
        <f>G585*(1-IFERROR(VLOOKUP(F585,'enter the discount'!$D$10:$E$40,2,FALSE),0))</f>
        <v>11.05</v>
      </c>
      <c r="I585" s="35" t="s">
        <v>2609</v>
      </c>
      <c r="J585" s="33" t="s">
        <v>704</v>
      </c>
      <c r="K585" s="33" t="s">
        <v>2749</v>
      </c>
      <c r="L585">
        <v>60</v>
      </c>
      <c r="M585"/>
      <c r="N585" t="s">
        <v>2754</v>
      </c>
      <c r="O585" s="34" t="str">
        <f>HYPERLINK("https://b2b.kobi.pl/pl/product/10316,lampka-biurkowa-led-visua-desk-5w-szara-led2b?currency=PLN")</f>
        <v>https://b2b.kobi.pl/pl/product/10316,lampka-biurkowa-led-visua-desk-5w-szara-led2b?currency=PLN</v>
      </c>
      <c r="P585" t="s">
        <v>3</v>
      </c>
      <c r="Q585"/>
    </row>
    <row r="586" spans="1:17" ht="14.4" x14ac:dyDescent="0.3">
      <c r="A586" t="s">
        <v>9</v>
      </c>
      <c r="B586" t="s">
        <v>24</v>
      </c>
      <c r="C586" t="s">
        <v>885</v>
      </c>
      <c r="D586" t="s">
        <v>2017</v>
      </c>
      <c r="E586" t="s">
        <v>2018</v>
      </c>
      <c r="F586" t="s">
        <v>831</v>
      </c>
      <c r="G586" s="35">
        <v>21.08</v>
      </c>
      <c r="H586" s="33">
        <f>G586*(1-IFERROR(VLOOKUP(F586,'enter the discount'!$D$10:$E$40,2,FALSE),0))</f>
        <v>21.08</v>
      </c>
      <c r="I586" s="35" t="s">
        <v>2605</v>
      </c>
      <c r="J586" s="33" t="s">
        <v>527</v>
      </c>
      <c r="K586" s="33" t="s">
        <v>2749</v>
      </c>
      <c r="L586">
        <v>50</v>
      </c>
      <c r="M586">
        <v>800</v>
      </c>
      <c r="N586" t="s">
        <v>2755</v>
      </c>
      <c r="O586" s="34" t="str">
        <f>HYPERLINK("https://b2b.kobi.pl/pl/product/9757,tasma-led-tramo-320-cob-5m-3000k-ip65-kobi-premium?currency=PLN")</f>
        <v>https://b2b.kobi.pl/pl/product/9757,tasma-led-tramo-320-cob-5m-3000k-ip65-kobi-premium?currency=PLN</v>
      </c>
      <c r="P586" s="34" t="str">
        <f>HYPERLINK("https://eprel.ec.europa.eu/qr/1817916")</f>
        <v>https://eprel.ec.europa.eu/qr/1817916</v>
      </c>
      <c r="Q586"/>
    </row>
    <row r="587" spans="1:17" ht="14.4" x14ac:dyDescent="0.3">
      <c r="A587" t="s">
        <v>9</v>
      </c>
      <c r="B587" t="s">
        <v>24</v>
      </c>
      <c r="C587" t="s">
        <v>885</v>
      </c>
      <c r="D587" t="s">
        <v>2019</v>
      </c>
      <c r="E587" t="s">
        <v>2020</v>
      </c>
      <c r="F587" t="s">
        <v>831</v>
      </c>
      <c r="G587" s="35">
        <v>21.08</v>
      </c>
      <c r="H587" s="33">
        <f>G587*(1-IFERROR(VLOOKUP(F587,'enter the discount'!$D$10:$E$40,2,FALSE),0))</f>
        <v>21.08</v>
      </c>
      <c r="I587" s="35" t="s">
        <v>2593</v>
      </c>
      <c r="J587" s="33" t="s">
        <v>528</v>
      </c>
      <c r="K587" s="33" t="s">
        <v>2749</v>
      </c>
      <c r="L587">
        <v>50</v>
      </c>
      <c r="M587">
        <v>800</v>
      </c>
      <c r="N587" t="s">
        <v>2755</v>
      </c>
      <c r="O587" s="34" t="str">
        <f>HYPERLINK("https://b2b.kobi.pl/pl/product/9758,tasma-led-tramo-320-cob-5m-4000k-ip65-kobi-premium?currency=PLN")</f>
        <v>https://b2b.kobi.pl/pl/product/9758,tasma-led-tramo-320-cob-5m-4000k-ip65-kobi-premium?currency=PLN</v>
      </c>
      <c r="P587" s="34" t="str">
        <f>HYPERLINK("https://eprel.ec.europa.eu/qr/1817987")</f>
        <v>https://eprel.ec.europa.eu/qr/1817987</v>
      </c>
      <c r="Q587"/>
    </row>
    <row r="588" spans="1:17" ht="14.4" x14ac:dyDescent="0.3">
      <c r="A588" t="s">
        <v>9</v>
      </c>
      <c r="B588" t="s">
        <v>24</v>
      </c>
      <c r="C588" t="s">
        <v>885</v>
      </c>
      <c r="D588" t="s">
        <v>2021</v>
      </c>
      <c r="E588" t="s">
        <v>2022</v>
      </c>
      <c r="F588" t="s">
        <v>831</v>
      </c>
      <c r="G588" s="35">
        <v>21.08</v>
      </c>
      <c r="H588" s="33">
        <f>G588*(1-IFERROR(VLOOKUP(F588,'enter the discount'!$D$10:$E$40,2,FALSE),0))</f>
        <v>21.08</v>
      </c>
      <c r="I588" s="35" t="s">
        <v>2593</v>
      </c>
      <c r="J588" s="33" t="s">
        <v>529</v>
      </c>
      <c r="K588" s="33" t="s">
        <v>2749</v>
      </c>
      <c r="L588">
        <v>50</v>
      </c>
      <c r="M588"/>
      <c r="N588" t="s">
        <v>2755</v>
      </c>
      <c r="O588" s="34" t="str">
        <f>HYPERLINK("https://b2b.kobi.pl/pl/product/9759,tasma-led-tramo-320-cob-5m-6500k-ip65-kobi-premium?currency=PLN")</f>
        <v>https://b2b.kobi.pl/pl/product/9759,tasma-led-tramo-320-cob-5m-6500k-ip65-kobi-premium?currency=PLN</v>
      </c>
      <c r="P588" s="34" t="str">
        <f>HYPERLINK("https://eprel.ec.europa.eu/qr/1818059")</f>
        <v>https://eprel.ec.europa.eu/qr/1818059</v>
      </c>
      <c r="Q588"/>
    </row>
    <row r="589" spans="1:17" ht="14.4" x14ac:dyDescent="0.3">
      <c r="A589" t="s">
        <v>9</v>
      </c>
      <c r="B589" t="s">
        <v>24</v>
      </c>
      <c r="C589" t="s">
        <v>885</v>
      </c>
      <c r="D589" t="s">
        <v>2023</v>
      </c>
      <c r="E589" t="s">
        <v>2024</v>
      </c>
      <c r="F589" t="s">
        <v>831</v>
      </c>
      <c r="G589" s="35">
        <v>14.94</v>
      </c>
      <c r="H589" s="33">
        <f>G589*(1-IFERROR(VLOOKUP(F589,'enter the discount'!$D$10:$E$40,2,FALSE),0))</f>
        <v>14.94</v>
      </c>
      <c r="I589" s="35" t="s">
        <v>2593</v>
      </c>
      <c r="J589" s="33" t="s">
        <v>524</v>
      </c>
      <c r="K589" s="33" t="s">
        <v>2749</v>
      </c>
      <c r="L589">
        <v>50</v>
      </c>
      <c r="M589"/>
      <c r="N589" t="s">
        <v>2755</v>
      </c>
      <c r="O589" s="34" t="str">
        <f>HYPERLINK("https://b2b.kobi.pl/pl/product/9760,tasma-led-tramo-320-cob-5m-3000k-ip20-kobi-premium?currency=PLN")</f>
        <v>https://b2b.kobi.pl/pl/product/9760,tasma-led-tramo-320-cob-5m-3000k-ip20-kobi-premium?currency=PLN</v>
      </c>
      <c r="P589" s="34" t="str">
        <f>HYPERLINK("https://eprel.ec.europa.eu/qr/1817900")</f>
        <v>https://eprel.ec.europa.eu/qr/1817900</v>
      </c>
      <c r="Q589"/>
    </row>
    <row r="590" spans="1:17" ht="14.4" x14ac:dyDescent="0.3">
      <c r="A590" t="s">
        <v>9</v>
      </c>
      <c r="B590" t="s">
        <v>24</v>
      </c>
      <c r="C590" t="s">
        <v>885</v>
      </c>
      <c r="D590" t="s">
        <v>2025</v>
      </c>
      <c r="E590" t="s">
        <v>2026</v>
      </c>
      <c r="F590" t="s">
        <v>831</v>
      </c>
      <c r="G590" s="35">
        <v>14.94</v>
      </c>
      <c r="H590" s="33">
        <f>G590*(1-IFERROR(VLOOKUP(F590,'enter the discount'!$D$10:$E$40,2,FALSE),0))</f>
        <v>14.94</v>
      </c>
      <c r="I590" s="35" t="s">
        <v>2593</v>
      </c>
      <c r="J590" s="33" t="s">
        <v>525</v>
      </c>
      <c r="K590" s="33" t="s">
        <v>2749</v>
      </c>
      <c r="L590">
        <v>50</v>
      </c>
      <c r="M590">
        <v>800</v>
      </c>
      <c r="N590" t="s">
        <v>2755</v>
      </c>
      <c r="O590" s="34" t="str">
        <f>HYPERLINK("https://b2b.kobi.pl/pl/product/9761,tasma-led-tramo-320-cob-5m-4000k-ip20-kobi-premium?currency=PLN")</f>
        <v>https://b2b.kobi.pl/pl/product/9761,tasma-led-tramo-320-cob-5m-4000k-ip20-kobi-premium?currency=PLN</v>
      </c>
      <c r="P590" s="34" t="str">
        <f>HYPERLINK("https://eprel.ec.europa.eu/qr/1817939")</f>
        <v>https://eprel.ec.europa.eu/qr/1817939</v>
      </c>
      <c r="Q590"/>
    </row>
    <row r="591" spans="1:17" ht="14.4" x14ac:dyDescent="0.3">
      <c r="A591" t="s">
        <v>9</v>
      </c>
      <c r="B591" t="s">
        <v>24</v>
      </c>
      <c r="C591" t="s">
        <v>885</v>
      </c>
      <c r="D591" t="s">
        <v>2027</v>
      </c>
      <c r="E591" t="s">
        <v>2028</v>
      </c>
      <c r="F591" t="s">
        <v>831</v>
      </c>
      <c r="G591" s="35">
        <v>14.94</v>
      </c>
      <c r="H591" s="33">
        <f>G591*(1-IFERROR(VLOOKUP(F591,'enter the discount'!$D$10:$E$40,2,FALSE),0))</f>
        <v>14.94</v>
      </c>
      <c r="I591" s="35" t="s">
        <v>2593</v>
      </c>
      <c r="J591" s="33" t="s">
        <v>526</v>
      </c>
      <c r="K591" s="33" t="s">
        <v>2749</v>
      </c>
      <c r="L591">
        <v>50</v>
      </c>
      <c r="M591"/>
      <c r="N591" t="s">
        <v>2755</v>
      </c>
      <c r="O591" s="34" t="str">
        <f>HYPERLINK("https://b2b.kobi.pl/pl/product/9762,tasma-led-tramo-320-cob-5m-6500k-ip20-kobi-premium?currency=PLN")</f>
        <v>https://b2b.kobi.pl/pl/product/9762,tasma-led-tramo-320-cob-5m-6500k-ip20-kobi-premium?currency=PLN</v>
      </c>
      <c r="P591" s="34" t="str">
        <f>HYPERLINK("https://eprel.ec.europa.eu/qr/1818051")</f>
        <v>https://eprel.ec.europa.eu/qr/1818051</v>
      </c>
      <c r="Q591"/>
    </row>
    <row r="592" spans="1:17" ht="14.4" x14ac:dyDescent="0.3">
      <c r="A592" t="s">
        <v>9</v>
      </c>
      <c r="B592" t="s">
        <v>24</v>
      </c>
      <c r="C592" t="s">
        <v>1875</v>
      </c>
      <c r="D592" t="s">
        <v>2029</v>
      </c>
      <c r="E592" t="s">
        <v>2030</v>
      </c>
      <c r="F592" t="s">
        <v>831</v>
      </c>
      <c r="G592" s="35">
        <v>23.46</v>
      </c>
      <c r="H592" s="33">
        <f>G592*(1-IFERROR(VLOOKUP(F592,'enter the discount'!$D$10:$E$40,2,FALSE),0))</f>
        <v>23.46</v>
      </c>
      <c r="I592" s="35" t="s">
        <v>2609</v>
      </c>
      <c r="J592" s="33" t="s">
        <v>683</v>
      </c>
      <c r="K592" s="33" t="s">
        <v>2749</v>
      </c>
      <c r="L592">
        <v>20</v>
      </c>
      <c r="M592"/>
      <c r="N592" t="s">
        <v>2754</v>
      </c>
      <c r="O592" s="34" t="str">
        <f>HYPERLINK("https://b2b.kobi.pl/pl/product/9783,tasma-led-play-set-5m-rgb-cct-ip20-kobi-design?currency=PLN")</f>
        <v>https://b2b.kobi.pl/pl/product/9783,tasma-led-play-set-5m-rgb-cct-ip20-kobi-design?currency=PLN</v>
      </c>
      <c r="P592" t="s">
        <v>3</v>
      </c>
      <c r="Q592"/>
    </row>
    <row r="593" spans="1:17" ht="14.4" x14ac:dyDescent="0.3">
      <c r="A593" t="s">
        <v>9</v>
      </c>
      <c r="B593" t="s">
        <v>24</v>
      </c>
      <c r="C593" t="s">
        <v>1875</v>
      </c>
      <c r="D593" t="s">
        <v>2031</v>
      </c>
      <c r="E593" t="s">
        <v>2032</v>
      </c>
      <c r="F593" t="s">
        <v>831</v>
      </c>
      <c r="G593" s="35">
        <v>34.08</v>
      </c>
      <c r="H593" s="33">
        <f>G593*(1-IFERROR(VLOOKUP(F593,'enter the discount'!$D$10:$E$40,2,FALSE),0))</f>
        <v>34.08</v>
      </c>
      <c r="I593" s="35" t="s">
        <v>2609</v>
      </c>
      <c r="J593" s="33" t="s">
        <v>680</v>
      </c>
      <c r="K593" s="33" t="s">
        <v>2749</v>
      </c>
      <c r="L593">
        <v>20</v>
      </c>
      <c r="M593"/>
      <c r="N593" t="s">
        <v>2754</v>
      </c>
      <c r="O593" s="34" t="str">
        <f>HYPERLINK("https://b2b.kobi.pl/pl/product/9784,tasma-led-play-set-10m-rgb-cct-ip20-kobi-design?currency=PLN")</f>
        <v>https://b2b.kobi.pl/pl/product/9784,tasma-led-play-set-10m-rgb-cct-ip20-kobi-design?currency=PLN</v>
      </c>
      <c r="P593" t="s">
        <v>3</v>
      </c>
      <c r="Q593"/>
    </row>
    <row r="594" spans="1:17" ht="14.4" x14ac:dyDescent="0.3">
      <c r="A594" t="s">
        <v>9</v>
      </c>
      <c r="B594" t="s">
        <v>24</v>
      </c>
      <c r="C594" t="s">
        <v>1875</v>
      </c>
      <c r="D594" t="s">
        <v>2033</v>
      </c>
      <c r="E594" t="s">
        <v>2034</v>
      </c>
      <c r="F594" t="s">
        <v>831</v>
      </c>
      <c r="G594" s="35">
        <v>44.7</v>
      </c>
      <c r="H594" s="33">
        <f>G594*(1-IFERROR(VLOOKUP(F594,'enter the discount'!$D$10:$E$40,2,FALSE),0))</f>
        <v>44.7</v>
      </c>
      <c r="I594" s="35" t="s">
        <v>2609</v>
      </c>
      <c r="J594" s="33" t="s">
        <v>681</v>
      </c>
      <c r="K594" s="33" t="s">
        <v>2749</v>
      </c>
      <c r="L594">
        <v>20</v>
      </c>
      <c r="M594"/>
      <c r="N594" t="s">
        <v>2754</v>
      </c>
      <c r="O594" s="34" t="str">
        <f>HYPERLINK("https://b2b.kobi.pl/pl/product/9785,tasma-led-play-set-15m-rgb-cct-ip20-kobi-design?currency=PLN")</f>
        <v>https://b2b.kobi.pl/pl/product/9785,tasma-led-play-set-15m-rgb-cct-ip20-kobi-design?currency=PLN</v>
      </c>
      <c r="P594" t="s">
        <v>3</v>
      </c>
      <c r="Q594"/>
    </row>
    <row r="595" spans="1:17" ht="14.4" x14ac:dyDescent="0.3">
      <c r="A595" t="s">
        <v>9</v>
      </c>
      <c r="B595" t="s">
        <v>24</v>
      </c>
      <c r="C595" t="s">
        <v>1875</v>
      </c>
      <c r="D595" t="s">
        <v>2035</v>
      </c>
      <c r="E595" t="s">
        <v>2036</v>
      </c>
      <c r="F595" t="s">
        <v>831</v>
      </c>
      <c r="G595" s="35">
        <v>52.67</v>
      </c>
      <c r="H595" s="33">
        <f>G595*(1-IFERROR(VLOOKUP(F595,'enter the discount'!$D$10:$E$40,2,FALSE),0))</f>
        <v>52.67</v>
      </c>
      <c r="I595" s="35" t="s">
        <v>2609</v>
      </c>
      <c r="J595" s="33" t="s">
        <v>682</v>
      </c>
      <c r="K595" s="33" t="s">
        <v>2749</v>
      </c>
      <c r="L595">
        <v>20</v>
      </c>
      <c r="M595"/>
      <c r="N595" t="s">
        <v>2754</v>
      </c>
      <c r="O595" s="34" t="str">
        <f>HYPERLINK("https://b2b.kobi.pl/pl/product/9786,tasma-led-play-set-20m-rgb-cct-ip20-kobi-design?currency=PLN")</f>
        <v>https://b2b.kobi.pl/pl/product/9786,tasma-led-play-set-20m-rgb-cct-ip20-kobi-design?currency=PLN</v>
      </c>
      <c r="P595" t="s">
        <v>3</v>
      </c>
      <c r="Q595"/>
    </row>
    <row r="596" spans="1:17" ht="14.4" x14ac:dyDescent="0.3">
      <c r="A596" t="s">
        <v>9</v>
      </c>
      <c r="B596" t="s">
        <v>24</v>
      </c>
      <c r="C596" t="s">
        <v>910</v>
      </c>
      <c r="D596" t="s">
        <v>2037</v>
      </c>
      <c r="E596" t="s">
        <v>2038</v>
      </c>
      <c r="F596" t="s">
        <v>831</v>
      </c>
      <c r="G596" s="35">
        <v>18.07</v>
      </c>
      <c r="H596" s="33">
        <f>G596*(1-IFERROR(VLOOKUP(F596,'enter the discount'!$D$10:$E$40,2,FALSE),0))</f>
        <v>18.07</v>
      </c>
      <c r="I596" s="35" t="s">
        <v>2609</v>
      </c>
      <c r="J596" s="33" t="s">
        <v>164</v>
      </c>
      <c r="K596" s="33" t="s">
        <v>2749</v>
      </c>
      <c r="L596">
        <v>100</v>
      </c>
      <c r="M596"/>
      <c r="N596" t="s">
        <v>2754</v>
      </c>
      <c r="O596"/>
      <c r="P596" t="s">
        <v>3</v>
      </c>
      <c r="Q596" t="s">
        <v>2775</v>
      </c>
    </row>
    <row r="597" spans="1:17" ht="14.4" x14ac:dyDescent="0.3">
      <c r="A597" t="s">
        <v>9</v>
      </c>
      <c r="B597" t="s">
        <v>24</v>
      </c>
      <c r="C597" t="s">
        <v>885</v>
      </c>
      <c r="D597" t="s">
        <v>2039</v>
      </c>
      <c r="E597" t="s">
        <v>2040</v>
      </c>
      <c r="F597" t="s">
        <v>831</v>
      </c>
      <c r="G597" s="35">
        <v>52.45</v>
      </c>
      <c r="H597" s="33">
        <f>G597*(1-IFERROR(VLOOKUP(F597,'enter the discount'!$D$10:$E$40,2,FALSE),0))</f>
        <v>52.45</v>
      </c>
      <c r="I597" s="35" t="s">
        <v>2593</v>
      </c>
      <c r="J597" s="33" t="s">
        <v>158</v>
      </c>
      <c r="K597" s="33" t="s">
        <v>2749</v>
      </c>
      <c r="L597">
        <v>50</v>
      </c>
      <c r="M597"/>
      <c r="N597" t="s">
        <v>2756</v>
      </c>
      <c r="O597" s="34" t="str">
        <f>HYPERLINK("https://b2b.kobi.pl/pl/product/9734,tasma-led-tramo-300-2835-5m-3000k-ip65-kobi-premium?currency=PLN")</f>
        <v>https://b2b.kobi.pl/pl/product/9734,tasma-led-tramo-300-2835-5m-3000k-ip65-kobi-premium?currency=PLN</v>
      </c>
      <c r="P597" s="34" t="str">
        <f>HYPERLINK("https://eprel.ec.europa.eu/qr/660841")</f>
        <v>https://eprel.ec.europa.eu/qr/660841</v>
      </c>
      <c r="Q597" t="s">
        <v>2775</v>
      </c>
    </row>
    <row r="598" spans="1:17" ht="14.4" x14ac:dyDescent="0.3">
      <c r="A598" t="s">
        <v>9</v>
      </c>
      <c r="B598" t="s">
        <v>24</v>
      </c>
      <c r="C598" t="s">
        <v>885</v>
      </c>
      <c r="D598" t="s">
        <v>2041</v>
      </c>
      <c r="E598" t="s">
        <v>2042</v>
      </c>
      <c r="F598" t="s">
        <v>831</v>
      </c>
      <c r="G598" s="35">
        <v>32.28</v>
      </c>
      <c r="H598" s="33">
        <f>G598*(1-IFERROR(VLOOKUP(F598,'enter the discount'!$D$10:$E$40,2,FALSE),0))</f>
        <v>32.28</v>
      </c>
      <c r="I598" s="35" t="s">
        <v>2593</v>
      </c>
      <c r="J598" s="33" t="s">
        <v>2670</v>
      </c>
      <c r="K598" s="33" t="s">
        <v>2749</v>
      </c>
      <c r="L598">
        <v>50</v>
      </c>
      <c r="M598"/>
      <c r="N598" t="s">
        <v>2756</v>
      </c>
      <c r="O598"/>
      <c r="P598" s="34" t="str">
        <f>HYPERLINK("https://eprel.ec.europa.eu/qr/664245")</f>
        <v>https://eprel.ec.europa.eu/qr/664245</v>
      </c>
      <c r="Q598" t="s">
        <v>2775</v>
      </c>
    </row>
    <row r="599" spans="1:17" ht="14.4" x14ac:dyDescent="0.3">
      <c r="A599" t="s">
        <v>9</v>
      </c>
      <c r="B599" t="s">
        <v>24</v>
      </c>
      <c r="C599" t="s">
        <v>910</v>
      </c>
      <c r="D599" t="s">
        <v>2043</v>
      </c>
      <c r="E599" t="s">
        <v>2044</v>
      </c>
      <c r="F599" t="s">
        <v>831</v>
      </c>
      <c r="G599" s="35">
        <v>13.14</v>
      </c>
      <c r="H599" s="33">
        <f>G599*(1-IFERROR(VLOOKUP(F599,'enter the discount'!$D$10:$E$40,2,FALSE),0))</f>
        <v>13.14</v>
      </c>
      <c r="I599" s="35" t="s">
        <v>2593</v>
      </c>
      <c r="J599" s="33" t="s">
        <v>2671</v>
      </c>
      <c r="K599" s="33" t="s">
        <v>2749</v>
      </c>
      <c r="L599">
        <v>50</v>
      </c>
      <c r="M599"/>
      <c r="N599" t="s">
        <v>2754</v>
      </c>
      <c r="O599"/>
      <c r="P599" s="34" t="str">
        <f>HYPERLINK("https://eprel.ec.europa.eu/qr/664247")</f>
        <v>https://eprel.ec.europa.eu/qr/664247</v>
      </c>
      <c r="Q599" t="s">
        <v>2775</v>
      </c>
    </row>
    <row r="600" spans="1:17" ht="14.4" x14ac:dyDescent="0.3">
      <c r="A600" t="s">
        <v>9</v>
      </c>
      <c r="B600" t="s">
        <v>24</v>
      </c>
      <c r="C600" t="s">
        <v>910</v>
      </c>
      <c r="D600" t="s">
        <v>2045</v>
      </c>
      <c r="E600" t="s">
        <v>2046</v>
      </c>
      <c r="F600" t="s">
        <v>831</v>
      </c>
      <c r="G600" s="35">
        <v>17.54</v>
      </c>
      <c r="H600" s="33">
        <f>G600*(1-IFERROR(VLOOKUP(F600,'enter the discount'!$D$10:$E$40,2,FALSE),0))</f>
        <v>17.54</v>
      </c>
      <c r="I600" s="35" t="s">
        <v>2609</v>
      </c>
      <c r="J600" s="33" t="s">
        <v>160</v>
      </c>
      <c r="K600" s="33" t="s">
        <v>2749</v>
      </c>
      <c r="L600">
        <v>50</v>
      </c>
      <c r="M600"/>
      <c r="N600" t="s">
        <v>2754</v>
      </c>
      <c r="O600" s="34" t="str">
        <f>HYPERLINK("https://b2b.kobi.pl/pl/product/9738,tasma-led-tramo-300-2835-5m-czerwona-ip65-kobi?currency=PLN")</f>
        <v>https://b2b.kobi.pl/pl/product/9738,tasma-led-tramo-300-2835-5m-czerwona-ip65-kobi?currency=PLN</v>
      </c>
      <c r="P600" t="s">
        <v>3</v>
      </c>
      <c r="Q600" t="s">
        <v>2775</v>
      </c>
    </row>
    <row r="601" spans="1:17" ht="14.4" x14ac:dyDescent="0.3">
      <c r="A601" t="s">
        <v>9</v>
      </c>
      <c r="B601" t="s">
        <v>24</v>
      </c>
      <c r="C601" t="s">
        <v>910</v>
      </c>
      <c r="D601" t="s">
        <v>2047</v>
      </c>
      <c r="E601" t="s">
        <v>2048</v>
      </c>
      <c r="F601" t="s">
        <v>831</v>
      </c>
      <c r="G601" s="35">
        <v>12</v>
      </c>
      <c r="H601" s="33">
        <f>G601*(1-IFERROR(VLOOKUP(F601,'enter the discount'!$D$10:$E$40,2,FALSE),0))</f>
        <v>12</v>
      </c>
      <c r="I601" s="35" t="s">
        <v>2609</v>
      </c>
      <c r="J601" s="33" t="s">
        <v>162</v>
      </c>
      <c r="K601" s="33" t="s">
        <v>2749</v>
      </c>
      <c r="L601">
        <v>50</v>
      </c>
      <c r="M601"/>
      <c r="N601" t="s">
        <v>2754</v>
      </c>
      <c r="O601" s="34" t="str">
        <f>HYPERLINK("https://b2b.kobi.pl/pl/product/9745,tasma-led-tramo-300-2835-5m-zielona-ip20-kobi?currency=PLN")</f>
        <v>https://b2b.kobi.pl/pl/product/9745,tasma-led-tramo-300-2835-5m-zielona-ip20-kobi?currency=PLN</v>
      </c>
      <c r="P601" t="s">
        <v>3</v>
      </c>
      <c r="Q601" t="s">
        <v>2775</v>
      </c>
    </row>
    <row r="602" spans="1:17" ht="14.4" x14ac:dyDescent="0.3">
      <c r="A602" t="s">
        <v>9</v>
      </c>
      <c r="B602" t="s">
        <v>24</v>
      </c>
      <c r="C602" t="s">
        <v>910</v>
      </c>
      <c r="D602" t="s">
        <v>2049</v>
      </c>
      <c r="E602" t="s">
        <v>2050</v>
      </c>
      <c r="F602" t="s">
        <v>831</v>
      </c>
      <c r="G602" s="35">
        <v>17.54</v>
      </c>
      <c r="H602" s="33">
        <f>G602*(1-IFERROR(VLOOKUP(F602,'enter the discount'!$D$10:$E$40,2,FALSE),0))</f>
        <v>17.54</v>
      </c>
      <c r="I602" s="35" t="s">
        <v>2609</v>
      </c>
      <c r="J602" s="33" t="s">
        <v>159</v>
      </c>
      <c r="K602" s="33" t="s">
        <v>2749</v>
      </c>
      <c r="L602">
        <v>50</v>
      </c>
      <c r="M602"/>
      <c r="N602" t="s">
        <v>2754</v>
      </c>
      <c r="O602" s="34" t="str">
        <f>HYPERLINK("https://b2b.kobi.pl/pl/product/9735,tasma-led-tramo-300-2835-5m-zielona-ip65-kobi?currency=PLN")</f>
        <v>https://b2b.kobi.pl/pl/product/9735,tasma-led-tramo-300-2835-5m-zielona-ip65-kobi?currency=PLN</v>
      </c>
      <c r="P602" t="s">
        <v>3</v>
      </c>
      <c r="Q602" t="s">
        <v>2775</v>
      </c>
    </row>
    <row r="603" spans="1:17" ht="14.4" x14ac:dyDescent="0.3">
      <c r="A603" t="s">
        <v>9</v>
      </c>
      <c r="B603" t="s">
        <v>24</v>
      </c>
      <c r="C603" t="s">
        <v>910</v>
      </c>
      <c r="D603" t="s">
        <v>2051</v>
      </c>
      <c r="E603" t="s">
        <v>2052</v>
      </c>
      <c r="F603" t="s">
        <v>831</v>
      </c>
      <c r="G603" s="35">
        <v>12</v>
      </c>
      <c r="H603" s="33">
        <f>G603*(1-IFERROR(VLOOKUP(F603,'enter the discount'!$D$10:$E$40,2,FALSE),0))</f>
        <v>12</v>
      </c>
      <c r="I603" s="35" t="s">
        <v>2609</v>
      </c>
      <c r="J603" s="33" t="s">
        <v>163</v>
      </c>
      <c r="K603" s="33" t="s">
        <v>2749</v>
      </c>
      <c r="L603">
        <v>50</v>
      </c>
      <c r="M603"/>
      <c r="N603" t="s">
        <v>2754</v>
      </c>
      <c r="O603" s="34" t="str">
        <f>HYPERLINK("https://b2b.kobi.pl/pl/product/9747,tasma-led-tramo-300-2835-5m-zolta-ip20-kobi?currency=PLN")</f>
        <v>https://b2b.kobi.pl/pl/product/9747,tasma-led-tramo-300-2835-5m-zolta-ip20-kobi?currency=PLN</v>
      </c>
      <c r="P603" t="s">
        <v>3</v>
      </c>
      <c r="Q603" t="s">
        <v>2775</v>
      </c>
    </row>
    <row r="604" spans="1:17" ht="14.4" x14ac:dyDescent="0.3">
      <c r="A604" t="s">
        <v>9</v>
      </c>
      <c r="B604" t="s">
        <v>24</v>
      </c>
      <c r="C604" t="s">
        <v>910</v>
      </c>
      <c r="D604" t="s">
        <v>2053</v>
      </c>
      <c r="E604" t="s">
        <v>2054</v>
      </c>
      <c r="F604" t="s">
        <v>831</v>
      </c>
      <c r="G604" s="35">
        <v>17.54</v>
      </c>
      <c r="H604" s="33">
        <f>G604*(1-IFERROR(VLOOKUP(F604,'enter the discount'!$D$10:$E$40,2,FALSE),0))</f>
        <v>17.54</v>
      </c>
      <c r="I604" s="35" t="s">
        <v>2609</v>
      </c>
      <c r="J604" s="33" t="s">
        <v>161</v>
      </c>
      <c r="K604" s="33" t="s">
        <v>2749</v>
      </c>
      <c r="L604">
        <v>50</v>
      </c>
      <c r="M604"/>
      <c r="N604" t="s">
        <v>2754</v>
      </c>
      <c r="O604" s="34" t="str">
        <f>HYPERLINK("https://b2b.kobi.pl/pl/product/9739,tasma-led-tramo-300-2835-5m-zolta-ip65-kobi?currency=PLN")</f>
        <v>https://b2b.kobi.pl/pl/product/9739,tasma-led-tramo-300-2835-5m-zolta-ip65-kobi?currency=PLN</v>
      </c>
      <c r="P604" t="s">
        <v>3</v>
      </c>
      <c r="Q604" t="s">
        <v>2775</v>
      </c>
    </row>
    <row r="605" spans="1:17" ht="14.4" x14ac:dyDescent="0.3">
      <c r="A605" t="s">
        <v>9</v>
      </c>
      <c r="B605" t="s">
        <v>24</v>
      </c>
      <c r="C605" t="s">
        <v>910</v>
      </c>
      <c r="D605" t="s">
        <v>621</v>
      </c>
      <c r="E605" t="s">
        <v>2055</v>
      </c>
      <c r="F605" t="s">
        <v>831</v>
      </c>
      <c r="G605" s="35">
        <v>29.46</v>
      </c>
      <c r="H605" s="33">
        <f>G605*(1-IFERROR(VLOOKUP(F605,'enter the discount'!$D$10:$E$40,2,FALSE),0))</f>
        <v>29.46</v>
      </c>
      <c r="I605" s="35" t="s">
        <v>2609</v>
      </c>
      <c r="J605" s="33" t="s">
        <v>165</v>
      </c>
      <c r="K605" s="33" t="s">
        <v>2749</v>
      </c>
      <c r="L605">
        <v>100</v>
      </c>
      <c r="M605"/>
      <c r="N605" t="s">
        <v>2754</v>
      </c>
      <c r="O605" s="34" t="str">
        <f>HYPERLINK("https://b2b.kobi.pl/pl/product/9755,tasma-led-tramo-300-5050-5m-rgb-ip20-kobi?currency=PLN")</f>
        <v>https://b2b.kobi.pl/pl/product/9755,tasma-led-tramo-300-5050-5m-rgb-ip20-kobi?currency=PLN</v>
      </c>
      <c r="P605" t="s">
        <v>3</v>
      </c>
      <c r="Q605" t="s">
        <v>2775</v>
      </c>
    </row>
    <row r="606" spans="1:17" ht="14.4" x14ac:dyDescent="0.3">
      <c r="A606" t="s">
        <v>2056</v>
      </c>
      <c r="B606" t="s">
        <v>566</v>
      </c>
      <c r="C606" t="s">
        <v>1875</v>
      </c>
      <c r="D606" t="s">
        <v>2057</v>
      </c>
      <c r="E606" t="s">
        <v>2058</v>
      </c>
      <c r="F606" t="s">
        <v>856</v>
      </c>
      <c r="G606" s="35">
        <v>16.2</v>
      </c>
      <c r="H606" s="33">
        <f>G606*(1-IFERROR(VLOOKUP(F606,'enter the discount'!$D$10:$E$40,2,FALSE),0))</f>
        <v>16.2</v>
      </c>
      <c r="I606" s="35" t="s">
        <v>2609</v>
      </c>
      <c r="J606" s="33" t="s">
        <v>685</v>
      </c>
      <c r="K606" s="33" t="s">
        <v>2749</v>
      </c>
      <c r="L606">
        <v>20</v>
      </c>
      <c r="M606"/>
      <c r="N606" t="s">
        <v>2754</v>
      </c>
      <c r="O606" s="34" t="str">
        <f>HYPERLINK("https://b2b.kobi.pl/pl/product/9787,przedluzacz-connecto-4gn-usb-1-5m-zu-w-1-5mm-czarny-kobi-design?currency=PLN")</f>
        <v>https://b2b.kobi.pl/pl/product/9787,przedluzacz-connecto-4gn-usb-1-5m-zu-w-1-5mm-czarny-kobi-design?currency=PLN</v>
      </c>
      <c r="P606" t="s">
        <v>3</v>
      </c>
      <c r="Q606"/>
    </row>
    <row r="607" spans="1:17" ht="14.4" x14ac:dyDescent="0.3">
      <c r="A607" t="s">
        <v>2056</v>
      </c>
      <c r="B607" t="s">
        <v>566</v>
      </c>
      <c r="C607" t="s">
        <v>1875</v>
      </c>
      <c r="D607" t="s">
        <v>2059</v>
      </c>
      <c r="E607" t="s">
        <v>2060</v>
      </c>
      <c r="F607" t="s">
        <v>856</v>
      </c>
      <c r="G607" s="35">
        <v>16.2</v>
      </c>
      <c r="H607" s="33">
        <f>G607*(1-IFERROR(VLOOKUP(F607,'enter the discount'!$D$10:$E$40,2,FALSE),0))</f>
        <v>16.2</v>
      </c>
      <c r="I607" s="35" t="s">
        <v>2609</v>
      </c>
      <c r="J607" s="33" t="s">
        <v>686</v>
      </c>
      <c r="K607" s="33" t="s">
        <v>2749</v>
      </c>
      <c r="L607">
        <v>20</v>
      </c>
      <c r="M607"/>
      <c r="N607" t="s">
        <v>2754</v>
      </c>
      <c r="O607" s="34" t="str">
        <f>HYPERLINK("https://b2b.kobi.pl/pl/product/9788,przedluzacz-connecto-4gn-usb-1-5m-zu-w-1-5mm-bialy-kobi-design?currency=PLN")</f>
        <v>https://b2b.kobi.pl/pl/product/9788,przedluzacz-connecto-4gn-usb-1-5m-zu-w-1-5mm-bialy-kobi-design?currency=PLN</v>
      </c>
      <c r="P607" t="s">
        <v>3</v>
      </c>
      <c r="Q607"/>
    </row>
    <row r="608" spans="1:17" ht="14.4" x14ac:dyDescent="0.3">
      <c r="A608" t="s">
        <v>2056</v>
      </c>
      <c r="B608" t="s">
        <v>566</v>
      </c>
      <c r="C608" t="s">
        <v>1875</v>
      </c>
      <c r="D608" t="s">
        <v>2061</v>
      </c>
      <c r="E608" t="s">
        <v>2062</v>
      </c>
      <c r="F608" t="s">
        <v>856</v>
      </c>
      <c r="G608" s="35">
        <v>21.02</v>
      </c>
      <c r="H608" s="33">
        <f>G608*(1-IFERROR(VLOOKUP(F608,'enter the discount'!$D$10:$E$40,2,FALSE),0))</f>
        <v>21.02</v>
      </c>
      <c r="I608" s="35" t="s">
        <v>2609</v>
      </c>
      <c r="J608" s="33" t="s">
        <v>687</v>
      </c>
      <c r="K608" s="33" t="s">
        <v>2749</v>
      </c>
      <c r="L608">
        <v>20</v>
      </c>
      <c r="M608"/>
      <c r="N608" t="s">
        <v>2754</v>
      </c>
      <c r="O608" s="34" t="str">
        <f>HYPERLINK("https://b2b.kobi.pl/pl/product/9789,przedluzacz-connecto-4gn-usb-3m-zu-w-1-5mm-czarny-kobi-design?currency=PLN")</f>
        <v>https://b2b.kobi.pl/pl/product/9789,przedluzacz-connecto-4gn-usb-3m-zu-w-1-5mm-czarny-kobi-design?currency=PLN</v>
      </c>
      <c r="P608" t="s">
        <v>3</v>
      </c>
      <c r="Q608"/>
    </row>
    <row r="609" spans="1:17" ht="14.4" x14ac:dyDescent="0.3">
      <c r="A609" t="s">
        <v>2056</v>
      </c>
      <c r="B609" t="s">
        <v>566</v>
      </c>
      <c r="C609" t="s">
        <v>1875</v>
      </c>
      <c r="D609" t="s">
        <v>2063</v>
      </c>
      <c r="E609" t="s">
        <v>2064</v>
      </c>
      <c r="F609" t="s">
        <v>856</v>
      </c>
      <c r="G609" s="35">
        <v>21.02</v>
      </c>
      <c r="H609" s="33">
        <f>G609*(1-IFERROR(VLOOKUP(F609,'enter the discount'!$D$10:$E$40,2,FALSE),0))</f>
        <v>21.02</v>
      </c>
      <c r="I609" s="35" t="s">
        <v>2609</v>
      </c>
      <c r="J609" s="33" t="s">
        <v>688</v>
      </c>
      <c r="K609" s="33" t="s">
        <v>2749</v>
      </c>
      <c r="L609">
        <v>1</v>
      </c>
      <c r="M609"/>
      <c r="N609" t="s">
        <v>2754</v>
      </c>
      <c r="O609" s="34" t="str">
        <f>HYPERLINK("https://b2b.kobi.pl/pl/product/9790,przedluzacz-connecto-4gn-usb-3m-zu-w-1-5mm-bialy-kobi-design?currency=PLN")</f>
        <v>https://b2b.kobi.pl/pl/product/9790,przedluzacz-connecto-4gn-usb-3m-zu-w-1-5mm-bialy-kobi-design?currency=PLN</v>
      </c>
      <c r="P609" t="s">
        <v>3</v>
      </c>
      <c r="Q609"/>
    </row>
    <row r="610" spans="1:17" ht="14.4" x14ac:dyDescent="0.3">
      <c r="A610" t="s">
        <v>2056</v>
      </c>
      <c r="B610" t="s">
        <v>566</v>
      </c>
      <c r="C610" t="s">
        <v>1875</v>
      </c>
      <c r="D610" t="s">
        <v>2065</v>
      </c>
      <c r="E610" t="s">
        <v>2066</v>
      </c>
      <c r="F610" t="s">
        <v>856</v>
      </c>
      <c r="G610" s="35">
        <v>27.05</v>
      </c>
      <c r="H610" s="33">
        <f>G610*(1-IFERROR(VLOOKUP(F610,'enter the discount'!$D$10:$E$40,2,FALSE),0))</f>
        <v>27.05</v>
      </c>
      <c r="I610" s="35" t="s">
        <v>2609</v>
      </c>
      <c r="J610" s="33" t="s">
        <v>689</v>
      </c>
      <c r="K610" s="33" t="s">
        <v>2749</v>
      </c>
      <c r="L610">
        <v>20</v>
      </c>
      <c r="M610"/>
      <c r="N610" t="s">
        <v>2754</v>
      </c>
      <c r="O610" s="34" t="str">
        <f>HYPERLINK("https://b2b.kobi.pl/pl/product/9791,przedluzacz-connecto-4gn-usb-5m-zu-w-1-5mm-czarny-kobi-design?currency=PLN")</f>
        <v>https://b2b.kobi.pl/pl/product/9791,przedluzacz-connecto-4gn-usb-5m-zu-w-1-5mm-czarny-kobi-design?currency=PLN</v>
      </c>
      <c r="P610" t="s">
        <v>3</v>
      </c>
      <c r="Q610"/>
    </row>
    <row r="611" spans="1:17" ht="14.4" x14ac:dyDescent="0.3">
      <c r="A611" t="s">
        <v>2056</v>
      </c>
      <c r="B611" t="s">
        <v>566</v>
      </c>
      <c r="C611" t="s">
        <v>1875</v>
      </c>
      <c r="D611" t="s">
        <v>2067</v>
      </c>
      <c r="E611" t="s">
        <v>2068</v>
      </c>
      <c r="F611" t="s">
        <v>856</v>
      </c>
      <c r="G611" s="35">
        <v>27.05</v>
      </c>
      <c r="H611" s="33">
        <f>G611*(1-IFERROR(VLOOKUP(F611,'enter the discount'!$D$10:$E$40,2,FALSE),0))</f>
        <v>27.05</v>
      </c>
      <c r="I611" s="35" t="s">
        <v>2609</v>
      </c>
      <c r="J611" s="33" t="s">
        <v>690</v>
      </c>
      <c r="K611" s="33" t="s">
        <v>2749</v>
      </c>
      <c r="L611">
        <v>20</v>
      </c>
      <c r="M611"/>
      <c r="N611" t="s">
        <v>2754</v>
      </c>
      <c r="O611" s="34" t="str">
        <f>HYPERLINK("https://b2b.kobi.pl/pl/product/9792,przedluzacz-connecto-4gn-usb-5m-zu-w-1-5mm-bialy-kobi-design?currency=PLN")</f>
        <v>https://b2b.kobi.pl/pl/product/9792,przedluzacz-connecto-4gn-usb-5m-zu-w-1-5mm-bialy-kobi-design?currency=PLN</v>
      </c>
      <c r="P611" t="s">
        <v>3</v>
      </c>
      <c r="Q611"/>
    </row>
    <row r="612" spans="1:17" ht="14.4" x14ac:dyDescent="0.3">
      <c r="A612" t="s">
        <v>2056</v>
      </c>
      <c r="B612" t="s">
        <v>566</v>
      </c>
      <c r="C612" t="s">
        <v>1875</v>
      </c>
      <c r="D612" t="s">
        <v>2069</v>
      </c>
      <c r="E612" t="s">
        <v>2070</v>
      </c>
      <c r="F612" t="s">
        <v>856</v>
      </c>
      <c r="G612" s="35">
        <v>28.38</v>
      </c>
      <c r="H612" s="33">
        <f>G612*(1-IFERROR(VLOOKUP(F612,'enter the discount'!$D$10:$E$40,2,FALSE),0))</f>
        <v>28.38</v>
      </c>
      <c r="I612" s="35" t="s">
        <v>2609</v>
      </c>
      <c r="J612" s="33" t="s">
        <v>713</v>
      </c>
      <c r="K612" s="33" t="s">
        <v>2749</v>
      </c>
      <c r="L612">
        <v>18</v>
      </c>
      <c r="M612"/>
      <c r="N612" t="s">
        <v>2754</v>
      </c>
      <c r="O612" s="34" t="str">
        <f>HYPERLINK("https://b2b.kobi.pl/pl/product/9801,przedluzacz-flowflexer-orange-w-2gn-usb-1-4m-zu-1-5mm-bialy-kobi-design?currency=PLN")</f>
        <v>https://b2b.kobi.pl/pl/product/9801,przedluzacz-flowflexer-orange-w-2gn-usb-1-4m-zu-1-5mm-bialy-kobi-design?currency=PLN</v>
      </c>
      <c r="P612" t="s">
        <v>3</v>
      </c>
      <c r="Q612"/>
    </row>
    <row r="613" spans="1:17" ht="14.4" x14ac:dyDescent="0.3">
      <c r="A613" t="s">
        <v>2056</v>
      </c>
      <c r="B613" t="s">
        <v>566</v>
      </c>
      <c r="C613" t="s">
        <v>1875</v>
      </c>
      <c r="D613" t="s">
        <v>2071</v>
      </c>
      <c r="E613" t="s">
        <v>2072</v>
      </c>
      <c r="F613" t="s">
        <v>856</v>
      </c>
      <c r="G613" s="35">
        <v>28.38</v>
      </c>
      <c r="H613" s="33">
        <f>G613*(1-IFERROR(VLOOKUP(F613,'enter the discount'!$D$10:$E$40,2,FALSE),0))</f>
        <v>28.38</v>
      </c>
      <c r="I613" s="35" t="s">
        <v>2609</v>
      </c>
      <c r="J613" s="33" t="s">
        <v>714</v>
      </c>
      <c r="K613" s="33" t="s">
        <v>2749</v>
      </c>
      <c r="L613">
        <v>18</v>
      </c>
      <c r="M613"/>
      <c r="N613" t="s">
        <v>2754</v>
      </c>
      <c r="O613" s="34" t="str">
        <f>HYPERLINK("https://b2b.kobi.pl/pl/product/9802,przedluzacz-flowflexer-orange-b-2gn-usb-1-4m-zu-1-5mm-czarny-kobi-design?currency=PLN")</f>
        <v>https://b2b.kobi.pl/pl/product/9802,przedluzacz-flowflexer-orange-b-2gn-usb-1-4m-zu-1-5mm-czarny-kobi-design?currency=PLN</v>
      </c>
      <c r="P613" t="s">
        <v>3</v>
      </c>
      <c r="Q613"/>
    </row>
    <row r="614" spans="1:17" ht="14.4" x14ac:dyDescent="0.3">
      <c r="A614" t="s">
        <v>2056</v>
      </c>
      <c r="B614" t="s">
        <v>566</v>
      </c>
      <c r="C614" t="s">
        <v>910</v>
      </c>
      <c r="D614" t="s">
        <v>2073</v>
      </c>
      <c r="E614" t="s">
        <v>2074</v>
      </c>
      <c r="F614" t="s">
        <v>856</v>
      </c>
      <c r="G614" s="35">
        <v>6.02</v>
      </c>
      <c r="H614" s="33">
        <f>G614*(1-IFERROR(VLOOKUP(F614,'enter the discount'!$D$10:$E$40,2,FALSE),0))</f>
        <v>6.02</v>
      </c>
      <c r="I614" s="35" t="s">
        <v>2609</v>
      </c>
      <c r="J614" s="33" t="s">
        <v>376</v>
      </c>
      <c r="K614" s="33" t="s">
        <v>2749</v>
      </c>
      <c r="L614">
        <v>40</v>
      </c>
      <c r="M614"/>
      <c r="N614" t="s">
        <v>2754</v>
      </c>
      <c r="O614" s="34" t="str">
        <f>HYPERLINK("https://b2b.kobi.pl/pl/product/10240,przedluzacz-linea-3gn-1-5m-zu-kobi?currency=PLN")</f>
        <v>https://b2b.kobi.pl/pl/product/10240,przedluzacz-linea-3gn-1-5m-zu-kobi?currency=PLN</v>
      </c>
      <c r="P614" t="s">
        <v>3</v>
      </c>
      <c r="Q614"/>
    </row>
    <row r="615" spans="1:17" ht="14.4" x14ac:dyDescent="0.3">
      <c r="A615" t="s">
        <v>2056</v>
      </c>
      <c r="B615" t="s">
        <v>566</v>
      </c>
      <c r="C615" t="s">
        <v>910</v>
      </c>
      <c r="D615" t="s">
        <v>2075</v>
      </c>
      <c r="E615" t="s">
        <v>2076</v>
      </c>
      <c r="F615" t="s">
        <v>856</v>
      </c>
      <c r="G615" s="35">
        <v>8.31</v>
      </c>
      <c r="H615" s="33">
        <f>G615*(1-IFERROR(VLOOKUP(F615,'enter the discount'!$D$10:$E$40,2,FALSE),0))</f>
        <v>8.31</v>
      </c>
      <c r="I615" s="35" t="s">
        <v>2609</v>
      </c>
      <c r="J615" s="33" t="s">
        <v>377</v>
      </c>
      <c r="K615" s="33" t="s">
        <v>2749</v>
      </c>
      <c r="L615">
        <v>30</v>
      </c>
      <c r="M615"/>
      <c r="N615" t="s">
        <v>2754</v>
      </c>
      <c r="O615" s="34" t="str">
        <f>HYPERLINK("https://b2b.kobi.pl/pl/product/10241,przedluzacz-linea-3gn-3m-zu-kobi?currency=PLN")</f>
        <v>https://b2b.kobi.pl/pl/product/10241,przedluzacz-linea-3gn-3m-zu-kobi?currency=PLN</v>
      </c>
      <c r="P615" t="s">
        <v>3</v>
      </c>
      <c r="Q615"/>
    </row>
    <row r="616" spans="1:17" ht="14.4" x14ac:dyDescent="0.3">
      <c r="A616" t="s">
        <v>2056</v>
      </c>
      <c r="B616" t="s">
        <v>566</v>
      </c>
      <c r="C616" t="s">
        <v>910</v>
      </c>
      <c r="D616" t="s">
        <v>2077</v>
      </c>
      <c r="E616" t="s">
        <v>2078</v>
      </c>
      <c r="F616" t="s">
        <v>856</v>
      </c>
      <c r="G616" s="35">
        <v>11.25</v>
      </c>
      <c r="H616" s="33">
        <f>G616*(1-IFERROR(VLOOKUP(F616,'enter the discount'!$D$10:$E$40,2,FALSE),0))</f>
        <v>11.25</v>
      </c>
      <c r="I616" s="35" t="s">
        <v>2609</v>
      </c>
      <c r="J616" s="33" t="s">
        <v>379</v>
      </c>
      <c r="K616" s="33" t="s">
        <v>2749</v>
      </c>
      <c r="L616">
        <v>30</v>
      </c>
      <c r="M616"/>
      <c r="N616" t="s">
        <v>2754</v>
      </c>
      <c r="O616" s="34" t="str">
        <f>HYPERLINK("https://b2b.kobi.pl/pl/product/10242,przedluzacz-linea-3gn-5m-zu-kobi?currency=PLN")</f>
        <v>https://b2b.kobi.pl/pl/product/10242,przedluzacz-linea-3gn-5m-zu-kobi?currency=PLN</v>
      </c>
      <c r="P616" t="s">
        <v>3</v>
      </c>
      <c r="Q616"/>
    </row>
    <row r="617" spans="1:17" ht="14.4" x14ac:dyDescent="0.3">
      <c r="A617" t="s">
        <v>2056</v>
      </c>
      <c r="B617" t="s">
        <v>566</v>
      </c>
      <c r="C617" t="s">
        <v>910</v>
      </c>
      <c r="D617" t="s">
        <v>2079</v>
      </c>
      <c r="E617" t="s">
        <v>2080</v>
      </c>
      <c r="F617" t="s">
        <v>856</v>
      </c>
      <c r="G617" s="35">
        <v>6.63</v>
      </c>
      <c r="H617" s="33">
        <f>G617*(1-IFERROR(VLOOKUP(F617,'enter the discount'!$D$10:$E$40,2,FALSE),0))</f>
        <v>6.63</v>
      </c>
      <c r="I617" s="35" t="s">
        <v>2609</v>
      </c>
      <c r="J617" s="33" t="s">
        <v>381</v>
      </c>
      <c r="K617" s="33" t="s">
        <v>2749</v>
      </c>
      <c r="L617">
        <v>40</v>
      </c>
      <c r="M617"/>
      <c r="N617" t="s">
        <v>2754</v>
      </c>
      <c r="O617" s="34" t="str">
        <f>HYPERLINK("https://b2b.kobi.pl/pl/product/10243,przedluzacz-linea-4gn-1-5m-zu-kobi?currency=PLN")</f>
        <v>https://b2b.kobi.pl/pl/product/10243,przedluzacz-linea-4gn-1-5m-zu-kobi?currency=PLN</v>
      </c>
      <c r="P617" t="s">
        <v>3</v>
      </c>
      <c r="Q617"/>
    </row>
    <row r="618" spans="1:17" ht="14.4" x14ac:dyDescent="0.3">
      <c r="A618" t="s">
        <v>2056</v>
      </c>
      <c r="B618" t="s">
        <v>566</v>
      </c>
      <c r="C618" t="s">
        <v>910</v>
      </c>
      <c r="D618" t="s">
        <v>2081</v>
      </c>
      <c r="E618" t="s">
        <v>2082</v>
      </c>
      <c r="F618" t="s">
        <v>856</v>
      </c>
      <c r="G618" s="35">
        <v>8.5500000000000007</v>
      </c>
      <c r="H618" s="33">
        <f>G618*(1-IFERROR(VLOOKUP(F618,'enter the discount'!$D$10:$E$40,2,FALSE),0))</f>
        <v>8.5500000000000007</v>
      </c>
      <c r="I618" s="35" t="s">
        <v>2609</v>
      </c>
      <c r="J618" s="33" t="s">
        <v>382</v>
      </c>
      <c r="K618" s="33" t="s">
        <v>2749</v>
      </c>
      <c r="L618">
        <v>30</v>
      </c>
      <c r="M618"/>
      <c r="N618" t="s">
        <v>2754</v>
      </c>
      <c r="O618" s="34" t="str">
        <f>HYPERLINK("https://b2b.kobi.pl/pl/product/10244,przedluzacz-linea-4gn-3m-zu-kobi?currency=PLN")</f>
        <v>https://b2b.kobi.pl/pl/product/10244,przedluzacz-linea-4gn-3m-zu-kobi?currency=PLN</v>
      </c>
      <c r="P618" t="s">
        <v>3</v>
      </c>
      <c r="Q618"/>
    </row>
    <row r="619" spans="1:17" ht="14.4" x14ac:dyDescent="0.3">
      <c r="A619" t="s">
        <v>2056</v>
      </c>
      <c r="B619" t="s">
        <v>566</v>
      </c>
      <c r="C619" t="s">
        <v>910</v>
      </c>
      <c r="D619" t="s">
        <v>2083</v>
      </c>
      <c r="E619" t="s">
        <v>2084</v>
      </c>
      <c r="F619" t="s">
        <v>856</v>
      </c>
      <c r="G619" s="35">
        <v>11.45</v>
      </c>
      <c r="H619" s="33">
        <f>G619*(1-IFERROR(VLOOKUP(F619,'enter the discount'!$D$10:$E$40,2,FALSE),0))</f>
        <v>11.45</v>
      </c>
      <c r="I619" s="35" t="s">
        <v>2609</v>
      </c>
      <c r="J619" s="33" t="s">
        <v>383</v>
      </c>
      <c r="K619" s="33" t="s">
        <v>2749</v>
      </c>
      <c r="L619">
        <v>30</v>
      </c>
      <c r="M619"/>
      <c r="N619" t="s">
        <v>2754</v>
      </c>
      <c r="O619" s="34" t="str">
        <f>HYPERLINK("https://b2b.kobi.pl/pl/product/10245,przedluzacz-linea-4gn-5m-zu-kobi?currency=PLN")</f>
        <v>https://b2b.kobi.pl/pl/product/10245,przedluzacz-linea-4gn-5m-zu-kobi?currency=PLN</v>
      </c>
      <c r="P619" t="s">
        <v>3</v>
      </c>
      <c r="Q619"/>
    </row>
    <row r="620" spans="1:17" ht="14.4" x14ac:dyDescent="0.3">
      <c r="A620" t="s">
        <v>2056</v>
      </c>
      <c r="B620" t="s">
        <v>566</v>
      </c>
      <c r="C620" t="s">
        <v>910</v>
      </c>
      <c r="D620" t="s">
        <v>2085</v>
      </c>
      <c r="E620" t="s">
        <v>2086</v>
      </c>
      <c r="F620" t="s">
        <v>856</v>
      </c>
      <c r="G620" s="35">
        <v>7.35</v>
      </c>
      <c r="H620" s="33">
        <f>G620*(1-IFERROR(VLOOKUP(F620,'enter the discount'!$D$10:$E$40,2,FALSE),0))</f>
        <v>7.35</v>
      </c>
      <c r="I620" s="35" t="s">
        <v>2609</v>
      </c>
      <c r="J620" s="33" t="s">
        <v>384</v>
      </c>
      <c r="K620" s="33" t="s">
        <v>2749</v>
      </c>
      <c r="L620">
        <v>40</v>
      </c>
      <c r="M620"/>
      <c r="N620" t="s">
        <v>2754</v>
      </c>
      <c r="O620" s="34" t="str">
        <f>HYPERLINK("https://b2b.kobi.pl/pl/product/10246,przedluzacz-linea-5gn-1-5m-zu-kobi?currency=PLN")</f>
        <v>https://b2b.kobi.pl/pl/product/10246,przedluzacz-linea-5gn-1-5m-zu-kobi?currency=PLN</v>
      </c>
      <c r="P620" t="s">
        <v>3</v>
      </c>
      <c r="Q620"/>
    </row>
    <row r="621" spans="1:17" ht="14.4" x14ac:dyDescent="0.3">
      <c r="A621" t="s">
        <v>2056</v>
      </c>
      <c r="B621" t="s">
        <v>566</v>
      </c>
      <c r="C621" t="s">
        <v>910</v>
      </c>
      <c r="D621" t="s">
        <v>2087</v>
      </c>
      <c r="E621" t="s">
        <v>2088</v>
      </c>
      <c r="F621" t="s">
        <v>856</v>
      </c>
      <c r="G621" s="35">
        <v>9.57</v>
      </c>
      <c r="H621" s="33">
        <f>G621*(1-IFERROR(VLOOKUP(F621,'enter the discount'!$D$10:$E$40,2,FALSE),0))</f>
        <v>9.57</v>
      </c>
      <c r="I621" s="35" t="s">
        <v>2609</v>
      </c>
      <c r="J621" s="33" t="s">
        <v>385</v>
      </c>
      <c r="K621" s="33" t="s">
        <v>2749</v>
      </c>
      <c r="L621">
        <v>30</v>
      </c>
      <c r="M621"/>
      <c r="N621" t="s">
        <v>2754</v>
      </c>
      <c r="O621" s="34" t="str">
        <f>HYPERLINK("https://b2b.kobi.pl/pl/product/10247,przedluzacz-linea-5gn-3m-zu-kobi?currency=PLN")</f>
        <v>https://b2b.kobi.pl/pl/product/10247,przedluzacz-linea-5gn-3m-zu-kobi?currency=PLN</v>
      </c>
      <c r="P621" t="s">
        <v>3</v>
      </c>
      <c r="Q621"/>
    </row>
    <row r="622" spans="1:17" ht="14.4" x14ac:dyDescent="0.3">
      <c r="A622" t="s">
        <v>2056</v>
      </c>
      <c r="B622" t="s">
        <v>566</v>
      </c>
      <c r="C622" t="s">
        <v>910</v>
      </c>
      <c r="D622" t="s">
        <v>2089</v>
      </c>
      <c r="E622" t="s">
        <v>2090</v>
      </c>
      <c r="F622" t="s">
        <v>856</v>
      </c>
      <c r="G622" s="35">
        <v>12.53</v>
      </c>
      <c r="H622" s="33">
        <f>G622*(1-IFERROR(VLOOKUP(F622,'enter the discount'!$D$10:$E$40,2,FALSE),0))</f>
        <v>12.53</v>
      </c>
      <c r="I622" s="35" t="s">
        <v>2609</v>
      </c>
      <c r="J622" s="33" t="s">
        <v>387</v>
      </c>
      <c r="K622" s="33" t="s">
        <v>2749</v>
      </c>
      <c r="L622">
        <v>30</v>
      </c>
      <c r="M622"/>
      <c r="N622" t="s">
        <v>2754</v>
      </c>
      <c r="O622" s="34" t="str">
        <f>HYPERLINK("https://b2b.kobi.pl/pl/product/10248,przedluzacz-linea-5gn-5m-zu-kobi?currency=PLN")</f>
        <v>https://b2b.kobi.pl/pl/product/10248,przedluzacz-linea-5gn-5m-zu-kobi?currency=PLN</v>
      </c>
      <c r="P622" t="s">
        <v>3</v>
      </c>
      <c r="Q622"/>
    </row>
    <row r="623" spans="1:17" ht="14.4" x14ac:dyDescent="0.3">
      <c r="A623" t="s">
        <v>2056</v>
      </c>
      <c r="B623" t="s">
        <v>566</v>
      </c>
      <c r="C623" t="s">
        <v>910</v>
      </c>
      <c r="D623" t="s">
        <v>2091</v>
      </c>
      <c r="E623" t="s">
        <v>2092</v>
      </c>
      <c r="F623" t="s">
        <v>856</v>
      </c>
      <c r="G623" s="35">
        <v>9.86</v>
      </c>
      <c r="H623" s="33">
        <f>G623*(1-IFERROR(VLOOKUP(F623,'enter the discount'!$D$10:$E$40,2,FALSE),0))</f>
        <v>9.86</v>
      </c>
      <c r="I623" s="35" t="s">
        <v>2609</v>
      </c>
      <c r="J623" s="33" t="s">
        <v>378</v>
      </c>
      <c r="K623" s="33" t="s">
        <v>2749</v>
      </c>
      <c r="L623">
        <v>30</v>
      </c>
      <c r="M623"/>
      <c r="N623" t="s">
        <v>2754</v>
      </c>
      <c r="O623" s="34" t="str">
        <f>HYPERLINK("https://b2b.kobi.pl/pl/product/10249,przedluzacz-linea-3gn-3m-zu-w-kobi?currency=PLN")</f>
        <v>https://b2b.kobi.pl/pl/product/10249,przedluzacz-linea-3gn-3m-zu-w-kobi?currency=PLN</v>
      </c>
      <c r="P623" t="s">
        <v>3</v>
      </c>
      <c r="Q623"/>
    </row>
    <row r="624" spans="1:17" ht="14.4" x14ac:dyDescent="0.3">
      <c r="A624" t="s">
        <v>2056</v>
      </c>
      <c r="B624" t="s">
        <v>566</v>
      </c>
      <c r="C624" t="s">
        <v>910</v>
      </c>
      <c r="D624" t="s">
        <v>2093</v>
      </c>
      <c r="E624" t="s">
        <v>2094</v>
      </c>
      <c r="F624" t="s">
        <v>856</v>
      </c>
      <c r="G624" s="35">
        <v>12.99</v>
      </c>
      <c r="H624" s="33">
        <f>G624*(1-IFERROR(VLOOKUP(F624,'enter the discount'!$D$10:$E$40,2,FALSE),0))</f>
        <v>12.99</v>
      </c>
      <c r="I624" s="35" t="s">
        <v>2609</v>
      </c>
      <c r="J624" s="33" t="s">
        <v>380</v>
      </c>
      <c r="K624" s="33" t="s">
        <v>2749</v>
      </c>
      <c r="L624">
        <v>30</v>
      </c>
      <c r="M624"/>
      <c r="N624" t="s">
        <v>2754</v>
      </c>
      <c r="O624" s="34" t="str">
        <f>HYPERLINK("https://b2b.kobi.pl/pl/product/10250,przedluzacz-linea-3gn-5m-zu-w-kobi?currency=PLN")</f>
        <v>https://b2b.kobi.pl/pl/product/10250,przedluzacz-linea-3gn-5m-zu-w-kobi?currency=PLN</v>
      </c>
      <c r="P624" t="s">
        <v>3</v>
      </c>
      <c r="Q624"/>
    </row>
    <row r="625" spans="1:17" ht="14.4" x14ac:dyDescent="0.3">
      <c r="A625" t="s">
        <v>2056</v>
      </c>
      <c r="B625" t="s">
        <v>566</v>
      </c>
      <c r="C625" t="s">
        <v>910</v>
      </c>
      <c r="D625" t="s">
        <v>2095</v>
      </c>
      <c r="E625" t="s">
        <v>2096</v>
      </c>
      <c r="F625" t="s">
        <v>856</v>
      </c>
      <c r="G625" s="35">
        <v>11.3</v>
      </c>
      <c r="H625" s="33">
        <f>G625*(1-IFERROR(VLOOKUP(F625,'enter the discount'!$D$10:$E$40,2,FALSE),0))</f>
        <v>11.3</v>
      </c>
      <c r="I625" s="35" t="s">
        <v>2609</v>
      </c>
      <c r="J625" s="33" t="s">
        <v>386</v>
      </c>
      <c r="K625" s="33" t="s">
        <v>2749</v>
      </c>
      <c r="L625">
        <v>30</v>
      </c>
      <c r="M625"/>
      <c r="N625" t="s">
        <v>2754</v>
      </c>
      <c r="O625" s="34" t="str">
        <f>HYPERLINK("https://b2b.kobi.pl/pl/product/10251,przedluzacz-linea-5gn-3m-zu-w-kobi?currency=PLN")</f>
        <v>https://b2b.kobi.pl/pl/product/10251,przedluzacz-linea-5gn-3m-zu-w-kobi?currency=PLN</v>
      </c>
      <c r="P625" t="s">
        <v>3</v>
      </c>
      <c r="Q625"/>
    </row>
    <row r="626" spans="1:17" ht="14.4" x14ac:dyDescent="0.3">
      <c r="A626" t="s">
        <v>2056</v>
      </c>
      <c r="B626" t="s">
        <v>566</v>
      </c>
      <c r="C626" t="s">
        <v>910</v>
      </c>
      <c r="D626" t="s">
        <v>2097</v>
      </c>
      <c r="E626" t="s">
        <v>2098</v>
      </c>
      <c r="F626" t="s">
        <v>856</v>
      </c>
      <c r="G626" s="35">
        <v>13.71</v>
      </c>
      <c r="H626" s="33">
        <f>G626*(1-IFERROR(VLOOKUP(F626,'enter the discount'!$D$10:$E$40,2,FALSE),0))</f>
        <v>13.71</v>
      </c>
      <c r="I626" s="35" t="s">
        <v>2609</v>
      </c>
      <c r="J626" s="33" t="s">
        <v>388</v>
      </c>
      <c r="K626" s="33" t="s">
        <v>2749</v>
      </c>
      <c r="L626">
        <v>30</v>
      </c>
      <c r="M626"/>
      <c r="N626" t="s">
        <v>2754</v>
      </c>
      <c r="O626" s="34" t="str">
        <f>HYPERLINK("https://b2b.kobi.pl/pl/product/10252,przedluzacz-linea-5gn-5m-zu-w-kobi?currency=PLN")</f>
        <v>https://b2b.kobi.pl/pl/product/10252,przedluzacz-linea-5gn-5m-zu-w-kobi?currency=PLN</v>
      </c>
      <c r="P626" t="s">
        <v>3</v>
      </c>
      <c r="Q626"/>
    </row>
    <row r="627" spans="1:17" ht="14.4" x14ac:dyDescent="0.3">
      <c r="A627" t="s">
        <v>2056</v>
      </c>
      <c r="B627" t="s">
        <v>566</v>
      </c>
      <c r="C627" t="s">
        <v>910</v>
      </c>
      <c r="D627" t="s">
        <v>2099</v>
      </c>
      <c r="E627" t="s">
        <v>2100</v>
      </c>
      <c r="F627" t="s">
        <v>856</v>
      </c>
      <c r="G627" s="35">
        <v>27.05</v>
      </c>
      <c r="H627" s="33">
        <f>G627*(1-IFERROR(VLOOKUP(F627,'enter the discount'!$D$10:$E$40,2,FALSE),0))</f>
        <v>27.05</v>
      </c>
      <c r="I627" s="35" t="s">
        <v>2609</v>
      </c>
      <c r="J627" s="33" t="s">
        <v>767</v>
      </c>
      <c r="K627" s="33" t="s">
        <v>2749</v>
      </c>
      <c r="L627">
        <v>60</v>
      </c>
      <c r="M627"/>
      <c r="N627" t="s">
        <v>2754</v>
      </c>
      <c r="O627" s="34" t="str">
        <f>HYPERLINK("https://b2b.kobi.pl/pl/product/10253,przedluzacz-linea-pro-cube-3gn-3usb-1usb-c-zu-w-bialy-kobi?currency=PLN")</f>
        <v>https://b2b.kobi.pl/pl/product/10253,przedluzacz-linea-pro-cube-3gn-3usb-1usb-c-zu-w-bialy-kobi?currency=PLN</v>
      </c>
      <c r="P627" t="s">
        <v>3</v>
      </c>
      <c r="Q627"/>
    </row>
    <row r="628" spans="1:17" ht="14.4" x14ac:dyDescent="0.3">
      <c r="A628" t="s">
        <v>2056</v>
      </c>
      <c r="B628" t="s">
        <v>566</v>
      </c>
      <c r="C628" t="s">
        <v>910</v>
      </c>
      <c r="D628" t="s">
        <v>2101</v>
      </c>
      <c r="E628" t="s">
        <v>2102</v>
      </c>
      <c r="F628" t="s">
        <v>856</v>
      </c>
      <c r="G628" s="35">
        <v>27.05</v>
      </c>
      <c r="H628" s="33">
        <f>G628*(1-IFERROR(VLOOKUP(F628,'enter the discount'!$D$10:$E$40,2,FALSE),0))</f>
        <v>27.05</v>
      </c>
      <c r="I628" s="35" t="s">
        <v>2609</v>
      </c>
      <c r="J628" s="33" t="s">
        <v>764</v>
      </c>
      <c r="K628" s="33" t="s">
        <v>2749</v>
      </c>
      <c r="L628">
        <v>60</v>
      </c>
      <c r="M628"/>
      <c r="N628" t="s">
        <v>2754</v>
      </c>
      <c r="O628" s="34" t="str">
        <f>HYPERLINK("https://b2b.kobi.pl/pl/product/10254,przedluzacz-linea-pro-cube-3gn-3usb-1usb-c-zu-w-czarny-kobi?currency=PLN")</f>
        <v>https://b2b.kobi.pl/pl/product/10254,przedluzacz-linea-pro-cube-3gn-3usb-1usb-c-zu-w-czarny-kobi?currency=PLN</v>
      </c>
      <c r="P628" t="s">
        <v>3</v>
      </c>
      <c r="Q628"/>
    </row>
    <row r="629" spans="1:17" ht="14.4" x14ac:dyDescent="0.3">
      <c r="A629" t="s">
        <v>2056</v>
      </c>
      <c r="B629" t="s">
        <v>566</v>
      </c>
      <c r="C629" t="s">
        <v>910</v>
      </c>
      <c r="D629" t="s">
        <v>2103</v>
      </c>
      <c r="E629" t="s">
        <v>2104</v>
      </c>
      <c r="F629" t="s">
        <v>856</v>
      </c>
      <c r="G629" s="35">
        <v>33.07</v>
      </c>
      <c r="H629" s="33">
        <f>G629*(1-IFERROR(VLOOKUP(F629,'enter the discount'!$D$10:$E$40,2,FALSE),0))</f>
        <v>33.07</v>
      </c>
      <c r="I629" s="35" t="s">
        <v>2609</v>
      </c>
      <c r="J629" s="33" t="s">
        <v>766</v>
      </c>
      <c r="K629" s="33" t="s">
        <v>2749</v>
      </c>
      <c r="L629">
        <v>50</v>
      </c>
      <c r="M629"/>
      <c r="N629" t="s">
        <v>2754</v>
      </c>
      <c r="O629" s="34" t="str">
        <f>HYPERLINK("https://b2b.kobi.pl/pl/product/10255,przedluzacz-linea-pro-cube-c-3gn-3usb-1usb-c-1-5m-zu-w-bialy-kobi?currency=PLN")</f>
        <v>https://b2b.kobi.pl/pl/product/10255,przedluzacz-linea-pro-cube-c-3gn-3usb-1usb-c-1-5m-zu-w-bialy-kobi?currency=PLN</v>
      </c>
      <c r="P629" t="s">
        <v>3</v>
      </c>
      <c r="Q629"/>
    </row>
    <row r="630" spans="1:17" ht="14.4" x14ac:dyDescent="0.3">
      <c r="A630" t="s">
        <v>2056</v>
      </c>
      <c r="B630" t="s">
        <v>566</v>
      </c>
      <c r="C630" t="s">
        <v>910</v>
      </c>
      <c r="D630" t="s">
        <v>2105</v>
      </c>
      <c r="E630" t="s">
        <v>2106</v>
      </c>
      <c r="F630" t="s">
        <v>856</v>
      </c>
      <c r="G630" s="35">
        <v>33.07</v>
      </c>
      <c r="H630" s="33">
        <f>G630*(1-IFERROR(VLOOKUP(F630,'enter the discount'!$D$10:$E$40,2,FALSE),0))</f>
        <v>33.07</v>
      </c>
      <c r="I630" s="35" t="s">
        <v>2609</v>
      </c>
      <c r="J630" s="33" t="s">
        <v>765</v>
      </c>
      <c r="K630" s="33" t="s">
        <v>2749</v>
      </c>
      <c r="L630">
        <v>50</v>
      </c>
      <c r="M630"/>
      <c r="N630" t="s">
        <v>2754</v>
      </c>
      <c r="O630" s="34" t="str">
        <f>HYPERLINK("https://b2b.kobi.pl/pl/product/10256,przedluzacz-linea-pro-cube-c-3gn-3usb-1usb-c-1-5m-zu-w-czarny-kobi?currency=PLN")</f>
        <v>https://b2b.kobi.pl/pl/product/10256,przedluzacz-linea-pro-cube-c-3gn-3usb-1usb-c-1-5m-zu-w-czarny-kobi?currency=PLN</v>
      </c>
      <c r="P630" t="s">
        <v>3</v>
      </c>
      <c r="Q630"/>
    </row>
    <row r="631" spans="1:17" ht="14.4" x14ac:dyDescent="0.3">
      <c r="A631" t="s">
        <v>2056</v>
      </c>
      <c r="B631" t="s">
        <v>566</v>
      </c>
      <c r="C631" t="s">
        <v>910</v>
      </c>
      <c r="D631" t="s">
        <v>2107</v>
      </c>
      <c r="E631" t="s">
        <v>2108</v>
      </c>
      <c r="F631" t="s">
        <v>856</v>
      </c>
      <c r="G631" s="35">
        <v>16.809999999999999</v>
      </c>
      <c r="H631" s="33">
        <f>G631*(1-IFERROR(VLOOKUP(F631,'enter the discount'!$D$10:$E$40,2,FALSE),0))</f>
        <v>16.809999999999999</v>
      </c>
      <c r="I631" s="35" t="s">
        <v>2609</v>
      </c>
      <c r="J631" s="33" t="s">
        <v>769</v>
      </c>
      <c r="K631" s="33" t="s">
        <v>2749</v>
      </c>
      <c r="L631">
        <v>20</v>
      </c>
      <c r="M631"/>
      <c r="N631" t="s">
        <v>2754</v>
      </c>
      <c r="O631" s="34" t="str">
        <f>HYPERLINK("https://b2b.kobi.pl/pl/product/10257,przedluzacz-linea-pro-fl-2gn-3usb-1usb-c-0-2m-bialy-kobi?currency=PLN")</f>
        <v>https://b2b.kobi.pl/pl/product/10257,przedluzacz-linea-pro-fl-2gn-3usb-1usb-c-0-2m-bialy-kobi?currency=PLN</v>
      </c>
      <c r="P631" t="s">
        <v>3</v>
      </c>
      <c r="Q631"/>
    </row>
    <row r="632" spans="1:17" ht="14.4" x14ac:dyDescent="0.3">
      <c r="A632" t="s">
        <v>2056</v>
      </c>
      <c r="B632" t="s">
        <v>566</v>
      </c>
      <c r="C632" t="s">
        <v>910</v>
      </c>
      <c r="D632" t="s">
        <v>2109</v>
      </c>
      <c r="E632" t="s">
        <v>2110</v>
      </c>
      <c r="F632" t="s">
        <v>856</v>
      </c>
      <c r="G632" s="35">
        <v>16.809999999999999</v>
      </c>
      <c r="H632" s="33">
        <f>G632*(1-IFERROR(VLOOKUP(F632,'enter the discount'!$D$10:$E$40,2,FALSE),0))</f>
        <v>16.809999999999999</v>
      </c>
      <c r="I632" s="35" t="s">
        <v>2609</v>
      </c>
      <c r="J632" s="33" t="s">
        <v>768</v>
      </c>
      <c r="K632" s="33" t="s">
        <v>2749</v>
      </c>
      <c r="L632">
        <v>20</v>
      </c>
      <c r="M632"/>
      <c r="N632" t="s">
        <v>2754</v>
      </c>
      <c r="O632" s="34" t="str">
        <f>HYPERLINK("https://b2b.kobi.pl/pl/product/10258,przedluzacz-linea-pro-fl-2gn-3usb-1usb-c-0-2m-czarny-kobi?currency=PLN")</f>
        <v>https://b2b.kobi.pl/pl/product/10258,przedluzacz-linea-pro-fl-2gn-3usb-1usb-c-0-2m-czarny-kobi?currency=PLN</v>
      </c>
      <c r="P632" t="s">
        <v>3</v>
      </c>
      <c r="Q632"/>
    </row>
    <row r="633" spans="1:17" ht="14.4" x14ac:dyDescent="0.3">
      <c r="A633" t="s">
        <v>2056</v>
      </c>
      <c r="B633" t="s">
        <v>566</v>
      </c>
      <c r="C633" t="s">
        <v>910</v>
      </c>
      <c r="D633" t="s">
        <v>2111</v>
      </c>
      <c r="E633" t="s">
        <v>2112</v>
      </c>
      <c r="F633" t="s">
        <v>856</v>
      </c>
      <c r="G633" s="35">
        <v>18.010000000000002</v>
      </c>
      <c r="H633" s="33">
        <f>G633*(1-IFERROR(VLOOKUP(F633,'enter the discount'!$D$10:$E$40,2,FALSE),0))</f>
        <v>18.010000000000002</v>
      </c>
      <c r="I633" s="35" t="s">
        <v>2609</v>
      </c>
      <c r="J633" s="33" t="s">
        <v>770</v>
      </c>
      <c r="K633" s="33" t="s">
        <v>2749</v>
      </c>
      <c r="L633">
        <v>20</v>
      </c>
      <c r="M633"/>
      <c r="N633" t="s">
        <v>2754</v>
      </c>
      <c r="O633" s="34" t="str">
        <f>HYPERLINK("https://b2b.kobi.pl/pl/product/10259,przedluzacz-linea-pro-3gn-4usb-1usb-c-1-5m-zu-w-bialy-kobi?currency=PLN")</f>
        <v>https://b2b.kobi.pl/pl/product/10259,przedluzacz-linea-pro-3gn-4usb-1usb-c-1-5m-zu-w-bialy-kobi?currency=PLN</v>
      </c>
      <c r="P633" t="s">
        <v>3</v>
      </c>
      <c r="Q633"/>
    </row>
    <row r="634" spans="1:17" ht="14.4" x14ac:dyDescent="0.3">
      <c r="A634" t="s">
        <v>2056</v>
      </c>
      <c r="B634" t="s">
        <v>566</v>
      </c>
      <c r="C634" t="s">
        <v>910</v>
      </c>
      <c r="D634" t="s">
        <v>2113</v>
      </c>
      <c r="E634" t="s">
        <v>2114</v>
      </c>
      <c r="F634" t="s">
        <v>856</v>
      </c>
      <c r="G634" s="35">
        <v>18.010000000000002</v>
      </c>
      <c r="H634" s="33">
        <f>G634*(1-IFERROR(VLOOKUP(F634,'enter the discount'!$D$10:$E$40,2,FALSE),0))</f>
        <v>18.010000000000002</v>
      </c>
      <c r="I634" s="35" t="s">
        <v>2609</v>
      </c>
      <c r="J634" s="33" t="s">
        <v>761</v>
      </c>
      <c r="K634" s="33" t="s">
        <v>2749</v>
      </c>
      <c r="L634">
        <v>20</v>
      </c>
      <c r="M634"/>
      <c r="N634" t="s">
        <v>2754</v>
      </c>
      <c r="O634" s="34" t="str">
        <f>HYPERLINK("https://b2b.kobi.pl/pl/product/10260,przedluzacz-linea-pro-3gn-4usb-1usb-c-1-5m-zu-w-czarny-kobi?currency=PLN")</f>
        <v>https://b2b.kobi.pl/pl/product/10260,przedluzacz-linea-pro-3gn-4usb-1usb-c-1-5m-zu-w-czarny-kobi?currency=PLN</v>
      </c>
      <c r="P634" t="s">
        <v>3</v>
      </c>
      <c r="Q634"/>
    </row>
    <row r="635" spans="1:17" ht="14.4" x14ac:dyDescent="0.3">
      <c r="A635" t="s">
        <v>2056</v>
      </c>
      <c r="B635" t="s">
        <v>566</v>
      </c>
      <c r="C635" t="s">
        <v>910</v>
      </c>
      <c r="D635" t="s">
        <v>2115</v>
      </c>
      <c r="E635" t="s">
        <v>2116</v>
      </c>
      <c r="F635" t="s">
        <v>856</v>
      </c>
      <c r="G635" s="35">
        <v>22.83</v>
      </c>
      <c r="H635" s="33">
        <f>G635*(1-IFERROR(VLOOKUP(F635,'enter the discount'!$D$10:$E$40,2,FALSE),0))</f>
        <v>22.83</v>
      </c>
      <c r="I635" s="35" t="s">
        <v>2609</v>
      </c>
      <c r="J635" s="33" t="s">
        <v>771</v>
      </c>
      <c r="K635" s="33" t="s">
        <v>2749</v>
      </c>
      <c r="L635">
        <v>20</v>
      </c>
      <c r="M635"/>
      <c r="N635" t="s">
        <v>2754</v>
      </c>
      <c r="O635" s="34" t="str">
        <f>HYPERLINK("https://b2b.kobi.pl/pl/product/10261,przedluzacz-linea-pro-3gn-4usb-1usb-c-3m-zu-w-bialy-kobi?currency=PLN")</f>
        <v>https://b2b.kobi.pl/pl/product/10261,przedluzacz-linea-pro-3gn-4usb-1usb-c-3m-zu-w-bialy-kobi?currency=PLN</v>
      </c>
      <c r="P635" t="s">
        <v>3</v>
      </c>
      <c r="Q635"/>
    </row>
    <row r="636" spans="1:17" ht="14.4" x14ac:dyDescent="0.3">
      <c r="A636" t="s">
        <v>2056</v>
      </c>
      <c r="B636" t="s">
        <v>566</v>
      </c>
      <c r="C636" t="s">
        <v>910</v>
      </c>
      <c r="D636" t="s">
        <v>2117</v>
      </c>
      <c r="E636" t="s">
        <v>2118</v>
      </c>
      <c r="F636" t="s">
        <v>856</v>
      </c>
      <c r="G636" s="35">
        <v>22.83</v>
      </c>
      <c r="H636" s="33">
        <f>G636*(1-IFERROR(VLOOKUP(F636,'enter the discount'!$D$10:$E$40,2,FALSE),0))</f>
        <v>22.83</v>
      </c>
      <c r="I636" s="35" t="s">
        <v>2609</v>
      </c>
      <c r="J636" s="33" t="s">
        <v>762</v>
      </c>
      <c r="K636" s="33" t="s">
        <v>2749</v>
      </c>
      <c r="L636">
        <v>20</v>
      </c>
      <c r="M636"/>
      <c r="N636" t="s">
        <v>2754</v>
      </c>
      <c r="O636" s="34" t="str">
        <f>HYPERLINK("https://b2b.kobi.pl/pl/product/10262,przedluzacz-linea-pro-3gn-4usb-1usb-c-3m-zu-w-czarny-kobi?currency=PLN")</f>
        <v>https://b2b.kobi.pl/pl/product/10262,przedluzacz-linea-pro-3gn-4usb-1usb-c-3m-zu-w-czarny-kobi?currency=PLN</v>
      </c>
      <c r="P636" t="s">
        <v>3</v>
      </c>
      <c r="Q636"/>
    </row>
    <row r="637" spans="1:17" ht="14.4" x14ac:dyDescent="0.3">
      <c r="A637" t="s">
        <v>2056</v>
      </c>
      <c r="B637" t="s">
        <v>566</v>
      </c>
      <c r="C637" t="s">
        <v>910</v>
      </c>
      <c r="D637" t="s">
        <v>2119</v>
      </c>
      <c r="E637" t="s">
        <v>2120</v>
      </c>
      <c r="F637" t="s">
        <v>856</v>
      </c>
      <c r="G637" s="35">
        <v>28.86</v>
      </c>
      <c r="H637" s="33">
        <f>G637*(1-IFERROR(VLOOKUP(F637,'enter the discount'!$D$10:$E$40,2,FALSE),0))</f>
        <v>28.86</v>
      </c>
      <c r="I637" s="35" t="s">
        <v>2609</v>
      </c>
      <c r="J637" s="33" t="s">
        <v>772</v>
      </c>
      <c r="K637" s="33" t="s">
        <v>2749</v>
      </c>
      <c r="L637">
        <v>20</v>
      </c>
      <c r="M637"/>
      <c r="N637" t="s">
        <v>2754</v>
      </c>
      <c r="O637" s="34" t="str">
        <f>HYPERLINK("https://b2b.kobi.pl/pl/product/10263,przedluzacz-linea-pro-3gn-4usb-1usb-c-5m-zu-w-bialy-kobi?currency=PLN")</f>
        <v>https://b2b.kobi.pl/pl/product/10263,przedluzacz-linea-pro-3gn-4usb-1usb-c-5m-zu-w-bialy-kobi?currency=PLN</v>
      </c>
      <c r="P637" t="s">
        <v>3</v>
      </c>
      <c r="Q637"/>
    </row>
    <row r="638" spans="1:17" ht="14.4" x14ac:dyDescent="0.3">
      <c r="A638" t="s">
        <v>2056</v>
      </c>
      <c r="B638" t="s">
        <v>566</v>
      </c>
      <c r="C638" t="s">
        <v>910</v>
      </c>
      <c r="D638" t="s">
        <v>2121</v>
      </c>
      <c r="E638" t="s">
        <v>2122</v>
      </c>
      <c r="F638" t="s">
        <v>856</v>
      </c>
      <c r="G638" s="35">
        <v>28.86</v>
      </c>
      <c r="H638" s="33">
        <f>G638*(1-IFERROR(VLOOKUP(F638,'enter the discount'!$D$10:$E$40,2,FALSE),0))</f>
        <v>28.86</v>
      </c>
      <c r="I638" s="35" t="s">
        <v>2609</v>
      </c>
      <c r="J638" s="33" t="s">
        <v>763</v>
      </c>
      <c r="K638" s="33" t="s">
        <v>2749</v>
      </c>
      <c r="L638">
        <v>20</v>
      </c>
      <c r="M638"/>
      <c r="N638" t="s">
        <v>2754</v>
      </c>
      <c r="O638" s="34" t="str">
        <f>HYPERLINK("https://b2b.kobi.pl/pl/product/10264,przedluzacz-linea-pro-3gn-4usb-1usb-c-5m-zu-w-czarny-kobi?currency=PLN")</f>
        <v>https://b2b.kobi.pl/pl/product/10264,przedluzacz-linea-pro-3gn-4usb-1usb-c-5m-zu-w-czarny-kobi?currency=PLN</v>
      </c>
      <c r="P638" t="s">
        <v>3</v>
      </c>
      <c r="Q638"/>
    </row>
    <row r="639" spans="1:17" ht="14.4" x14ac:dyDescent="0.3">
      <c r="A639" t="s">
        <v>11</v>
      </c>
      <c r="B639" t="s">
        <v>2123</v>
      </c>
      <c r="C639" t="s">
        <v>1875</v>
      </c>
      <c r="D639" t="s">
        <v>2124</v>
      </c>
      <c r="E639" t="s">
        <v>2125</v>
      </c>
      <c r="F639" t="s">
        <v>849</v>
      </c>
      <c r="G639" s="35">
        <v>41.06</v>
      </c>
      <c r="H639" s="33">
        <f>G639*(1-IFERROR(VLOOKUP(F639,'enter the discount'!$D$10:$E$40,2,FALSE),0))</f>
        <v>41.06</v>
      </c>
      <c r="I639" s="35" t="s">
        <v>2609</v>
      </c>
      <c r="J639" s="33" t="s">
        <v>701</v>
      </c>
      <c r="K639" s="33" t="s">
        <v>2749</v>
      </c>
      <c r="L639">
        <v>20</v>
      </c>
      <c r="M639"/>
      <c r="N639" t="s">
        <v>2754</v>
      </c>
      <c r="O639" s="34" t="str">
        <f>HYPERLINK("https://b2b.kobi.pl/pl/product/9796,lampa-podlogowa-play-sl-6w-rgb-kobi-design?currency=PLN")</f>
        <v>https://b2b.kobi.pl/pl/product/9796,lampa-podlogowa-play-sl-6w-rgb-kobi-design?currency=PLN</v>
      </c>
      <c r="P639" t="s">
        <v>3</v>
      </c>
      <c r="Q639"/>
    </row>
    <row r="640" spans="1:17" ht="14.4" x14ac:dyDescent="0.3">
      <c r="A640" t="s">
        <v>11</v>
      </c>
      <c r="B640" t="s">
        <v>2123</v>
      </c>
      <c r="C640" t="s">
        <v>1875</v>
      </c>
      <c r="D640" t="s">
        <v>2126</v>
      </c>
      <c r="E640" t="s">
        <v>2127</v>
      </c>
      <c r="F640" t="s">
        <v>853</v>
      </c>
      <c r="G640" s="35">
        <v>31.08</v>
      </c>
      <c r="H640" s="33">
        <f>G640*(1-IFERROR(VLOOKUP(F640,'enter the discount'!$D$10:$E$40,2,FALSE),0))</f>
        <v>31.08</v>
      </c>
      <c r="I640" s="35" t="s">
        <v>2594</v>
      </c>
      <c r="J640" s="33" t="s">
        <v>706</v>
      </c>
      <c r="K640" s="33" t="s">
        <v>2749</v>
      </c>
      <c r="L640">
        <v>20</v>
      </c>
      <c r="M640"/>
      <c r="N640" t="s">
        <v>2754</v>
      </c>
      <c r="O640" s="34" t="str">
        <f>HYPERLINK("https://b2b.kobi.pl/pl/product/9797,lampka-na-monitor-led-lume-iq-5w-cct-kobi-design?currency=PLN")</f>
        <v>https://b2b.kobi.pl/pl/product/9797,lampka-na-monitor-led-lume-iq-5w-cct-kobi-design?currency=PLN</v>
      </c>
      <c r="P640" s="34" t="str">
        <f>HYPERLINK("https://eprel.ec.europa.eu/qr/2077068")</f>
        <v>https://eprel.ec.europa.eu/qr/2077068</v>
      </c>
      <c r="Q640"/>
    </row>
    <row r="641" spans="1:17" ht="14.4" x14ac:dyDescent="0.3">
      <c r="A641" t="s">
        <v>11</v>
      </c>
      <c r="B641" t="s">
        <v>2123</v>
      </c>
      <c r="C641" t="s">
        <v>1875</v>
      </c>
      <c r="D641" t="s">
        <v>2128</v>
      </c>
      <c r="E641" t="s">
        <v>2129</v>
      </c>
      <c r="F641" t="s">
        <v>849</v>
      </c>
      <c r="G641" s="35">
        <v>26.47</v>
      </c>
      <c r="H641" s="33">
        <f>G641*(1-IFERROR(VLOOKUP(F641,'enter the discount'!$D$10:$E$40,2,FALSE),0))</f>
        <v>26.47</v>
      </c>
      <c r="I641" s="35" t="s">
        <v>2593</v>
      </c>
      <c r="J641" s="33" t="s">
        <v>707</v>
      </c>
      <c r="K641" s="33" t="s">
        <v>2749</v>
      </c>
      <c r="L641">
        <v>20</v>
      </c>
      <c r="M641"/>
      <c r="N641" t="s">
        <v>2754</v>
      </c>
      <c r="O641" s="34" t="str">
        <f>HYPERLINK("https://b2b.kobi.pl/pl/product/9798,kinkiet-led-lumireflect-8w-4000k-czarny-kobi-design?currency=PLN")</f>
        <v>https://b2b.kobi.pl/pl/product/9798,kinkiet-led-lumireflect-8w-4000k-czarny-kobi-design?currency=PLN</v>
      </c>
      <c r="P641" s="34" t="str">
        <f>HYPERLINK("https://eprel.ec.europa.eu/qr/1959986")</f>
        <v>https://eprel.ec.europa.eu/qr/1959986</v>
      </c>
      <c r="Q641"/>
    </row>
    <row r="642" spans="1:17" ht="14.4" x14ac:dyDescent="0.3">
      <c r="A642" t="s">
        <v>11</v>
      </c>
      <c r="B642" t="s">
        <v>2123</v>
      </c>
      <c r="C642" t="s">
        <v>1875</v>
      </c>
      <c r="D642" t="s">
        <v>2130</v>
      </c>
      <c r="E642" t="s">
        <v>2131</v>
      </c>
      <c r="F642" t="s">
        <v>849</v>
      </c>
      <c r="G642" s="35">
        <v>27.65</v>
      </c>
      <c r="H642" s="33">
        <f>G642*(1-IFERROR(VLOOKUP(F642,'enter the discount'!$D$10:$E$40,2,FALSE),0))</f>
        <v>27.65</v>
      </c>
      <c r="I642" s="35" t="s">
        <v>2593</v>
      </c>
      <c r="J642" s="33" t="s">
        <v>708</v>
      </c>
      <c r="K642" s="33" t="s">
        <v>2749</v>
      </c>
      <c r="L642">
        <v>20</v>
      </c>
      <c r="M642"/>
      <c r="N642" t="s">
        <v>2754</v>
      </c>
      <c r="O642" s="34" t="str">
        <f>HYPERLINK("https://b2b.kobi.pl/pl/product/9799,kinkiet-led-lumireflect-10w-4000k-czarny-kobi-design?currency=PLN")</f>
        <v>https://b2b.kobi.pl/pl/product/9799,kinkiet-led-lumireflect-10w-4000k-czarny-kobi-design?currency=PLN</v>
      </c>
      <c r="P642" s="34" t="str">
        <f>HYPERLINK("https://eprel.ec.europa.eu/qr/2037037")</f>
        <v>https://eprel.ec.europa.eu/qr/2037037</v>
      </c>
      <c r="Q642"/>
    </row>
    <row r="643" spans="1:17" ht="14.4" x14ac:dyDescent="0.3">
      <c r="A643" t="s">
        <v>11</v>
      </c>
      <c r="B643" t="s">
        <v>2123</v>
      </c>
      <c r="C643" t="s">
        <v>1875</v>
      </c>
      <c r="D643" t="s">
        <v>2132</v>
      </c>
      <c r="E643" t="s">
        <v>2133</v>
      </c>
      <c r="F643" t="s">
        <v>849</v>
      </c>
      <c r="G643" s="35">
        <v>30.06</v>
      </c>
      <c r="H643" s="33">
        <f>G643*(1-IFERROR(VLOOKUP(F643,'enter the discount'!$D$10:$E$40,2,FALSE),0))</f>
        <v>30.06</v>
      </c>
      <c r="I643" s="35" t="s">
        <v>2593</v>
      </c>
      <c r="J643" s="33" t="s">
        <v>709</v>
      </c>
      <c r="K643" s="33" t="s">
        <v>2749</v>
      </c>
      <c r="L643">
        <v>20</v>
      </c>
      <c r="M643"/>
      <c r="N643" t="s">
        <v>2754</v>
      </c>
      <c r="O643" s="34" t="str">
        <f>HYPERLINK("https://b2b.kobi.pl/pl/product/9800,kinkiet-led-lumireflect-12w-4000k-czarny-kobi-design?currency=PLN")</f>
        <v>https://b2b.kobi.pl/pl/product/9800,kinkiet-led-lumireflect-12w-4000k-czarny-kobi-design?currency=PLN</v>
      </c>
      <c r="P643" s="34" t="str">
        <f>HYPERLINK("https://eprel.ec.europa.eu/qr/2037067")</f>
        <v>https://eprel.ec.europa.eu/qr/2037067</v>
      </c>
      <c r="Q643"/>
    </row>
    <row r="644" spans="1:17" ht="14.4" x14ac:dyDescent="0.3">
      <c r="A644" t="s">
        <v>11</v>
      </c>
      <c r="B644" t="s">
        <v>2123</v>
      </c>
      <c r="C644" t="s">
        <v>1875</v>
      </c>
      <c r="D644" t="s">
        <v>2134</v>
      </c>
      <c r="E644" t="s">
        <v>2135</v>
      </c>
      <c r="F644" t="s">
        <v>849</v>
      </c>
      <c r="G644" s="35">
        <v>50.07</v>
      </c>
      <c r="H644" s="33">
        <f>G644*(1-IFERROR(VLOOKUP(F644,'enter the discount'!$D$10:$E$40,2,FALSE),0))</f>
        <v>50.07</v>
      </c>
      <c r="I644" s="35" t="s">
        <v>2609</v>
      </c>
      <c r="J644" s="33" t="s">
        <v>606</v>
      </c>
      <c r="K644" s="33" t="s">
        <v>2749</v>
      </c>
      <c r="L644">
        <v>1</v>
      </c>
      <c r="M644"/>
      <c r="N644" t="s">
        <v>2754</v>
      </c>
      <c r="O644" s="34" t="str">
        <f>HYPERLINK("https://b2b.kobi.pl/pl/product/10489,lampa-wiszaca-boho-braga-1xe27-kobi-design?currency=PLN")</f>
        <v>https://b2b.kobi.pl/pl/product/10489,lampa-wiszaca-boho-braga-1xe27-kobi-design?currency=PLN</v>
      </c>
      <c r="P644" t="s">
        <v>3</v>
      </c>
      <c r="Q644"/>
    </row>
    <row r="645" spans="1:17" ht="14.4" x14ac:dyDescent="0.3">
      <c r="A645" t="s">
        <v>11</v>
      </c>
      <c r="B645" t="s">
        <v>2123</v>
      </c>
      <c r="C645" t="s">
        <v>1875</v>
      </c>
      <c r="D645" t="s">
        <v>2136</v>
      </c>
      <c r="E645" t="s">
        <v>2137</v>
      </c>
      <c r="F645" t="s">
        <v>849</v>
      </c>
      <c r="G645" s="35">
        <v>60.84</v>
      </c>
      <c r="H645" s="33">
        <f>G645*(1-IFERROR(VLOOKUP(F645,'enter the discount'!$D$10:$E$40,2,FALSE),0))</f>
        <v>60.84</v>
      </c>
      <c r="I645" s="35" t="s">
        <v>2609</v>
      </c>
      <c r="J645" s="33" t="s">
        <v>604</v>
      </c>
      <c r="K645" s="33" t="s">
        <v>2749</v>
      </c>
      <c r="L645">
        <v>1</v>
      </c>
      <c r="M645"/>
      <c r="N645" t="s">
        <v>2754</v>
      </c>
      <c r="O645" s="34" t="str">
        <f>HYPERLINK("https://b2b.kobi.pl/pl/product/10490,lampa-wiszaca-boho-bimini-1xe27-kobi-design?currency=PLN")</f>
        <v>https://b2b.kobi.pl/pl/product/10490,lampa-wiszaca-boho-bimini-1xe27-kobi-design?currency=PLN</v>
      </c>
      <c r="P645" t="s">
        <v>3</v>
      </c>
      <c r="Q645"/>
    </row>
    <row r="646" spans="1:17" ht="14.4" x14ac:dyDescent="0.3">
      <c r="A646" t="s">
        <v>11</v>
      </c>
      <c r="B646" t="s">
        <v>2123</v>
      </c>
      <c r="C646" t="s">
        <v>1875</v>
      </c>
      <c r="D646" t="s">
        <v>2138</v>
      </c>
      <c r="E646" t="s">
        <v>2139</v>
      </c>
      <c r="F646" t="s">
        <v>849</v>
      </c>
      <c r="G646" s="35">
        <v>83.15</v>
      </c>
      <c r="H646" s="33">
        <f>G646*(1-IFERROR(VLOOKUP(F646,'enter the discount'!$D$10:$E$40,2,FALSE),0))</f>
        <v>83.15</v>
      </c>
      <c r="I646" s="35" t="s">
        <v>2609</v>
      </c>
      <c r="J646" s="33" t="s">
        <v>607</v>
      </c>
      <c r="K646" s="33" t="s">
        <v>2749</v>
      </c>
      <c r="L646">
        <v>1</v>
      </c>
      <c r="M646">
        <v>32</v>
      </c>
      <c r="N646" t="s">
        <v>2754</v>
      </c>
      <c r="O646" s="34" t="str">
        <f>HYPERLINK("https://b2b.kobi.pl/pl/product/10491,lampa-wiszaca-boho-brugia-m-1xe27-kobi-design?currency=PLN")</f>
        <v>https://b2b.kobi.pl/pl/product/10491,lampa-wiszaca-boho-brugia-m-1xe27-kobi-design?currency=PLN</v>
      </c>
      <c r="P646" t="s">
        <v>3</v>
      </c>
      <c r="Q646"/>
    </row>
    <row r="647" spans="1:17" ht="14.4" x14ac:dyDescent="0.3">
      <c r="A647" t="s">
        <v>11</v>
      </c>
      <c r="B647" t="s">
        <v>2123</v>
      </c>
      <c r="C647" t="s">
        <v>1875</v>
      </c>
      <c r="D647" t="s">
        <v>2140</v>
      </c>
      <c r="E647" t="s">
        <v>2141</v>
      </c>
      <c r="F647" t="s">
        <v>849</v>
      </c>
      <c r="G647" s="35">
        <v>61.39</v>
      </c>
      <c r="H647" s="33">
        <f>G647*(1-IFERROR(VLOOKUP(F647,'enter the discount'!$D$10:$E$40,2,FALSE),0))</f>
        <v>61.39</v>
      </c>
      <c r="I647" s="35" t="s">
        <v>2609</v>
      </c>
      <c r="J647" s="33" t="s">
        <v>608</v>
      </c>
      <c r="K647" s="33" t="s">
        <v>2749</v>
      </c>
      <c r="L647">
        <v>1</v>
      </c>
      <c r="M647"/>
      <c r="N647" t="s">
        <v>2754</v>
      </c>
      <c r="O647" s="34" t="str">
        <f>HYPERLINK("https://b2b.kobi.pl/pl/product/10492,lampa-wiszaca-boho-brugia-s-1xe27-kobi-design?currency=PLN")</f>
        <v>https://b2b.kobi.pl/pl/product/10492,lampa-wiszaca-boho-brugia-s-1xe27-kobi-design?currency=PLN</v>
      </c>
      <c r="P647" t="s">
        <v>3</v>
      </c>
      <c r="Q647"/>
    </row>
    <row r="648" spans="1:17" ht="14.4" x14ac:dyDescent="0.3">
      <c r="A648" t="s">
        <v>11</v>
      </c>
      <c r="B648" t="s">
        <v>2123</v>
      </c>
      <c r="C648" t="s">
        <v>1875</v>
      </c>
      <c r="D648" t="s">
        <v>2142</v>
      </c>
      <c r="E648" t="s">
        <v>2143</v>
      </c>
      <c r="F648" t="s">
        <v>849</v>
      </c>
      <c r="G648" s="35">
        <v>51.38</v>
      </c>
      <c r="H648" s="33">
        <f>G648*(1-IFERROR(VLOOKUP(F648,'enter the discount'!$D$10:$E$40,2,FALSE),0))</f>
        <v>51.38</v>
      </c>
      <c r="I648" s="35" t="s">
        <v>2609</v>
      </c>
      <c r="J648" s="33" t="s">
        <v>603</v>
      </c>
      <c r="K648" s="33" t="s">
        <v>2749</v>
      </c>
      <c r="L648">
        <v>1</v>
      </c>
      <c r="M648">
        <v>60</v>
      </c>
      <c r="N648" t="s">
        <v>2754</v>
      </c>
      <c r="O648" s="34" t="str">
        <f>HYPERLINK("https://b2b.kobi.pl/pl/product/10493,lampa-wiszaca-boho-bern-1xe27-kobi-design?currency=PLN")</f>
        <v>https://b2b.kobi.pl/pl/product/10493,lampa-wiszaca-boho-bern-1xe27-kobi-design?currency=PLN</v>
      </c>
      <c r="P648" t="s">
        <v>3</v>
      </c>
      <c r="Q648"/>
    </row>
    <row r="649" spans="1:17" ht="14.4" x14ac:dyDescent="0.3">
      <c r="A649" t="s">
        <v>11</v>
      </c>
      <c r="B649" t="s">
        <v>2123</v>
      </c>
      <c r="C649" t="s">
        <v>1875</v>
      </c>
      <c r="D649" t="s">
        <v>2144</v>
      </c>
      <c r="E649" t="s">
        <v>2145</v>
      </c>
      <c r="F649" t="s">
        <v>849</v>
      </c>
      <c r="G649" s="35">
        <v>78.849999999999994</v>
      </c>
      <c r="H649" s="33">
        <f>G649*(1-IFERROR(VLOOKUP(F649,'enter the discount'!$D$10:$E$40,2,FALSE),0))</f>
        <v>78.849999999999994</v>
      </c>
      <c r="I649" s="35" t="s">
        <v>2609</v>
      </c>
      <c r="J649" s="33" t="s">
        <v>605</v>
      </c>
      <c r="K649" s="33" t="s">
        <v>2749</v>
      </c>
      <c r="L649">
        <v>1</v>
      </c>
      <c r="M649">
        <v>21</v>
      </c>
      <c r="N649" t="s">
        <v>2754</v>
      </c>
      <c r="O649" s="34" t="str">
        <f>HYPERLINK("https://b2b.kobi.pl/pl/product/10494,lampa-wiszaca-boho-bonn-1xe27-kobi-design?currency=PLN")</f>
        <v>https://b2b.kobi.pl/pl/product/10494,lampa-wiszaca-boho-bonn-1xe27-kobi-design?currency=PLN</v>
      </c>
      <c r="P649" t="s">
        <v>3</v>
      </c>
      <c r="Q649"/>
    </row>
    <row r="650" spans="1:17" ht="14.4" x14ac:dyDescent="0.3">
      <c r="A650" t="s">
        <v>11</v>
      </c>
      <c r="B650" t="s">
        <v>2123</v>
      </c>
      <c r="C650" t="s">
        <v>1875</v>
      </c>
      <c r="D650" t="s">
        <v>2146</v>
      </c>
      <c r="E650" t="s">
        <v>2147</v>
      </c>
      <c r="F650" t="s">
        <v>849</v>
      </c>
      <c r="G650" s="35">
        <v>65.209999999999994</v>
      </c>
      <c r="H650" s="33">
        <f>G650*(1-IFERROR(VLOOKUP(F650,'enter the discount'!$D$10:$E$40,2,FALSE),0))</f>
        <v>65.209999999999994</v>
      </c>
      <c r="I650" s="35" t="s">
        <v>2609</v>
      </c>
      <c r="J650" s="33" t="s">
        <v>602</v>
      </c>
      <c r="K650" s="33" t="s">
        <v>2749</v>
      </c>
      <c r="L650">
        <v>1</v>
      </c>
      <c r="M650">
        <v>30</v>
      </c>
      <c r="N650" t="s">
        <v>2754</v>
      </c>
      <c r="O650" s="34" t="str">
        <f>HYPERLINK("https://b2b.kobi.pl/pl/product/10495,lampa-wiszaca-boho-beirut-1xe27-kobi-design?currency=PLN")</f>
        <v>https://b2b.kobi.pl/pl/product/10495,lampa-wiszaca-boho-beirut-1xe27-kobi-design?currency=PLN</v>
      </c>
      <c r="P650" t="s">
        <v>3</v>
      </c>
      <c r="Q650"/>
    </row>
    <row r="651" spans="1:17" ht="14.4" x14ac:dyDescent="0.3">
      <c r="A651" t="s">
        <v>11</v>
      </c>
      <c r="B651" t="s">
        <v>2123</v>
      </c>
      <c r="C651" t="s">
        <v>1875</v>
      </c>
      <c r="D651" t="s">
        <v>2148</v>
      </c>
      <c r="E651" t="s">
        <v>2149</v>
      </c>
      <c r="F651" t="s">
        <v>849</v>
      </c>
      <c r="G651" s="35">
        <v>66.56</v>
      </c>
      <c r="H651" s="33">
        <f>G651*(1-IFERROR(VLOOKUP(F651,'enter the discount'!$D$10:$E$40,2,FALSE),0))</f>
        <v>66.56</v>
      </c>
      <c r="I651" s="35" t="s">
        <v>2609</v>
      </c>
      <c r="J651" s="33" t="s">
        <v>600</v>
      </c>
      <c r="K651" s="33" t="s">
        <v>2749</v>
      </c>
      <c r="L651">
        <v>1</v>
      </c>
      <c r="M651">
        <v>36</v>
      </c>
      <c r="N651" t="s">
        <v>2754</v>
      </c>
      <c r="O651" s="34" t="str">
        <f>HYPERLINK("https://b2b.kobi.pl/pl/product/10496,lampa-wiszaca-boho-baku-m-1xe27-kobi-design?currency=PLN")</f>
        <v>https://b2b.kobi.pl/pl/product/10496,lampa-wiszaca-boho-baku-m-1xe27-kobi-design?currency=PLN</v>
      </c>
      <c r="P651" t="s">
        <v>3</v>
      </c>
      <c r="Q651"/>
    </row>
    <row r="652" spans="1:17" ht="14.4" x14ac:dyDescent="0.3">
      <c r="A652" t="s">
        <v>11</v>
      </c>
      <c r="B652" t="s">
        <v>2123</v>
      </c>
      <c r="C652" t="s">
        <v>1875</v>
      </c>
      <c r="D652" t="s">
        <v>2150</v>
      </c>
      <c r="E652" t="s">
        <v>2151</v>
      </c>
      <c r="F652" t="s">
        <v>849</v>
      </c>
      <c r="G652" s="35">
        <v>51.9</v>
      </c>
      <c r="H652" s="33">
        <f>G652*(1-IFERROR(VLOOKUP(F652,'enter the discount'!$D$10:$E$40,2,FALSE),0))</f>
        <v>51.9</v>
      </c>
      <c r="I652" s="35" t="s">
        <v>2609</v>
      </c>
      <c r="J652" s="33" t="s">
        <v>601</v>
      </c>
      <c r="K652" s="33" t="s">
        <v>2749</v>
      </c>
      <c r="L652">
        <v>1</v>
      </c>
      <c r="M652">
        <v>64</v>
      </c>
      <c r="N652" t="s">
        <v>2754</v>
      </c>
      <c r="O652" s="34" t="str">
        <f>HYPERLINK("https://b2b.kobi.pl/pl/product/10497,lampa-wiszaca-boho-baku-s-1xe27-kobi-design?currency=PLN")</f>
        <v>https://b2b.kobi.pl/pl/product/10497,lampa-wiszaca-boho-baku-s-1xe27-kobi-design?currency=PLN</v>
      </c>
      <c r="P652" t="s">
        <v>3</v>
      </c>
      <c r="Q652"/>
    </row>
    <row r="653" spans="1:17" ht="14.4" x14ac:dyDescent="0.3">
      <c r="A653" t="s">
        <v>11</v>
      </c>
      <c r="B653" t="s">
        <v>2123</v>
      </c>
      <c r="C653" t="s">
        <v>1875</v>
      </c>
      <c r="D653" t="s">
        <v>2152</v>
      </c>
      <c r="E653" t="s">
        <v>2153</v>
      </c>
      <c r="F653" t="s">
        <v>849</v>
      </c>
      <c r="G653" s="35">
        <v>45.27</v>
      </c>
      <c r="H653" s="33">
        <f>G653*(1-IFERROR(VLOOKUP(F653,'enter the discount'!$D$10:$E$40,2,FALSE),0))</f>
        <v>45.27</v>
      </c>
      <c r="I653" s="35" t="s">
        <v>2609</v>
      </c>
      <c r="J653" s="33" t="s">
        <v>611</v>
      </c>
      <c r="K653" s="33" t="s">
        <v>2749</v>
      </c>
      <c r="L653">
        <v>1</v>
      </c>
      <c r="M653">
        <v>42</v>
      </c>
      <c r="N653" t="s">
        <v>2754</v>
      </c>
      <c r="O653" s="34" t="str">
        <f>HYPERLINK("https://b2b.kobi.pl/pl/product/10498,lampa-wiszaca-boho-riga-1xe27-kobi-design?currency=PLN")</f>
        <v>https://b2b.kobi.pl/pl/product/10498,lampa-wiszaca-boho-riga-1xe27-kobi-design?currency=PLN</v>
      </c>
      <c r="P653" t="s">
        <v>3</v>
      </c>
      <c r="Q653"/>
    </row>
    <row r="654" spans="1:17" ht="14.4" x14ac:dyDescent="0.3">
      <c r="A654" t="s">
        <v>11</v>
      </c>
      <c r="B654" t="s">
        <v>2123</v>
      </c>
      <c r="C654" t="s">
        <v>1875</v>
      </c>
      <c r="D654" t="s">
        <v>2154</v>
      </c>
      <c r="E654" t="s">
        <v>2155</v>
      </c>
      <c r="F654" t="s">
        <v>849</v>
      </c>
      <c r="G654" s="35">
        <v>41.57</v>
      </c>
      <c r="H654" s="33">
        <f>G654*(1-IFERROR(VLOOKUP(F654,'enter the discount'!$D$10:$E$40,2,FALSE),0))</f>
        <v>41.57</v>
      </c>
      <c r="I654" s="35" t="s">
        <v>2609</v>
      </c>
      <c r="J654" s="33" t="s">
        <v>612</v>
      </c>
      <c r="K654" s="33" t="s">
        <v>2749</v>
      </c>
      <c r="L654">
        <v>1</v>
      </c>
      <c r="M654"/>
      <c r="N654" t="s">
        <v>2754</v>
      </c>
      <c r="O654" s="34" t="str">
        <f>HYPERLINK("https://b2b.kobi.pl/pl/product/10499,lampa-wiszaca-boho-ronda-1xe27-kobi-design?currency=PLN")</f>
        <v>https://b2b.kobi.pl/pl/product/10499,lampa-wiszaca-boho-ronda-1xe27-kobi-design?currency=PLN</v>
      </c>
      <c r="P654" t="s">
        <v>3</v>
      </c>
      <c r="Q654"/>
    </row>
    <row r="655" spans="1:17" ht="14.4" x14ac:dyDescent="0.3">
      <c r="A655" t="s">
        <v>11</v>
      </c>
      <c r="B655" t="s">
        <v>2123</v>
      </c>
      <c r="C655" t="s">
        <v>1875</v>
      </c>
      <c r="D655" t="s">
        <v>2156</v>
      </c>
      <c r="E655" t="s">
        <v>2157</v>
      </c>
      <c r="F655" t="s">
        <v>849</v>
      </c>
      <c r="G655" s="35">
        <v>77.489999999999995</v>
      </c>
      <c r="H655" s="33">
        <f>G655*(1-IFERROR(VLOOKUP(F655,'enter the discount'!$D$10:$E$40,2,FALSE),0))</f>
        <v>77.489999999999995</v>
      </c>
      <c r="I655" s="35" t="s">
        <v>2609</v>
      </c>
      <c r="J655" s="33" t="s">
        <v>609</v>
      </c>
      <c r="K655" s="33" t="s">
        <v>2749</v>
      </c>
      <c r="L655">
        <v>1</v>
      </c>
      <c r="M655"/>
      <c r="N655" t="s">
        <v>2754</v>
      </c>
      <c r="O655" s="34" t="str">
        <f>HYPERLINK("https://b2b.kobi.pl/pl/product/10500,lampa-wiszaca-boho-rango-1xe27-kobi-design?currency=PLN")</f>
        <v>https://b2b.kobi.pl/pl/product/10500,lampa-wiszaca-boho-rango-1xe27-kobi-design?currency=PLN</v>
      </c>
      <c r="P655" t="s">
        <v>3</v>
      </c>
      <c r="Q655"/>
    </row>
    <row r="656" spans="1:17" ht="14.4" x14ac:dyDescent="0.3">
      <c r="A656" t="s">
        <v>11</v>
      </c>
      <c r="B656" t="s">
        <v>2123</v>
      </c>
      <c r="C656" t="s">
        <v>1875</v>
      </c>
      <c r="D656" t="s">
        <v>2158</v>
      </c>
      <c r="E656" t="s">
        <v>2159</v>
      </c>
      <c r="F656" t="s">
        <v>849</v>
      </c>
      <c r="G656" s="35">
        <v>51.2</v>
      </c>
      <c r="H656" s="33">
        <f>G656*(1-IFERROR(VLOOKUP(F656,'enter the discount'!$D$10:$E$40,2,FALSE),0))</f>
        <v>51.2</v>
      </c>
      <c r="I656" s="35" t="s">
        <v>2609</v>
      </c>
      <c r="J656" s="33" t="s">
        <v>610</v>
      </c>
      <c r="K656" s="33" t="s">
        <v>2749</v>
      </c>
      <c r="L656">
        <v>1</v>
      </c>
      <c r="M656"/>
      <c r="N656" t="s">
        <v>2754</v>
      </c>
      <c r="O656" s="34" t="str">
        <f>HYPERLINK("https://b2b.kobi.pl/pl/product/10501,lampa-wiszaca-boho-rennes-1xe27-kobi-design?currency=PLN")</f>
        <v>https://b2b.kobi.pl/pl/product/10501,lampa-wiszaca-boho-rennes-1xe27-kobi-design?currency=PLN</v>
      </c>
      <c r="P656" t="s">
        <v>3</v>
      </c>
      <c r="Q656"/>
    </row>
    <row r="657" spans="1:17" ht="14.4" x14ac:dyDescent="0.3">
      <c r="A657" t="s">
        <v>11</v>
      </c>
      <c r="B657" t="s">
        <v>2123</v>
      </c>
      <c r="C657" t="s">
        <v>1875</v>
      </c>
      <c r="D657" t="s">
        <v>2160</v>
      </c>
      <c r="E657" t="s">
        <v>2161</v>
      </c>
      <c r="F657" t="s">
        <v>849</v>
      </c>
      <c r="G657" s="35">
        <v>69.650000000000006</v>
      </c>
      <c r="H657" s="33">
        <f>G657*(1-IFERROR(VLOOKUP(F657,'enter the discount'!$D$10:$E$40,2,FALSE),0))</f>
        <v>69.650000000000006</v>
      </c>
      <c r="I657" s="35" t="s">
        <v>2609</v>
      </c>
      <c r="J657" s="33" t="s">
        <v>614</v>
      </c>
      <c r="K657" s="33" t="s">
        <v>2749</v>
      </c>
      <c r="L657">
        <v>1</v>
      </c>
      <c r="M657"/>
      <c r="N657" t="s">
        <v>2754</v>
      </c>
      <c r="O657" s="34" t="str">
        <f>HYPERLINK("https://b2b.kobi.pl/pl/product/10502,lampa-wiszaca-boho-siena-3xe27-kobi-design?currency=PLN")</f>
        <v>https://b2b.kobi.pl/pl/product/10502,lampa-wiszaca-boho-siena-3xe27-kobi-design?currency=PLN</v>
      </c>
      <c r="P657" t="s">
        <v>3</v>
      </c>
      <c r="Q657"/>
    </row>
    <row r="658" spans="1:17" ht="14.4" x14ac:dyDescent="0.3">
      <c r="A658" t="s">
        <v>11</v>
      </c>
      <c r="B658" t="s">
        <v>2123</v>
      </c>
      <c r="C658" t="s">
        <v>1875</v>
      </c>
      <c r="D658" t="s">
        <v>2162</v>
      </c>
      <c r="E658" t="s">
        <v>2163</v>
      </c>
      <c r="F658" t="s">
        <v>849</v>
      </c>
      <c r="G658" s="35">
        <v>62.25</v>
      </c>
      <c r="H658" s="33">
        <f>G658*(1-IFERROR(VLOOKUP(F658,'enter the discount'!$D$10:$E$40,2,FALSE),0))</f>
        <v>62.25</v>
      </c>
      <c r="I658" s="35" t="s">
        <v>2609</v>
      </c>
      <c r="J658" s="33" t="s">
        <v>613</v>
      </c>
      <c r="K658" s="33" t="s">
        <v>2749</v>
      </c>
      <c r="L658">
        <v>1</v>
      </c>
      <c r="M658">
        <v>24</v>
      </c>
      <c r="N658" t="s">
        <v>2754</v>
      </c>
      <c r="O658" s="34" t="str">
        <f>HYPERLINK("https://b2b.kobi.pl/pl/product/10503,lampa-wiszaca-boho-sibu-1xe27-kobi-design?currency=PLN")</f>
        <v>https://b2b.kobi.pl/pl/product/10503,lampa-wiszaca-boho-sibu-1xe27-kobi-design?currency=PLN</v>
      </c>
      <c r="P658" t="s">
        <v>3</v>
      </c>
      <c r="Q658"/>
    </row>
    <row r="659" spans="1:17" ht="14.4" x14ac:dyDescent="0.3">
      <c r="A659" t="s">
        <v>11</v>
      </c>
      <c r="B659" t="s">
        <v>2123</v>
      </c>
      <c r="C659" t="s">
        <v>1875</v>
      </c>
      <c r="D659" t="s">
        <v>2164</v>
      </c>
      <c r="E659" t="s">
        <v>2165</v>
      </c>
      <c r="F659" t="s">
        <v>849</v>
      </c>
      <c r="G659" s="35">
        <v>84.89</v>
      </c>
      <c r="H659" s="33">
        <f>G659*(1-IFERROR(VLOOKUP(F659,'enter the discount'!$D$10:$E$40,2,FALSE),0))</f>
        <v>84.89</v>
      </c>
      <c r="I659" s="35" t="s">
        <v>2609</v>
      </c>
      <c r="J659" s="33" t="s">
        <v>615</v>
      </c>
      <c r="K659" s="33" t="s">
        <v>2749</v>
      </c>
      <c r="L659">
        <v>1</v>
      </c>
      <c r="M659">
        <v>16</v>
      </c>
      <c r="N659" t="s">
        <v>2754</v>
      </c>
      <c r="O659" s="34" t="str">
        <f>HYPERLINK("https://b2b.kobi.pl/pl/product/10504,lampa-wiszaca-boho-verona-1xe27-kobi-design?currency=PLN")</f>
        <v>https://b2b.kobi.pl/pl/product/10504,lampa-wiszaca-boho-verona-1xe27-kobi-design?currency=PLN</v>
      </c>
      <c r="P659" t="s">
        <v>3</v>
      </c>
      <c r="Q659"/>
    </row>
    <row r="660" spans="1:17" ht="14.4" x14ac:dyDescent="0.3">
      <c r="A660" t="s">
        <v>11</v>
      </c>
      <c r="B660" t="s">
        <v>2123</v>
      </c>
      <c r="C660" t="s">
        <v>1875</v>
      </c>
      <c r="D660" t="s">
        <v>2166</v>
      </c>
      <c r="E660" t="s">
        <v>2167</v>
      </c>
      <c r="F660" t="s">
        <v>849</v>
      </c>
      <c r="G660" s="35">
        <v>62.25</v>
      </c>
      <c r="H660" s="33">
        <f>G660*(1-IFERROR(VLOOKUP(F660,'enter the discount'!$D$10:$E$40,2,FALSE),0))</f>
        <v>62.25</v>
      </c>
      <c r="I660" s="35" t="s">
        <v>2609</v>
      </c>
      <c r="J660" s="33" t="s">
        <v>616</v>
      </c>
      <c r="K660" s="33" t="s">
        <v>2749</v>
      </c>
      <c r="L660">
        <v>1</v>
      </c>
      <c r="M660"/>
      <c r="N660" t="s">
        <v>2754</v>
      </c>
      <c r="O660" s="34" t="str">
        <f>HYPERLINK("https://b2b.kobi.pl/pl/product/10505,lampa-wiszaca-boho-vienna-1xe27-kobi-design?currency=PLN")</f>
        <v>https://b2b.kobi.pl/pl/product/10505,lampa-wiszaca-boho-vienna-1xe27-kobi-design?currency=PLN</v>
      </c>
      <c r="P660" t="s">
        <v>3</v>
      </c>
      <c r="Q660"/>
    </row>
    <row r="661" spans="1:17" ht="14.4" x14ac:dyDescent="0.3">
      <c r="A661" t="s">
        <v>11</v>
      </c>
      <c r="B661" t="s">
        <v>2123</v>
      </c>
      <c r="C661" t="s">
        <v>1772</v>
      </c>
      <c r="D661" t="s">
        <v>2761</v>
      </c>
      <c r="E661" t="s">
        <v>2168</v>
      </c>
      <c r="F661" t="s">
        <v>849</v>
      </c>
      <c r="G661" s="35">
        <v>3.37</v>
      </c>
      <c r="H661" s="33">
        <f>G661*(1-IFERROR(VLOOKUP(F661,'enter the discount'!$D$10:$E$40,2,FALSE),0))</f>
        <v>3.37</v>
      </c>
      <c r="I661" s="35" t="s">
        <v>2609</v>
      </c>
      <c r="J661" s="33" t="s">
        <v>2672</v>
      </c>
      <c r="K661" s="33" t="s">
        <v>2749</v>
      </c>
      <c r="L661">
        <v>6</v>
      </c>
      <c r="M661"/>
      <c r="N661" t="s">
        <v>2754</v>
      </c>
      <c r="O661"/>
      <c r="P661" t="s">
        <v>3</v>
      </c>
      <c r="Q661" t="s">
        <v>2775</v>
      </c>
    </row>
    <row r="662" spans="1:17" ht="14.4" x14ac:dyDescent="0.3">
      <c r="A662" t="s">
        <v>11</v>
      </c>
      <c r="B662" t="s">
        <v>2123</v>
      </c>
      <c r="C662" t="s">
        <v>910</v>
      </c>
      <c r="D662" t="s">
        <v>2169</v>
      </c>
      <c r="E662" t="s">
        <v>2170</v>
      </c>
      <c r="F662" t="s">
        <v>855</v>
      </c>
      <c r="G662" s="35">
        <v>10.38</v>
      </c>
      <c r="H662" s="33">
        <f>G662*(1-IFERROR(VLOOKUP(F662,'enter the discount'!$D$10:$E$40,2,FALSE),0))</f>
        <v>10.38</v>
      </c>
      <c r="I662" s="35" t="s">
        <v>2609</v>
      </c>
      <c r="J662" s="33" t="s">
        <v>2673</v>
      </c>
      <c r="K662" s="33" t="s">
        <v>2749</v>
      </c>
      <c r="L662">
        <v>30</v>
      </c>
      <c r="M662"/>
      <c r="N662" t="s">
        <v>2754</v>
      </c>
      <c r="O662" s="34" t="str">
        <f>HYPERLINK("https://b2b.kobi.pl/pl/product/12274,oprawa-meblowa-led-wl-8w-3cct-kobi?currency=PLN")</f>
        <v>https://b2b.kobi.pl/pl/product/12274,oprawa-meblowa-led-wl-8w-3cct-kobi?currency=PLN</v>
      </c>
      <c r="P662" s="34" t="str">
        <f>HYPERLINK("https://eprel.ec.europa.eu/qr/2213266")</f>
        <v>https://eprel.ec.europa.eu/qr/2213266</v>
      </c>
      <c r="Q662"/>
    </row>
    <row r="663" spans="1:17" ht="14.4" x14ac:dyDescent="0.3">
      <c r="A663" t="s">
        <v>10</v>
      </c>
      <c r="B663" t="s">
        <v>2171</v>
      </c>
      <c r="C663" t="s">
        <v>910</v>
      </c>
      <c r="D663" t="s">
        <v>2172</v>
      </c>
      <c r="E663" t="s">
        <v>2173</v>
      </c>
      <c r="F663" t="s">
        <v>846</v>
      </c>
      <c r="G663" s="35">
        <v>16.36</v>
      </c>
      <c r="H663" s="33">
        <f>G663*(1-IFERROR(VLOOKUP(F663,'enter the discount'!$D$10:$E$40,2,FALSE),0))</f>
        <v>16.36</v>
      </c>
      <c r="I663" s="35" t="s">
        <v>2609</v>
      </c>
      <c r="J663" s="33" t="s">
        <v>457</v>
      </c>
      <c r="K663" s="33" t="s">
        <v>2749</v>
      </c>
      <c r="L663">
        <v>50</v>
      </c>
      <c r="M663">
        <v>700</v>
      </c>
      <c r="N663" t="s">
        <v>2754</v>
      </c>
      <c r="O663" s="34" t="str">
        <f>HYPERLINK("https://b2b.kobi.pl/pl/product/10066,reflektor-szynowy-3-obwodowy-nextrack-s-line-1xgu10-bialy-kobi?currency=PLN")</f>
        <v>https://b2b.kobi.pl/pl/product/10066,reflektor-szynowy-3-obwodowy-nextrack-s-line-1xgu10-bialy-kobi?currency=PLN</v>
      </c>
      <c r="P663" t="s">
        <v>3</v>
      </c>
      <c r="Q663"/>
    </row>
    <row r="664" spans="1:17" ht="14.4" x14ac:dyDescent="0.3">
      <c r="A664" t="s">
        <v>10</v>
      </c>
      <c r="B664" t="s">
        <v>2171</v>
      </c>
      <c r="C664" t="s">
        <v>910</v>
      </c>
      <c r="D664" t="s">
        <v>2174</v>
      </c>
      <c r="E664" t="s">
        <v>2175</v>
      </c>
      <c r="F664" t="s">
        <v>846</v>
      </c>
      <c r="G664" s="35">
        <v>16.36</v>
      </c>
      <c r="H664" s="33">
        <f>G664*(1-IFERROR(VLOOKUP(F664,'enter the discount'!$D$10:$E$40,2,FALSE),0))</f>
        <v>16.36</v>
      </c>
      <c r="I664" s="35" t="s">
        <v>2609</v>
      </c>
      <c r="J664" s="33" t="s">
        <v>458</v>
      </c>
      <c r="K664" s="33" t="s">
        <v>2749</v>
      </c>
      <c r="L664">
        <v>50</v>
      </c>
      <c r="M664">
        <v>700</v>
      </c>
      <c r="N664" t="s">
        <v>2754</v>
      </c>
      <c r="O664" s="34" t="str">
        <f>HYPERLINK("https://b2b.kobi.pl/pl/product/10067,reflektor-szynowy-3-obwodowy-nextrack-s-line-1xgu10-czarny-kobi?currency=PLN")</f>
        <v>https://b2b.kobi.pl/pl/product/10067,reflektor-szynowy-3-obwodowy-nextrack-s-line-1xgu10-czarny-kobi?currency=PLN</v>
      </c>
      <c r="P664" t="s">
        <v>3</v>
      </c>
      <c r="Q664"/>
    </row>
    <row r="665" spans="1:17" ht="14.4" x14ac:dyDescent="0.3">
      <c r="A665" t="s">
        <v>10</v>
      </c>
      <c r="B665" t="s">
        <v>2171</v>
      </c>
      <c r="C665" t="s">
        <v>2176</v>
      </c>
      <c r="D665" t="s">
        <v>2177</v>
      </c>
      <c r="E665" t="s">
        <v>2178</v>
      </c>
      <c r="F665" t="s">
        <v>846</v>
      </c>
      <c r="G665" s="35">
        <v>107.71</v>
      </c>
      <c r="H665" s="33">
        <f>G665*(1-IFERROR(VLOOKUP(F665,'enter the discount'!$D$10:$E$40,2,FALSE),0))</f>
        <v>107.71</v>
      </c>
      <c r="I665" s="35" t="s">
        <v>2609</v>
      </c>
      <c r="J665" s="33" t="s">
        <v>238</v>
      </c>
      <c r="K665" s="33" t="s">
        <v>2749</v>
      </c>
      <c r="L665">
        <v>12</v>
      </c>
      <c r="M665"/>
      <c r="N665" t="s">
        <v>2756</v>
      </c>
      <c r="O665" s="34" t="str">
        <f>HYPERLINK("https://b2b.kobi.pl/pl/product/10022,reflektor-szynowy-led-moss-10w-3000k-czarny-art-of-light?currency=PLN")</f>
        <v>https://b2b.kobi.pl/pl/product/10022,reflektor-szynowy-led-moss-10w-3000k-czarny-art-of-light?currency=PLN</v>
      </c>
      <c r="P665" t="s">
        <v>3</v>
      </c>
      <c r="Q665" t="s">
        <v>2775</v>
      </c>
    </row>
    <row r="666" spans="1:17" ht="14.4" x14ac:dyDescent="0.3">
      <c r="A666" t="s">
        <v>10</v>
      </c>
      <c r="B666" t="s">
        <v>2171</v>
      </c>
      <c r="C666" t="s">
        <v>910</v>
      </c>
      <c r="D666" t="s">
        <v>2179</v>
      </c>
      <c r="E666" t="s">
        <v>2180</v>
      </c>
      <c r="F666" t="s">
        <v>841</v>
      </c>
      <c r="G666" s="35">
        <v>32.53</v>
      </c>
      <c r="H666" s="33">
        <f>G666*(1-IFERROR(VLOOKUP(F666,'enter the discount'!$D$10:$E$40,2,FALSE),0))</f>
        <v>32.53</v>
      </c>
      <c r="I666" s="35" t="s">
        <v>2609</v>
      </c>
      <c r="J666" s="33" t="s">
        <v>2674</v>
      </c>
      <c r="K666" s="33" t="s">
        <v>2749</v>
      </c>
      <c r="L666"/>
      <c r="M666"/>
      <c r="N666" t="s">
        <v>2754</v>
      </c>
      <c r="O666" s="34" t="str">
        <f>HYPERLINK("https://b2b.kobi.pl/pl/product/12094,szynoprzewod-3-obwodowy-1m-bialy-kobi?currency=PLN")</f>
        <v>https://b2b.kobi.pl/pl/product/12094,szynoprzewod-3-obwodowy-1m-bialy-kobi?currency=PLN</v>
      </c>
      <c r="P666" t="s">
        <v>3</v>
      </c>
      <c r="Q666"/>
    </row>
    <row r="667" spans="1:17" ht="14.4" x14ac:dyDescent="0.3">
      <c r="A667" t="s">
        <v>10</v>
      </c>
      <c r="B667" t="s">
        <v>2171</v>
      </c>
      <c r="C667" t="s">
        <v>910</v>
      </c>
      <c r="D667" t="s">
        <v>2181</v>
      </c>
      <c r="E667" t="s">
        <v>2182</v>
      </c>
      <c r="F667" t="s">
        <v>846</v>
      </c>
      <c r="G667" s="35">
        <v>32.53</v>
      </c>
      <c r="H667" s="33">
        <f>G667*(1-IFERROR(VLOOKUP(F667,'enter the discount'!$D$10:$E$40,2,FALSE),0))</f>
        <v>32.53</v>
      </c>
      <c r="I667" s="35" t="s">
        <v>2609</v>
      </c>
      <c r="J667" s="33" t="s">
        <v>2675</v>
      </c>
      <c r="K667" s="33" t="s">
        <v>2749</v>
      </c>
      <c r="L667"/>
      <c r="M667"/>
      <c r="N667" t="s">
        <v>2754</v>
      </c>
      <c r="O667" s="34" t="str">
        <f>HYPERLINK("https://b2b.kobi.pl/pl/product/12095,szynoprzewod-3-obwodowy-1m-czarny-kobi?currency=PLN")</f>
        <v>https://b2b.kobi.pl/pl/product/12095,szynoprzewod-3-obwodowy-1m-czarny-kobi?currency=PLN</v>
      </c>
      <c r="P667" t="s">
        <v>3</v>
      </c>
      <c r="Q667"/>
    </row>
    <row r="668" spans="1:17" ht="14.4" x14ac:dyDescent="0.3">
      <c r="A668" t="s">
        <v>10</v>
      </c>
      <c r="B668" t="s">
        <v>2183</v>
      </c>
      <c r="C668" t="s">
        <v>910</v>
      </c>
      <c r="D668" t="s">
        <v>2184</v>
      </c>
      <c r="E668" t="s">
        <v>2185</v>
      </c>
      <c r="F668" t="s">
        <v>841</v>
      </c>
      <c r="G668" s="35">
        <v>19.829999999999998</v>
      </c>
      <c r="H668" s="33">
        <f>G668*(1-IFERROR(VLOOKUP(F668,'enter the discount'!$D$10:$E$40,2,FALSE),0))</f>
        <v>19.829999999999998</v>
      </c>
      <c r="I668" s="35" t="s">
        <v>2609</v>
      </c>
      <c r="J668" s="33" t="s">
        <v>446</v>
      </c>
      <c r="K668" s="33" t="s">
        <v>2749</v>
      </c>
      <c r="L668">
        <v>25</v>
      </c>
      <c r="M668"/>
      <c r="N668" t="s">
        <v>2754</v>
      </c>
      <c r="O668" s="34" t="str">
        <f>HYPERLINK("https://b2b.kobi.pl/pl/product/11151,lacznik-do-szynoprzewodu-3-obwodowy-flex-zewnetrzny-bialy-kobi?currency=PLN")</f>
        <v>https://b2b.kobi.pl/pl/product/11151,lacznik-do-szynoprzewodu-3-obwodowy-flex-zewnetrzny-bialy-kobi?currency=PLN</v>
      </c>
      <c r="P668" t="s">
        <v>3</v>
      </c>
      <c r="Q668"/>
    </row>
    <row r="669" spans="1:17" ht="14.4" x14ac:dyDescent="0.3">
      <c r="A669" t="s">
        <v>10</v>
      </c>
      <c r="B669" t="s">
        <v>2183</v>
      </c>
      <c r="C669" t="s">
        <v>910</v>
      </c>
      <c r="D669" t="s">
        <v>2186</v>
      </c>
      <c r="E669" t="s">
        <v>2187</v>
      </c>
      <c r="F669" t="s">
        <v>841</v>
      </c>
      <c r="G669" s="35">
        <v>19.829999999999998</v>
      </c>
      <c r="H669" s="33">
        <f>G669*(1-IFERROR(VLOOKUP(F669,'enter the discount'!$D$10:$E$40,2,FALSE),0))</f>
        <v>19.829999999999998</v>
      </c>
      <c r="I669" s="35" t="s">
        <v>2609</v>
      </c>
      <c r="J669" s="33" t="s">
        <v>447</v>
      </c>
      <c r="K669" s="33" t="s">
        <v>2749</v>
      </c>
      <c r="L669">
        <v>25</v>
      </c>
      <c r="M669"/>
      <c r="N669" t="s">
        <v>2754</v>
      </c>
      <c r="O669" s="34" t="str">
        <f>HYPERLINK("https://b2b.kobi.pl/pl/product/11152,lacznik-do-szynoprzewodu-3-obwodowy-flex-zewnetrzny-czarny-kobi?currency=PLN")</f>
        <v>https://b2b.kobi.pl/pl/product/11152,lacznik-do-szynoprzewodu-3-obwodowy-flex-zewnetrzny-czarny-kobi?currency=PLN</v>
      </c>
      <c r="P669" t="s">
        <v>3</v>
      </c>
      <c r="Q669"/>
    </row>
    <row r="670" spans="1:17" ht="14.4" x14ac:dyDescent="0.3">
      <c r="A670" t="s">
        <v>10</v>
      </c>
      <c r="B670" t="s">
        <v>2183</v>
      </c>
      <c r="C670" t="s">
        <v>910</v>
      </c>
      <c r="D670" t="s">
        <v>2188</v>
      </c>
      <c r="E670" t="s">
        <v>2189</v>
      </c>
      <c r="F670" t="s">
        <v>841</v>
      </c>
      <c r="G670" s="35">
        <v>6.51</v>
      </c>
      <c r="H670" s="33">
        <f>G670*(1-IFERROR(VLOOKUP(F670,'enter the discount'!$D$10:$E$40,2,FALSE),0))</f>
        <v>6.51</v>
      </c>
      <c r="I670" s="35" t="s">
        <v>2609</v>
      </c>
      <c r="J670" s="33" t="s">
        <v>419</v>
      </c>
      <c r="K670" s="33" t="s">
        <v>2749</v>
      </c>
      <c r="L670">
        <v>100</v>
      </c>
      <c r="M670"/>
      <c r="N670" t="s">
        <v>2754</v>
      </c>
      <c r="O670" s="34" t="str">
        <f>HYPERLINK("https://b2b.kobi.pl/pl/product/11153,lacznik-do-szynoprzewodu-3-obwodowy-i-wewnetrzny-bialy-kobi?currency=PLN")</f>
        <v>https://b2b.kobi.pl/pl/product/11153,lacznik-do-szynoprzewodu-3-obwodowy-i-wewnetrzny-bialy-kobi?currency=PLN</v>
      </c>
      <c r="P670" t="s">
        <v>3</v>
      </c>
      <c r="Q670"/>
    </row>
    <row r="671" spans="1:17" ht="14.4" x14ac:dyDescent="0.3">
      <c r="A671" t="s">
        <v>10</v>
      </c>
      <c r="B671" t="s">
        <v>2183</v>
      </c>
      <c r="C671" t="s">
        <v>910</v>
      </c>
      <c r="D671" t="s">
        <v>2190</v>
      </c>
      <c r="E671" t="s">
        <v>2191</v>
      </c>
      <c r="F671" t="s">
        <v>841</v>
      </c>
      <c r="G671" s="35">
        <v>6.51</v>
      </c>
      <c r="H671" s="33">
        <f>G671*(1-IFERROR(VLOOKUP(F671,'enter the discount'!$D$10:$E$40,2,FALSE),0))</f>
        <v>6.51</v>
      </c>
      <c r="I671" s="35" t="s">
        <v>2609</v>
      </c>
      <c r="J671" s="33" t="s">
        <v>420</v>
      </c>
      <c r="K671" s="33" t="s">
        <v>2749</v>
      </c>
      <c r="L671">
        <v>100</v>
      </c>
      <c r="M671"/>
      <c r="N671" t="s">
        <v>2754</v>
      </c>
      <c r="O671" s="34" t="str">
        <f>HYPERLINK("https://b2b.kobi.pl/pl/product/11154,lacznik-do-szynoprzewodu-3-obwodowy-i-wewnetrzny-czarny-kobi?currency=PLN")</f>
        <v>https://b2b.kobi.pl/pl/product/11154,lacznik-do-szynoprzewodu-3-obwodowy-i-wewnetrzny-czarny-kobi?currency=PLN</v>
      </c>
      <c r="P671" t="s">
        <v>3</v>
      </c>
      <c r="Q671"/>
    </row>
    <row r="672" spans="1:17" ht="14.4" x14ac:dyDescent="0.3">
      <c r="A672" t="s">
        <v>10</v>
      </c>
      <c r="B672" t="s">
        <v>2183</v>
      </c>
      <c r="C672" t="s">
        <v>910</v>
      </c>
      <c r="D672" t="s">
        <v>2192</v>
      </c>
      <c r="E672" t="s">
        <v>2193</v>
      </c>
      <c r="F672" t="s">
        <v>841</v>
      </c>
      <c r="G672" s="35">
        <v>17.350000000000001</v>
      </c>
      <c r="H672" s="33">
        <f>G672*(1-IFERROR(VLOOKUP(F672,'enter the discount'!$D$10:$E$40,2,FALSE),0))</f>
        <v>17.350000000000001</v>
      </c>
      <c r="I672" s="35" t="s">
        <v>2609</v>
      </c>
      <c r="J672" s="33" t="s">
        <v>421</v>
      </c>
      <c r="K672" s="33" t="s">
        <v>2749</v>
      </c>
      <c r="L672">
        <v>50</v>
      </c>
      <c r="M672"/>
      <c r="N672" t="s">
        <v>2754</v>
      </c>
      <c r="O672" s="34" t="str">
        <f>HYPERLINK("https://b2b.kobi.pl/pl/product/11155,lacznik-do-szynoprzewodu-3-obwodowy-i-zewnetrzny-bialy-kobi?currency=PLN")</f>
        <v>https://b2b.kobi.pl/pl/product/11155,lacznik-do-szynoprzewodu-3-obwodowy-i-zewnetrzny-bialy-kobi?currency=PLN</v>
      </c>
      <c r="P672" t="s">
        <v>3</v>
      </c>
      <c r="Q672"/>
    </row>
    <row r="673" spans="1:17" ht="14.4" x14ac:dyDescent="0.3">
      <c r="A673" t="s">
        <v>10</v>
      </c>
      <c r="B673" t="s">
        <v>2183</v>
      </c>
      <c r="C673" t="s">
        <v>910</v>
      </c>
      <c r="D673" t="s">
        <v>2194</v>
      </c>
      <c r="E673" t="s">
        <v>2195</v>
      </c>
      <c r="F673" t="s">
        <v>841</v>
      </c>
      <c r="G673" s="35">
        <v>17.350000000000001</v>
      </c>
      <c r="H673" s="33">
        <f>G673*(1-IFERROR(VLOOKUP(F673,'enter the discount'!$D$10:$E$40,2,FALSE),0))</f>
        <v>17.350000000000001</v>
      </c>
      <c r="I673" s="35" t="s">
        <v>2609</v>
      </c>
      <c r="J673" s="33" t="s">
        <v>422</v>
      </c>
      <c r="K673" s="33" t="s">
        <v>2749</v>
      </c>
      <c r="L673">
        <v>50</v>
      </c>
      <c r="M673"/>
      <c r="N673" t="s">
        <v>2754</v>
      </c>
      <c r="O673" s="34" t="str">
        <f>HYPERLINK("https://b2b.kobi.pl/pl/product/11156,lacznik-do-szynoprzewodu-3-obwodowy-i-zewnetrzny-czarny-kobi?currency=PLN")</f>
        <v>https://b2b.kobi.pl/pl/product/11156,lacznik-do-szynoprzewodu-3-obwodowy-i-zewnetrzny-czarny-kobi?currency=PLN</v>
      </c>
      <c r="P673" t="s">
        <v>3</v>
      </c>
      <c r="Q673"/>
    </row>
    <row r="674" spans="1:17" ht="14.4" x14ac:dyDescent="0.3">
      <c r="A674" t="s">
        <v>10</v>
      </c>
      <c r="B674" t="s">
        <v>2183</v>
      </c>
      <c r="C674" t="s">
        <v>910</v>
      </c>
      <c r="D674" t="s">
        <v>2196</v>
      </c>
      <c r="E674" t="s">
        <v>2197</v>
      </c>
      <c r="F674" t="s">
        <v>841</v>
      </c>
      <c r="G674" s="35">
        <v>29.4</v>
      </c>
      <c r="H674" s="33">
        <f>G674*(1-IFERROR(VLOOKUP(F674,'enter the discount'!$D$10:$E$40,2,FALSE),0))</f>
        <v>29.4</v>
      </c>
      <c r="I674" s="35" t="s">
        <v>2609</v>
      </c>
      <c r="J674" s="33" t="s">
        <v>427</v>
      </c>
      <c r="K674" s="33" t="s">
        <v>2749</v>
      </c>
      <c r="L674">
        <v>25</v>
      </c>
      <c r="M674"/>
      <c r="N674" t="s">
        <v>2754</v>
      </c>
      <c r="O674" s="34" t="str">
        <f>HYPERLINK("https://b2b.kobi.pl/pl/product/11157,lacznik-do-szynoprzewodu-3-obwodowy-t-zewnetrzny-bialy-kobi?currency=PLN")</f>
        <v>https://b2b.kobi.pl/pl/product/11157,lacznik-do-szynoprzewodu-3-obwodowy-t-zewnetrzny-bialy-kobi?currency=PLN</v>
      </c>
      <c r="P674" t="s">
        <v>3</v>
      </c>
      <c r="Q674"/>
    </row>
    <row r="675" spans="1:17" ht="14.4" x14ac:dyDescent="0.3">
      <c r="A675" t="s">
        <v>10</v>
      </c>
      <c r="B675" t="s">
        <v>2183</v>
      </c>
      <c r="C675" t="s">
        <v>910</v>
      </c>
      <c r="D675" t="s">
        <v>2198</v>
      </c>
      <c r="E675" t="s">
        <v>2199</v>
      </c>
      <c r="F675" t="s">
        <v>841</v>
      </c>
      <c r="G675" s="35">
        <v>29.4</v>
      </c>
      <c r="H675" s="33">
        <f>G675*(1-IFERROR(VLOOKUP(F675,'enter the discount'!$D$10:$E$40,2,FALSE),0))</f>
        <v>29.4</v>
      </c>
      <c r="I675" s="35" t="s">
        <v>2609</v>
      </c>
      <c r="J675" s="33" t="s">
        <v>428</v>
      </c>
      <c r="K675" s="33" t="s">
        <v>2749</v>
      </c>
      <c r="L675">
        <v>25</v>
      </c>
      <c r="M675"/>
      <c r="N675" t="s">
        <v>2754</v>
      </c>
      <c r="O675" s="34" t="str">
        <f>HYPERLINK("https://b2b.kobi.pl/pl/product/11158,lacznik-do-szynoprzewodu-3-obwodowy-t-zewnetrzny-czarny-kobi?currency=PLN")</f>
        <v>https://b2b.kobi.pl/pl/product/11158,lacznik-do-szynoprzewodu-3-obwodowy-t-zewnetrzny-czarny-kobi?currency=PLN</v>
      </c>
      <c r="P675" t="s">
        <v>3</v>
      </c>
      <c r="Q675"/>
    </row>
    <row r="676" spans="1:17" ht="14.4" x14ac:dyDescent="0.3">
      <c r="A676" t="s">
        <v>10</v>
      </c>
      <c r="B676" t="s">
        <v>2183</v>
      </c>
      <c r="C676" t="s">
        <v>910</v>
      </c>
      <c r="D676" t="s">
        <v>2200</v>
      </c>
      <c r="E676" t="s">
        <v>2201</v>
      </c>
      <c r="F676" t="s">
        <v>841</v>
      </c>
      <c r="G676" s="35">
        <v>40.24</v>
      </c>
      <c r="H676" s="33">
        <f>G676*(1-IFERROR(VLOOKUP(F676,'enter the discount'!$D$10:$E$40,2,FALSE),0))</f>
        <v>40.24</v>
      </c>
      <c r="I676" s="35" t="s">
        <v>2609</v>
      </c>
      <c r="J676" s="33" t="s">
        <v>429</v>
      </c>
      <c r="K676" s="33" t="s">
        <v>2749</v>
      </c>
      <c r="L676">
        <v>10</v>
      </c>
      <c r="M676"/>
      <c r="N676" t="s">
        <v>2754</v>
      </c>
      <c r="O676" s="34" t="str">
        <f>HYPERLINK("https://b2b.kobi.pl/pl/product/11159,lacznik-do-szynoprzewodu-3-obwodowy-x-zewnetrzny-bialy-kobi?currency=PLN")</f>
        <v>https://b2b.kobi.pl/pl/product/11159,lacznik-do-szynoprzewodu-3-obwodowy-x-zewnetrzny-bialy-kobi?currency=PLN</v>
      </c>
      <c r="P676" t="s">
        <v>3</v>
      </c>
      <c r="Q676"/>
    </row>
    <row r="677" spans="1:17" ht="14.4" x14ac:dyDescent="0.3">
      <c r="A677" t="s">
        <v>10</v>
      </c>
      <c r="B677" t="s">
        <v>2183</v>
      </c>
      <c r="C677" t="s">
        <v>910</v>
      </c>
      <c r="D677" t="s">
        <v>2202</v>
      </c>
      <c r="E677" t="s">
        <v>2203</v>
      </c>
      <c r="F677" t="s">
        <v>841</v>
      </c>
      <c r="G677" s="35">
        <v>40.24</v>
      </c>
      <c r="H677" s="33">
        <f>G677*(1-IFERROR(VLOOKUP(F677,'enter the discount'!$D$10:$E$40,2,FALSE),0))</f>
        <v>40.24</v>
      </c>
      <c r="I677" s="35" t="s">
        <v>2609</v>
      </c>
      <c r="J677" s="33" t="s">
        <v>430</v>
      </c>
      <c r="K677" s="33" t="s">
        <v>2749</v>
      </c>
      <c r="L677">
        <v>10</v>
      </c>
      <c r="M677"/>
      <c r="N677" t="s">
        <v>2754</v>
      </c>
      <c r="O677" s="34" t="str">
        <f>HYPERLINK("https://b2b.kobi.pl/pl/product/11160,lacznik-do-szynoprzewodu-3-obwodowy-x-zewnetrzny-czarny-kobi?currency=PLN")</f>
        <v>https://b2b.kobi.pl/pl/product/11160,lacznik-do-szynoprzewodu-3-obwodowy-x-zewnetrzny-czarny-kobi?currency=PLN</v>
      </c>
      <c r="P677" t="s">
        <v>3</v>
      </c>
      <c r="Q677"/>
    </row>
    <row r="678" spans="1:17" ht="14.4" x14ac:dyDescent="0.3">
      <c r="A678" t="s">
        <v>10</v>
      </c>
      <c r="B678" t="s">
        <v>2183</v>
      </c>
      <c r="C678" t="s">
        <v>910</v>
      </c>
      <c r="D678" t="s">
        <v>2204</v>
      </c>
      <c r="E678" t="s">
        <v>2205</v>
      </c>
      <c r="F678" t="s">
        <v>841</v>
      </c>
      <c r="G678" s="35">
        <v>17.350000000000001</v>
      </c>
      <c r="H678" s="33">
        <f>G678*(1-IFERROR(VLOOKUP(F678,'enter the discount'!$D$10:$E$40,2,FALSE),0))</f>
        <v>17.350000000000001</v>
      </c>
      <c r="I678" s="35" t="s">
        <v>2609</v>
      </c>
      <c r="J678" s="33" t="s">
        <v>423</v>
      </c>
      <c r="K678" s="33" t="s">
        <v>2749</v>
      </c>
      <c r="L678">
        <v>25</v>
      </c>
      <c r="M678"/>
      <c r="N678" t="s">
        <v>2754</v>
      </c>
      <c r="O678" s="34" t="str">
        <f>HYPERLINK("https://b2b.kobi.pl/pl/product/11161,lacznik-do-szynoprzewodu-3-obwodowy-l-lewy-zewnetrzny-bialy-kobi?currency=PLN")</f>
        <v>https://b2b.kobi.pl/pl/product/11161,lacznik-do-szynoprzewodu-3-obwodowy-l-lewy-zewnetrzny-bialy-kobi?currency=PLN</v>
      </c>
      <c r="P678" t="s">
        <v>3</v>
      </c>
      <c r="Q678"/>
    </row>
    <row r="679" spans="1:17" ht="14.4" x14ac:dyDescent="0.3">
      <c r="A679" t="s">
        <v>10</v>
      </c>
      <c r="B679" t="s">
        <v>2183</v>
      </c>
      <c r="C679" t="s">
        <v>910</v>
      </c>
      <c r="D679" t="s">
        <v>2206</v>
      </c>
      <c r="E679" t="s">
        <v>2207</v>
      </c>
      <c r="F679" t="s">
        <v>841</v>
      </c>
      <c r="G679" s="35">
        <v>17.350000000000001</v>
      </c>
      <c r="H679" s="33">
        <f>G679*(1-IFERROR(VLOOKUP(F679,'enter the discount'!$D$10:$E$40,2,FALSE),0))</f>
        <v>17.350000000000001</v>
      </c>
      <c r="I679" s="35" t="s">
        <v>2609</v>
      </c>
      <c r="J679" s="33" t="s">
        <v>424</v>
      </c>
      <c r="K679" s="33" t="s">
        <v>2749</v>
      </c>
      <c r="L679">
        <v>25</v>
      </c>
      <c r="M679"/>
      <c r="N679" t="s">
        <v>2754</v>
      </c>
      <c r="O679" s="34" t="str">
        <f>HYPERLINK("https://b2b.kobi.pl/pl/product/11162,lacznik-do-szynoprzewodu-3-obwodowy-l-lewy-zewnetrzny-czarny-kobi?currency=PLN")</f>
        <v>https://b2b.kobi.pl/pl/product/11162,lacznik-do-szynoprzewodu-3-obwodowy-l-lewy-zewnetrzny-czarny-kobi?currency=PLN</v>
      </c>
      <c r="P679" t="s">
        <v>3</v>
      </c>
      <c r="Q679"/>
    </row>
    <row r="680" spans="1:17" ht="14.4" x14ac:dyDescent="0.3">
      <c r="A680" t="s">
        <v>10</v>
      </c>
      <c r="B680" t="s">
        <v>2183</v>
      </c>
      <c r="C680" t="s">
        <v>910</v>
      </c>
      <c r="D680" t="s">
        <v>2208</v>
      </c>
      <c r="E680" t="s">
        <v>2209</v>
      </c>
      <c r="F680" t="s">
        <v>841</v>
      </c>
      <c r="G680" s="35">
        <v>17.350000000000001</v>
      </c>
      <c r="H680" s="33">
        <f>G680*(1-IFERROR(VLOOKUP(F680,'enter the discount'!$D$10:$E$40,2,FALSE),0))</f>
        <v>17.350000000000001</v>
      </c>
      <c r="I680" s="35" t="s">
        <v>2609</v>
      </c>
      <c r="J680" s="33" t="s">
        <v>425</v>
      </c>
      <c r="K680" s="33" t="s">
        <v>2749</v>
      </c>
      <c r="L680">
        <v>25</v>
      </c>
      <c r="M680"/>
      <c r="N680" t="s">
        <v>2754</v>
      </c>
      <c r="O680" s="34" t="str">
        <f>HYPERLINK("https://b2b.kobi.pl/pl/product/11163,lacznik-do-szynoprzewodu-3-obwodowy-l-prawy-zewnetrzny-bialy-kobi?currency=PLN")</f>
        <v>https://b2b.kobi.pl/pl/product/11163,lacznik-do-szynoprzewodu-3-obwodowy-l-prawy-zewnetrzny-bialy-kobi?currency=PLN</v>
      </c>
      <c r="P680" t="s">
        <v>3</v>
      </c>
      <c r="Q680"/>
    </row>
    <row r="681" spans="1:17" ht="14.4" x14ac:dyDescent="0.3">
      <c r="A681" t="s">
        <v>10</v>
      </c>
      <c r="B681" t="s">
        <v>2183</v>
      </c>
      <c r="C681" t="s">
        <v>910</v>
      </c>
      <c r="D681" t="s">
        <v>2210</v>
      </c>
      <c r="E681" t="s">
        <v>2211</v>
      </c>
      <c r="F681" t="s">
        <v>841</v>
      </c>
      <c r="G681" s="35">
        <v>17.350000000000001</v>
      </c>
      <c r="H681" s="33">
        <f>G681*(1-IFERROR(VLOOKUP(F681,'enter the discount'!$D$10:$E$40,2,FALSE),0))</f>
        <v>17.350000000000001</v>
      </c>
      <c r="I681" s="35" t="s">
        <v>2609</v>
      </c>
      <c r="J681" s="33" t="s">
        <v>426</v>
      </c>
      <c r="K681" s="33" t="s">
        <v>2749</v>
      </c>
      <c r="L681">
        <v>25</v>
      </c>
      <c r="M681"/>
      <c r="N681" t="s">
        <v>2754</v>
      </c>
      <c r="O681" s="34" t="str">
        <f>HYPERLINK("https://b2b.kobi.pl/pl/product/11164,lacznik-do-szynoprzewodu-3-obwodowy-l-prawy-zewnetrzny-czarny-kobi?currency=PLN")</f>
        <v>https://b2b.kobi.pl/pl/product/11164,lacznik-do-szynoprzewodu-3-obwodowy-l-prawy-zewnetrzny-czarny-kobi?currency=PLN</v>
      </c>
      <c r="P681" t="s">
        <v>3</v>
      </c>
      <c r="Q681"/>
    </row>
    <row r="682" spans="1:17" ht="14.4" x14ac:dyDescent="0.3">
      <c r="A682" t="s">
        <v>10</v>
      </c>
      <c r="B682" t="s">
        <v>2183</v>
      </c>
      <c r="C682" t="s">
        <v>910</v>
      </c>
      <c r="D682" t="s">
        <v>2212</v>
      </c>
      <c r="E682" t="s">
        <v>2213</v>
      </c>
      <c r="F682" t="s">
        <v>841</v>
      </c>
      <c r="G682" s="35">
        <v>50.84</v>
      </c>
      <c r="H682" s="33">
        <f>G682*(1-IFERROR(VLOOKUP(F682,'enter the discount'!$D$10:$E$40,2,FALSE),0))</f>
        <v>50.84</v>
      </c>
      <c r="I682" s="35" t="s">
        <v>2609</v>
      </c>
      <c r="J682" s="33" t="s">
        <v>409</v>
      </c>
      <c r="K682" s="33" t="s">
        <v>2749</v>
      </c>
      <c r="L682">
        <v>1</v>
      </c>
      <c r="M682"/>
      <c r="N682" t="s">
        <v>2754</v>
      </c>
      <c r="O682" s="34" t="str">
        <f>HYPERLINK("https://b2b.kobi.pl/pl/product/11167,szynoprzewod-3-obwodowy-2m-bialy-kobi?currency=PLN")</f>
        <v>https://b2b.kobi.pl/pl/product/11167,szynoprzewod-3-obwodowy-2m-bialy-kobi?currency=PLN</v>
      </c>
      <c r="P682" t="s">
        <v>3</v>
      </c>
      <c r="Q682"/>
    </row>
    <row r="683" spans="1:17" ht="14.4" x14ac:dyDescent="0.3">
      <c r="A683" t="s">
        <v>10</v>
      </c>
      <c r="B683" t="s">
        <v>2183</v>
      </c>
      <c r="C683" t="s">
        <v>910</v>
      </c>
      <c r="D683" t="s">
        <v>2214</v>
      </c>
      <c r="E683" t="s">
        <v>2215</v>
      </c>
      <c r="F683" t="s">
        <v>841</v>
      </c>
      <c r="G683" s="35">
        <v>50.84</v>
      </c>
      <c r="H683" s="33">
        <f>G683*(1-IFERROR(VLOOKUP(F683,'enter the discount'!$D$10:$E$40,2,FALSE),0))</f>
        <v>50.84</v>
      </c>
      <c r="I683" s="35" t="s">
        <v>2609</v>
      </c>
      <c r="J683" s="33" t="s">
        <v>410</v>
      </c>
      <c r="K683" s="33" t="s">
        <v>2749</v>
      </c>
      <c r="L683">
        <v>1</v>
      </c>
      <c r="M683"/>
      <c r="N683" t="s">
        <v>2754</v>
      </c>
      <c r="O683" s="34" t="str">
        <f>HYPERLINK("https://b2b.kobi.pl/pl/product/11168,szynoprzewod-3-obwodowy-2m-czarny-kobi?currency=PLN")</f>
        <v>https://b2b.kobi.pl/pl/product/11168,szynoprzewod-3-obwodowy-2m-czarny-kobi?currency=PLN</v>
      </c>
      <c r="P683" t="s">
        <v>3</v>
      </c>
      <c r="Q683"/>
    </row>
    <row r="684" spans="1:17" ht="14.4" x14ac:dyDescent="0.3">
      <c r="A684" t="s">
        <v>10</v>
      </c>
      <c r="B684" t="s">
        <v>2183</v>
      </c>
      <c r="C684" t="s">
        <v>910</v>
      </c>
      <c r="D684" t="s">
        <v>2216</v>
      </c>
      <c r="E684" t="s">
        <v>2217</v>
      </c>
      <c r="F684" t="s">
        <v>841</v>
      </c>
      <c r="G684" s="35">
        <v>1.69</v>
      </c>
      <c r="H684" s="33">
        <f>G684*(1-IFERROR(VLOOKUP(F684,'enter the discount'!$D$10:$E$40,2,FALSE),0))</f>
        <v>1.69</v>
      </c>
      <c r="I684" s="35" t="s">
        <v>2609</v>
      </c>
      <c r="J684" s="33" t="s">
        <v>415</v>
      </c>
      <c r="K684" s="33" t="s">
        <v>2749</v>
      </c>
      <c r="L684">
        <v>200</v>
      </c>
      <c r="M684"/>
      <c r="N684" t="s">
        <v>2754</v>
      </c>
      <c r="O684" s="34" t="str">
        <f>HYPERLINK("https://b2b.kobi.pl/pl/product/11169,zaslepka-do-szynoprzewodu-3-obwodowego-biala-kobi?currency=PLN")</f>
        <v>https://b2b.kobi.pl/pl/product/11169,zaslepka-do-szynoprzewodu-3-obwodowego-biala-kobi?currency=PLN</v>
      </c>
      <c r="P684" t="s">
        <v>3</v>
      </c>
      <c r="Q684"/>
    </row>
    <row r="685" spans="1:17" ht="14.4" x14ac:dyDescent="0.3">
      <c r="A685" t="s">
        <v>10</v>
      </c>
      <c r="B685" t="s">
        <v>2183</v>
      </c>
      <c r="C685" t="s">
        <v>910</v>
      </c>
      <c r="D685" t="s">
        <v>2218</v>
      </c>
      <c r="E685" t="s">
        <v>2219</v>
      </c>
      <c r="F685" t="s">
        <v>841</v>
      </c>
      <c r="G685" s="35">
        <v>1.69</v>
      </c>
      <c r="H685" s="33">
        <f>G685*(1-IFERROR(VLOOKUP(F685,'enter the discount'!$D$10:$E$40,2,FALSE),0))</f>
        <v>1.69</v>
      </c>
      <c r="I685" s="35" t="s">
        <v>2609</v>
      </c>
      <c r="J685" s="33" t="s">
        <v>416</v>
      </c>
      <c r="K685" s="33" t="s">
        <v>2749</v>
      </c>
      <c r="L685">
        <v>200</v>
      </c>
      <c r="M685"/>
      <c r="N685" t="s">
        <v>2754</v>
      </c>
      <c r="O685" s="34" t="str">
        <f>HYPERLINK("https://b2b.kobi.pl/pl/product/11170,zaslepka-do-szynoprzewodu-3-obwodowego-czarna-kobi?currency=PLN")</f>
        <v>https://b2b.kobi.pl/pl/product/11170,zaslepka-do-szynoprzewodu-3-obwodowego-czarna-kobi?currency=PLN</v>
      </c>
      <c r="P685" t="s">
        <v>3</v>
      </c>
      <c r="Q685"/>
    </row>
    <row r="686" spans="1:17" ht="14.4" x14ac:dyDescent="0.3">
      <c r="A686" t="s">
        <v>10</v>
      </c>
      <c r="B686" t="s">
        <v>2183</v>
      </c>
      <c r="C686" t="s">
        <v>910</v>
      </c>
      <c r="D686" t="s">
        <v>2220</v>
      </c>
      <c r="E686" t="s">
        <v>2221</v>
      </c>
      <c r="F686" t="s">
        <v>841</v>
      </c>
      <c r="G686" s="35">
        <v>7.95</v>
      </c>
      <c r="H686" s="33">
        <f>G686*(1-IFERROR(VLOOKUP(F686,'enter the discount'!$D$10:$E$40,2,FALSE),0))</f>
        <v>7.95</v>
      </c>
      <c r="I686" s="35" t="s">
        <v>2609</v>
      </c>
      <c r="J686" s="33" t="s">
        <v>411</v>
      </c>
      <c r="K686" s="33" t="s">
        <v>2749</v>
      </c>
      <c r="L686">
        <v>50</v>
      </c>
      <c r="M686"/>
      <c r="N686" t="s">
        <v>2754</v>
      </c>
      <c r="O686" s="34" t="str">
        <f>HYPERLINK("https://b2b.kobi.pl/pl/product/11171,zasilanie-do-szynoprzewodu-3-obwodowego-lewe-biale-kobi?currency=PLN")</f>
        <v>https://b2b.kobi.pl/pl/product/11171,zasilanie-do-szynoprzewodu-3-obwodowego-lewe-biale-kobi?currency=PLN</v>
      </c>
      <c r="P686" t="s">
        <v>3</v>
      </c>
      <c r="Q686"/>
    </row>
    <row r="687" spans="1:17" ht="14.4" x14ac:dyDescent="0.3">
      <c r="A687" t="s">
        <v>10</v>
      </c>
      <c r="B687" t="s">
        <v>2183</v>
      </c>
      <c r="C687" t="s">
        <v>910</v>
      </c>
      <c r="D687" t="s">
        <v>2222</v>
      </c>
      <c r="E687" t="s">
        <v>2223</v>
      </c>
      <c r="F687" t="s">
        <v>841</v>
      </c>
      <c r="G687" s="35">
        <v>7.95</v>
      </c>
      <c r="H687" s="33">
        <f>G687*(1-IFERROR(VLOOKUP(F687,'enter the discount'!$D$10:$E$40,2,FALSE),0))</f>
        <v>7.95</v>
      </c>
      <c r="I687" s="35" t="s">
        <v>2609</v>
      </c>
      <c r="J687" s="33" t="s">
        <v>412</v>
      </c>
      <c r="K687" s="33" t="s">
        <v>2749</v>
      </c>
      <c r="L687">
        <v>50</v>
      </c>
      <c r="M687"/>
      <c r="N687" t="s">
        <v>2754</v>
      </c>
      <c r="O687" s="34" t="str">
        <f>HYPERLINK("https://b2b.kobi.pl/pl/product/11172,zasilanie-do-szynoprzewodu-3-obwodowego-lewe-czarne-kobi?currency=PLN")</f>
        <v>https://b2b.kobi.pl/pl/product/11172,zasilanie-do-szynoprzewodu-3-obwodowego-lewe-czarne-kobi?currency=PLN</v>
      </c>
      <c r="P687" t="s">
        <v>3</v>
      </c>
      <c r="Q687"/>
    </row>
    <row r="688" spans="1:17" ht="14.4" x14ac:dyDescent="0.3">
      <c r="A688" t="s">
        <v>10</v>
      </c>
      <c r="B688" t="s">
        <v>2183</v>
      </c>
      <c r="C688" t="s">
        <v>910</v>
      </c>
      <c r="D688" t="s">
        <v>2224</v>
      </c>
      <c r="E688" t="s">
        <v>2225</v>
      </c>
      <c r="F688" t="s">
        <v>841</v>
      </c>
      <c r="G688" s="35">
        <v>7.95</v>
      </c>
      <c r="H688" s="33">
        <f>G688*(1-IFERROR(VLOOKUP(F688,'enter the discount'!$D$10:$E$40,2,FALSE),0))</f>
        <v>7.95</v>
      </c>
      <c r="I688" s="35" t="s">
        <v>2609</v>
      </c>
      <c r="J688" s="33" t="s">
        <v>413</v>
      </c>
      <c r="K688" s="33" t="s">
        <v>2749</v>
      </c>
      <c r="L688">
        <v>50</v>
      </c>
      <c r="M688"/>
      <c r="N688" t="s">
        <v>2754</v>
      </c>
      <c r="O688" s="34" t="str">
        <f>HYPERLINK("https://b2b.kobi.pl/pl/product/11173,zasilanie-do-szynoprzewodu-3-obwodowego-prawe-biale-kobi?currency=PLN")</f>
        <v>https://b2b.kobi.pl/pl/product/11173,zasilanie-do-szynoprzewodu-3-obwodowego-prawe-biale-kobi?currency=PLN</v>
      </c>
      <c r="P688" t="s">
        <v>3</v>
      </c>
      <c r="Q688"/>
    </row>
    <row r="689" spans="1:17" ht="14.4" x14ac:dyDescent="0.3">
      <c r="A689" t="s">
        <v>10</v>
      </c>
      <c r="B689" t="s">
        <v>2183</v>
      </c>
      <c r="C689" t="s">
        <v>910</v>
      </c>
      <c r="D689" t="s">
        <v>2226</v>
      </c>
      <c r="E689" t="s">
        <v>2227</v>
      </c>
      <c r="F689" t="s">
        <v>841</v>
      </c>
      <c r="G689" s="35">
        <v>7.95</v>
      </c>
      <c r="H689" s="33">
        <f>G689*(1-IFERROR(VLOOKUP(F689,'enter the discount'!$D$10:$E$40,2,FALSE),0))</f>
        <v>7.95</v>
      </c>
      <c r="I689" s="35" t="s">
        <v>2609</v>
      </c>
      <c r="J689" s="33" t="s">
        <v>414</v>
      </c>
      <c r="K689" s="33" t="s">
        <v>2749</v>
      </c>
      <c r="L689">
        <v>50</v>
      </c>
      <c r="M689"/>
      <c r="N689" t="s">
        <v>2754</v>
      </c>
      <c r="O689" s="34" t="str">
        <f>HYPERLINK("https://b2b.kobi.pl/pl/product/11174,zasilanie-do-szynoprzewodu-3-obwodowego-prawe-czarne-kobi?currency=PLN")</f>
        <v>https://b2b.kobi.pl/pl/product/11174,zasilanie-do-szynoprzewodu-3-obwodowego-prawe-czarne-kobi?currency=PLN</v>
      </c>
      <c r="P689" t="s">
        <v>3</v>
      </c>
      <c r="Q689"/>
    </row>
    <row r="690" spans="1:17" ht="14.4" x14ac:dyDescent="0.3">
      <c r="A690" t="s">
        <v>10</v>
      </c>
      <c r="B690" t="s">
        <v>2183</v>
      </c>
      <c r="C690" t="s">
        <v>910</v>
      </c>
      <c r="D690" t="s">
        <v>2228</v>
      </c>
      <c r="E690" t="s">
        <v>2229</v>
      </c>
      <c r="F690" t="s">
        <v>841</v>
      </c>
      <c r="G690" s="35">
        <v>6.51</v>
      </c>
      <c r="H690" s="33">
        <f>G690*(1-IFERROR(VLOOKUP(F690,'enter the discount'!$D$10:$E$40,2,FALSE),0))</f>
        <v>6.51</v>
      </c>
      <c r="I690" s="35" t="s">
        <v>2609</v>
      </c>
      <c r="J690" s="33" t="s">
        <v>417</v>
      </c>
      <c r="K690" s="33" t="s">
        <v>2749</v>
      </c>
      <c r="L690">
        <v>100</v>
      </c>
      <c r="M690"/>
      <c r="N690" t="s">
        <v>2754</v>
      </c>
      <c r="O690" s="34" t="str">
        <f>HYPERLINK("https://b2b.kobi.pl/pl/product/11175,zestaw-do-zwieszania-szynoprzewodu-3-obwodowego-bialy-kobi?currency=PLN")</f>
        <v>https://b2b.kobi.pl/pl/product/11175,zestaw-do-zwieszania-szynoprzewodu-3-obwodowego-bialy-kobi?currency=PLN</v>
      </c>
      <c r="P690" t="s">
        <v>3</v>
      </c>
      <c r="Q690"/>
    </row>
    <row r="691" spans="1:17" ht="14.4" x14ac:dyDescent="0.3">
      <c r="A691" t="s">
        <v>10</v>
      </c>
      <c r="B691" t="s">
        <v>2183</v>
      </c>
      <c r="C691" t="s">
        <v>910</v>
      </c>
      <c r="D691" t="s">
        <v>2230</v>
      </c>
      <c r="E691" t="s">
        <v>2231</v>
      </c>
      <c r="F691" t="s">
        <v>841</v>
      </c>
      <c r="G691" s="35">
        <v>6.43</v>
      </c>
      <c r="H691" s="33">
        <f>G691*(1-IFERROR(VLOOKUP(F691,'enter the discount'!$D$10:$E$40,2,FALSE),0))</f>
        <v>6.43</v>
      </c>
      <c r="I691" s="35" t="s">
        <v>2609</v>
      </c>
      <c r="J691" s="33" t="s">
        <v>418</v>
      </c>
      <c r="K691" s="33" t="s">
        <v>2749</v>
      </c>
      <c r="L691">
        <v>100</v>
      </c>
      <c r="M691"/>
      <c r="N691" t="s">
        <v>2754</v>
      </c>
      <c r="O691" s="34" t="str">
        <f>HYPERLINK("https://b2b.kobi.pl/pl/product/11176,zestaw-do-zwieszania-szynoprzewodu-3-obwodowego-czarny-kobi?currency=PLN")</f>
        <v>https://b2b.kobi.pl/pl/product/11176,zestaw-do-zwieszania-szynoprzewodu-3-obwodowego-czarny-kobi?currency=PLN</v>
      </c>
      <c r="P691" t="s">
        <v>3</v>
      </c>
      <c r="Q691"/>
    </row>
    <row r="692" spans="1:17" ht="14.4" x14ac:dyDescent="0.3">
      <c r="A692" t="s">
        <v>11</v>
      </c>
      <c r="B692" t="s">
        <v>649</v>
      </c>
      <c r="C692" t="s">
        <v>30</v>
      </c>
      <c r="D692" t="s">
        <v>2232</v>
      </c>
      <c r="E692" t="s">
        <v>2233</v>
      </c>
      <c r="F692" t="s">
        <v>851</v>
      </c>
      <c r="G692" s="35">
        <v>10.18</v>
      </c>
      <c r="H692" s="33">
        <f>G692*(1-IFERROR(VLOOKUP(F692,'enter the discount'!$D$10:$E$40,2,FALSE),0))</f>
        <v>10.18</v>
      </c>
      <c r="I692" s="35" t="s">
        <v>2609</v>
      </c>
      <c r="J692" s="33" t="s">
        <v>543</v>
      </c>
      <c r="K692" s="33" t="s">
        <v>2749</v>
      </c>
      <c r="L692">
        <v>36</v>
      </c>
      <c r="M692"/>
      <c r="N692" t="s">
        <v>2754</v>
      </c>
      <c r="O692" s="34" t="str">
        <f>HYPERLINK("https://b2b.kobi.pl/pl/product/10567,lampa-solarna-solar-30-led-aura-3000k-led2b?currency=PLN")</f>
        <v>https://b2b.kobi.pl/pl/product/10567,lampa-solarna-solar-30-led-aura-3000k-led2b?currency=PLN</v>
      </c>
      <c r="P692" t="s">
        <v>3</v>
      </c>
      <c r="Q692"/>
    </row>
    <row r="693" spans="1:17" ht="14.4" x14ac:dyDescent="0.3">
      <c r="A693" t="s">
        <v>11</v>
      </c>
      <c r="B693" t="s">
        <v>649</v>
      </c>
      <c r="C693" t="s">
        <v>30</v>
      </c>
      <c r="D693" t="s">
        <v>2234</v>
      </c>
      <c r="E693" t="s">
        <v>2235</v>
      </c>
      <c r="F693" t="s">
        <v>851</v>
      </c>
      <c r="G693" s="35">
        <v>15.36</v>
      </c>
      <c r="H693" s="33">
        <f>G693*(1-IFERROR(VLOOKUP(F693,'enter the discount'!$D$10:$E$40,2,FALSE),0))</f>
        <v>15.36</v>
      </c>
      <c r="I693" s="35" t="s">
        <v>2609</v>
      </c>
      <c r="J693" s="33" t="s">
        <v>545</v>
      </c>
      <c r="K693" s="33" t="s">
        <v>2750</v>
      </c>
      <c r="L693">
        <v>12</v>
      </c>
      <c r="M693"/>
      <c r="N693" t="s">
        <v>2754</v>
      </c>
      <c r="O693" s="34" t="str">
        <f>HYPERLINK("https://b2b.kobi.pl/pl/product/10568,slupek-ogrodowy-solar-led-aurora-6000k-ip44-4-pak-led2b?currency=PLN")</f>
        <v>https://b2b.kobi.pl/pl/product/10568,slupek-ogrodowy-solar-led-aurora-6000k-ip44-4-pak-led2b?currency=PLN</v>
      </c>
      <c r="P693" t="s">
        <v>3</v>
      </c>
      <c r="Q693"/>
    </row>
    <row r="694" spans="1:17" ht="14.4" x14ac:dyDescent="0.3">
      <c r="A694" t="s">
        <v>11</v>
      </c>
      <c r="B694" t="s">
        <v>649</v>
      </c>
      <c r="C694" t="s">
        <v>30</v>
      </c>
      <c r="D694" t="s">
        <v>2236</v>
      </c>
      <c r="E694" t="s">
        <v>2237</v>
      </c>
      <c r="F694" t="s">
        <v>851</v>
      </c>
      <c r="G694" s="35">
        <v>9.7899999999999991</v>
      </c>
      <c r="H694" s="33">
        <f>G694*(1-IFERROR(VLOOKUP(F694,'enter the discount'!$D$10:$E$40,2,FALSE),0))</f>
        <v>9.7899999999999991</v>
      </c>
      <c r="I694" s="35" t="s">
        <v>2609</v>
      </c>
      <c r="J694" s="33" t="s">
        <v>2676</v>
      </c>
      <c r="K694" s="33" t="s">
        <v>2749</v>
      </c>
      <c r="L694">
        <v>6</v>
      </c>
      <c r="M694"/>
      <c r="N694" t="s">
        <v>2754</v>
      </c>
      <c r="O694" s="34" t="str">
        <f>HYPERLINK("https://b2b.kobi.pl/pl/product/10570,lampa-solarna-solar-led-candelio-2700k-bialy-led2b?currency=PLN")</f>
        <v>https://b2b.kobi.pl/pl/product/10570,lampa-solarna-solar-led-candelio-2700k-bialy-led2b?currency=PLN</v>
      </c>
      <c r="P694" t="s">
        <v>3</v>
      </c>
      <c r="Q694"/>
    </row>
    <row r="695" spans="1:17" ht="14.4" x14ac:dyDescent="0.3">
      <c r="A695" t="s">
        <v>11</v>
      </c>
      <c r="B695" t="s">
        <v>649</v>
      </c>
      <c r="C695" t="s">
        <v>30</v>
      </c>
      <c r="D695" t="s">
        <v>2238</v>
      </c>
      <c r="E695" t="s">
        <v>2239</v>
      </c>
      <c r="F695" t="s">
        <v>851</v>
      </c>
      <c r="G695" s="35">
        <v>9.7899999999999991</v>
      </c>
      <c r="H695" s="33">
        <f>G695*(1-IFERROR(VLOOKUP(F695,'enter the discount'!$D$10:$E$40,2,FALSE),0))</f>
        <v>9.7899999999999991</v>
      </c>
      <c r="I695" s="35" t="s">
        <v>2609</v>
      </c>
      <c r="J695" s="33" t="s">
        <v>2677</v>
      </c>
      <c r="K695" s="33" t="s">
        <v>2749</v>
      </c>
      <c r="L695">
        <v>6</v>
      </c>
      <c r="M695"/>
      <c r="N695" t="s">
        <v>2754</v>
      </c>
      <c r="O695" s="34" t="str">
        <f>HYPERLINK("https://b2b.kobi.pl/pl/product/10571,lampa-solarna-solar-led-candelio-2700k-czarna-led2b?currency=PLN")</f>
        <v>https://b2b.kobi.pl/pl/product/10571,lampa-solarna-solar-led-candelio-2700k-czarna-led2b?currency=PLN</v>
      </c>
      <c r="P695" t="s">
        <v>3</v>
      </c>
      <c r="Q695"/>
    </row>
    <row r="696" spans="1:17" ht="14.4" x14ac:dyDescent="0.3">
      <c r="A696" t="s">
        <v>11</v>
      </c>
      <c r="B696" t="s">
        <v>649</v>
      </c>
      <c r="C696" t="s">
        <v>30</v>
      </c>
      <c r="D696" t="s">
        <v>2240</v>
      </c>
      <c r="E696" t="s">
        <v>2241</v>
      </c>
      <c r="F696" t="s">
        <v>851</v>
      </c>
      <c r="G696" s="35">
        <v>9.7899999999999991</v>
      </c>
      <c r="H696" s="33">
        <f>G696*(1-IFERROR(VLOOKUP(F696,'enter the discount'!$D$10:$E$40,2,FALSE),0))</f>
        <v>9.7899999999999991</v>
      </c>
      <c r="I696" s="35" t="s">
        <v>2609</v>
      </c>
      <c r="J696" s="33" t="s">
        <v>2678</v>
      </c>
      <c r="K696" s="33" t="s">
        <v>2749</v>
      </c>
      <c r="L696">
        <v>6</v>
      </c>
      <c r="M696"/>
      <c r="N696" t="s">
        <v>2754</v>
      </c>
      <c r="O696" s="34" t="str">
        <f>HYPERLINK("https://b2b.kobi.pl/pl/product/10572,lampa-solarna-solar-led-candelio-2700k-zlota-led2b?currency=PLN")</f>
        <v>https://b2b.kobi.pl/pl/product/10572,lampa-solarna-solar-led-candelio-2700k-zlota-led2b?currency=PLN</v>
      </c>
      <c r="P696" t="s">
        <v>3</v>
      </c>
      <c r="Q696"/>
    </row>
    <row r="697" spans="1:17" ht="14.4" x14ac:dyDescent="0.3">
      <c r="A697" t="s">
        <v>11</v>
      </c>
      <c r="B697" t="s">
        <v>649</v>
      </c>
      <c r="C697" t="s">
        <v>30</v>
      </c>
      <c r="D697" t="s">
        <v>2242</v>
      </c>
      <c r="E697" t="s">
        <v>2243</v>
      </c>
      <c r="F697" t="s">
        <v>851</v>
      </c>
      <c r="G697" s="35">
        <v>14.16</v>
      </c>
      <c r="H697" s="33">
        <f>G697*(1-IFERROR(VLOOKUP(F697,'enter the discount'!$D$10:$E$40,2,FALSE),0))</f>
        <v>14.16</v>
      </c>
      <c r="I697" s="35" t="s">
        <v>2609</v>
      </c>
      <c r="J697" s="33" t="s">
        <v>546</v>
      </c>
      <c r="K697" s="33" t="s">
        <v>2750</v>
      </c>
      <c r="L697">
        <v>24</v>
      </c>
      <c r="M697"/>
      <c r="N697" t="s">
        <v>2754</v>
      </c>
      <c r="O697" s="34" t="str">
        <f>HYPERLINK("https://b2b.kobi.pl/pl/product/10573,slupek-ogrodowy-solar-led-eclipse-6000k-ip44-10-pak-led2b?currency=PLN")</f>
        <v>https://b2b.kobi.pl/pl/product/10573,slupek-ogrodowy-solar-led-eclipse-6000k-ip44-10-pak-led2b?currency=PLN</v>
      </c>
      <c r="P697" t="s">
        <v>3</v>
      </c>
      <c r="Q697"/>
    </row>
    <row r="698" spans="1:17" ht="14.4" x14ac:dyDescent="0.3">
      <c r="A698" t="s">
        <v>11</v>
      </c>
      <c r="B698" t="s">
        <v>649</v>
      </c>
      <c r="C698" t="s">
        <v>30</v>
      </c>
      <c r="D698" t="s">
        <v>2244</v>
      </c>
      <c r="E698" t="s">
        <v>2245</v>
      </c>
      <c r="F698" t="s">
        <v>851</v>
      </c>
      <c r="G698" s="35">
        <v>26.2</v>
      </c>
      <c r="H698" s="33">
        <f>G698*(1-IFERROR(VLOOKUP(F698,'enter the discount'!$D$10:$E$40,2,FALSE),0))</f>
        <v>26.2</v>
      </c>
      <c r="I698" s="35" t="s">
        <v>2609</v>
      </c>
      <c r="J698" s="33" t="s">
        <v>547</v>
      </c>
      <c r="K698" s="33" t="s">
        <v>2750</v>
      </c>
      <c r="L698">
        <v>12</v>
      </c>
      <c r="M698"/>
      <c r="N698" t="s">
        <v>2754</v>
      </c>
      <c r="O698" s="34" t="str">
        <f>HYPERLINK("https://b2b.kobi.pl/pl/product/10574,slupek-ogrodowy-solar-led-fusion-6500k-ip44-12-pak-led2b?currency=PLN")</f>
        <v>https://b2b.kobi.pl/pl/product/10574,slupek-ogrodowy-solar-led-fusion-6500k-ip44-12-pak-led2b?currency=PLN</v>
      </c>
      <c r="P698" t="s">
        <v>3</v>
      </c>
      <c r="Q698"/>
    </row>
    <row r="699" spans="1:17" ht="14.4" x14ac:dyDescent="0.3">
      <c r="A699" t="s">
        <v>11</v>
      </c>
      <c r="B699" t="s">
        <v>649</v>
      </c>
      <c r="C699" t="s">
        <v>30</v>
      </c>
      <c r="D699" t="s">
        <v>2246</v>
      </c>
      <c r="E699" t="s">
        <v>2247</v>
      </c>
      <c r="F699" t="s">
        <v>851</v>
      </c>
      <c r="G699" s="35">
        <v>12.35</v>
      </c>
      <c r="H699" s="33">
        <f>G699*(1-IFERROR(VLOOKUP(F699,'enter the discount'!$D$10:$E$40,2,FALSE),0))</f>
        <v>12.35</v>
      </c>
      <c r="I699" s="35" t="s">
        <v>2609</v>
      </c>
      <c r="J699" s="33" t="s">
        <v>549</v>
      </c>
      <c r="K699" s="33" t="s">
        <v>2750</v>
      </c>
      <c r="L699">
        <v>6</v>
      </c>
      <c r="M699"/>
      <c r="N699" t="s">
        <v>2754</v>
      </c>
      <c r="O699" s="34" t="str">
        <f>HYPERLINK("https://b2b.kobi.pl/pl/product/10575,slupek-ogrodowy-solar-led-globe-3000k-ip44-5-pak-led2b?currency=PLN")</f>
        <v>https://b2b.kobi.pl/pl/product/10575,slupek-ogrodowy-solar-led-globe-3000k-ip44-5-pak-led2b?currency=PLN</v>
      </c>
      <c r="P699" t="s">
        <v>3</v>
      </c>
      <c r="Q699"/>
    </row>
    <row r="700" spans="1:17" ht="14.4" x14ac:dyDescent="0.3">
      <c r="A700" t="s">
        <v>11</v>
      </c>
      <c r="B700" t="s">
        <v>649</v>
      </c>
      <c r="C700" t="s">
        <v>30</v>
      </c>
      <c r="D700" t="s">
        <v>2248</v>
      </c>
      <c r="E700" t="s">
        <v>2249</v>
      </c>
      <c r="F700" t="s">
        <v>851</v>
      </c>
      <c r="G700" s="35">
        <v>12.35</v>
      </c>
      <c r="H700" s="33">
        <f>G700*(1-IFERROR(VLOOKUP(F700,'enter the discount'!$D$10:$E$40,2,FALSE),0))</f>
        <v>12.35</v>
      </c>
      <c r="I700" s="35" t="s">
        <v>2609</v>
      </c>
      <c r="J700" s="33" t="s">
        <v>548</v>
      </c>
      <c r="K700" s="33" t="s">
        <v>2750</v>
      </c>
      <c r="L700">
        <v>6</v>
      </c>
      <c r="M700"/>
      <c r="N700" t="s">
        <v>2754</v>
      </c>
      <c r="O700" s="34" t="str">
        <f>HYPERLINK("https://b2b.kobi.pl/pl/product/10576,slupek-ogrodowy-solar-led-gleam-3000k-ip44-5-pak-led2b?currency=PLN")</f>
        <v>https://b2b.kobi.pl/pl/product/10576,slupek-ogrodowy-solar-led-gleam-3000k-ip44-5-pak-led2b?currency=PLN</v>
      </c>
      <c r="P700" t="s">
        <v>3</v>
      </c>
      <c r="Q700"/>
    </row>
    <row r="701" spans="1:17" ht="14.4" x14ac:dyDescent="0.3">
      <c r="A701" t="s">
        <v>11</v>
      </c>
      <c r="B701" t="s">
        <v>649</v>
      </c>
      <c r="C701" t="s">
        <v>30</v>
      </c>
      <c r="D701" t="s">
        <v>2250</v>
      </c>
      <c r="E701" t="s">
        <v>2251</v>
      </c>
      <c r="F701" t="s">
        <v>851</v>
      </c>
      <c r="G701" s="35">
        <v>19.82</v>
      </c>
      <c r="H701" s="33">
        <f>G701*(1-IFERROR(VLOOKUP(F701,'enter the discount'!$D$10:$E$40,2,FALSE),0))</f>
        <v>19.82</v>
      </c>
      <c r="I701" s="35" t="s">
        <v>2609</v>
      </c>
      <c r="J701" s="33" t="s">
        <v>550</v>
      </c>
      <c r="K701" s="33" t="s">
        <v>2749</v>
      </c>
      <c r="L701">
        <v>20</v>
      </c>
      <c r="M701"/>
      <c r="N701" t="s">
        <v>2754</v>
      </c>
      <c r="O701" s="34" t="str">
        <f>HYPERLINK("https://b2b.kobi.pl/pl/product/10577,naswietlacz-z-czujnikiem-ruchu-solar-led-glow-6000k-ip44-led2b?currency=PLN")</f>
        <v>https://b2b.kobi.pl/pl/product/10577,naswietlacz-z-czujnikiem-ruchu-solar-led-glow-6000k-ip44-led2b?currency=PLN</v>
      </c>
      <c r="P701" t="s">
        <v>3</v>
      </c>
      <c r="Q701"/>
    </row>
    <row r="702" spans="1:17" ht="14.4" x14ac:dyDescent="0.3">
      <c r="A702" t="s">
        <v>11</v>
      </c>
      <c r="B702" t="s">
        <v>649</v>
      </c>
      <c r="C702" t="s">
        <v>30</v>
      </c>
      <c r="D702" t="s">
        <v>2252</v>
      </c>
      <c r="E702" t="s">
        <v>2253</v>
      </c>
      <c r="F702" t="s">
        <v>851</v>
      </c>
      <c r="G702" s="35">
        <v>7.77</v>
      </c>
      <c r="H702" s="33">
        <f>G702*(1-IFERROR(VLOOKUP(F702,'enter the discount'!$D$10:$E$40,2,FALSE),0))</f>
        <v>7.77</v>
      </c>
      <c r="I702" s="35" t="s">
        <v>2609</v>
      </c>
      <c r="J702" s="33" t="s">
        <v>551</v>
      </c>
      <c r="K702" s="33" t="s">
        <v>2749</v>
      </c>
      <c r="L702">
        <v>12</v>
      </c>
      <c r="M702"/>
      <c r="N702" t="s">
        <v>2754</v>
      </c>
      <c r="O702" s="34" t="str">
        <f>HYPERLINK("https://b2b.kobi.pl/pl/product/10578,lampa-ogrodowa-solar-led-harmony-3000k-ip44-led2b?currency=PLN")</f>
        <v>https://b2b.kobi.pl/pl/product/10578,lampa-ogrodowa-solar-led-harmony-3000k-ip44-led2b?currency=PLN</v>
      </c>
      <c r="P702" t="s">
        <v>3</v>
      </c>
      <c r="Q702"/>
    </row>
    <row r="703" spans="1:17" ht="14.4" x14ac:dyDescent="0.3">
      <c r="A703" t="s">
        <v>11</v>
      </c>
      <c r="B703" t="s">
        <v>649</v>
      </c>
      <c r="C703" t="s">
        <v>30</v>
      </c>
      <c r="D703" t="s">
        <v>2254</v>
      </c>
      <c r="E703" t="s">
        <v>2255</v>
      </c>
      <c r="F703" t="s">
        <v>851</v>
      </c>
      <c r="G703" s="35">
        <v>7.53</v>
      </c>
      <c r="H703" s="33">
        <f>G703*(1-IFERROR(VLOOKUP(F703,'enter the discount'!$D$10:$E$40,2,FALSE),0))</f>
        <v>7.53</v>
      </c>
      <c r="I703" s="35" t="s">
        <v>2609</v>
      </c>
      <c r="J703" s="33" t="s">
        <v>553</v>
      </c>
      <c r="K703" s="33" t="s">
        <v>2749</v>
      </c>
      <c r="L703">
        <v>80</v>
      </c>
      <c r="M703"/>
      <c r="N703" t="s">
        <v>2754</v>
      </c>
      <c r="O703" s="34" t="str">
        <f>HYPERLINK("https://b2b.kobi.pl/pl/product/10581,kinkiet-solar-led-lumina-6500k-led2b?currency=PLN")</f>
        <v>https://b2b.kobi.pl/pl/product/10581,kinkiet-solar-led-lumina-6500k-led2b?currency=PLN</v>
      </c>
      <c r="P703" t="s">
        <v>3</v>
      </c>
      <c r="Q703"/>
    </row>
    <row r="704" spans="1:17" ht="14.4" x14ac:dyDescent="0.3">
      <c r="A704" t="s">
        <v>11</v>
      </c>
      <c r="B704" t="s">
        <v>649</v>
      </c>
      <c r="C704" t="s">
        <v>30</v>
      </c>
      <c r="D704" t="s">
        <v>2256</v>
      </c>
      <c r="E704" t="s">
        <v>2257</v>
      </c>
      <c r="F704" t="s">
        <v>851</v>
      </c>
      <c r="G704" s="35">
        <v>9.34</v>
      </c>
      <c r="H704" s="33">
        <f>G704*(1-IFERROR(VLOOKUP(F704,'enter the discount'!$D$10:$E$40,2,FALSE),0))</f>
        <v>9.34</v>
      </c>
      <c r="I704" s="35" t="s">
        <v>2609</v>
      </c>
      <c r="J704" s="33" t="s">
        <v>544</v>
      </c>
      <c r="K704" s="33" t="s">
        <v>2749</v>
      </c>
      <c r="L704">
        <v>30</v>
      </c>
      <c r="M704"/>
      <c r="N704" t="s">
        <v>2754</v>
      </c>
      <c r="O704" s="34" t="str">
        <f>HYPERLINK("https://b2b.kobi.pl/pl/product/10582,lampa-solarna-solar-50-led-lume-rgb-led2b?currency=PLN")</f>
        <v>https://b2b.kobi.pl/pl/product/10582,lampa-solarna-solar-50-led-lume-rgb-led2b?currency=PLN</v>
      </c>
      <c r="P704" t="s">
        <v>3</v>
      </c>
      <c r="Q704"/>
    </row>
    <row r="705" spans="1:17" ht="14.4" x14ac:dyDescent="0.3">
      <c r="A705" t="s">
        <v>11</v>
      </c>
      <c r="B705" t="s">
        <v>649</v>
      </c>
      <c r="C705" t="s">
        <v>30</v>
      </c>
      <c r="D705" t="s">
        <v>2258</v>
      </c>
      <c r="E705" t="s">
        <v>2259</v>
      </c>
      <c r="F705" t="s">
        <v>851</v>
      </c>
      <c r="G705" s="35">
        <v>19.82</v>
      </c>
      <c r="H705" s="33">
        <f>G705*(1-IFERROR(VLOOKUP(F705,'enter the discount'!$D$10:$E$40,2,FALSE),0))</f>
        <v>19.82</v>
      </c>
      <c r="I705" s="35" t="s">
        <v>2609</v>
      </c>
      <c r="J705" s="33" t="s">
        <v>552</v>
      </c>
      <c r="K705" s="33" t="s">
        <v>2749</v>
      </c>
      <c r="L705">
        <v>24</v>
      </c>
      <c r="M705"/>
      <c r="N705" t="s">
        <v>2754</v>
      </c>
      <c r="O705" s="34" t="str">
        <f>HYPERLINK("https://b2b.kobi.pl/pl/product/10583,slupek-ogrodowy-solar-led-lance-6000k-ip44-led2b?currency=PLN")</f>
        <v>https://b2b.kobi.pl/pl/product/10583,slupek-ogrodowy-solar-led-lance-6000k-ip44-led2b?currency=PLN</v>
      </c>
      <c r="P705" t="s">
        <v>3</v>
      </c>
      <c r="Q705"/>
    </row>
    <row r="706" spans="1:17" ht="14.4" x14ac:dyDescent="0.3">
      <c r="A706" t="s">
        <v>11</v>
      </c>
      <c r="B706" t="s">
        <v>649</v>
      </c>
      <c r="C706" t="s">
        <v>30</v>
      </c>
      <c r="D706" t="s">
        <v>2260</v>
      </c>
      <c r="E706" t="s">
        <v>2261</v>
      </c>
      <c r="F706" t="s">
        <v>851</v>
      </c>
      <c r="G706" s="35">
        <v>13.55</v>
      </c>
      <c r="H706" s="33">
        <f>G706*(1-IFERROR(VLOOKUP(F706,'enter the discount'!$D$10:$E$40,2,FALSE),0))</f>
        <v>13.55</v>
      </c>
      <c r="I706" s="35" t="s">
        <v>2609</v>
      </c>
      <c r="J706" s="33" t="s">
        <v>555</v>
      </c>
      <c r="K706" s="33" t="s">
        <v>2749</v>
      </c>
      <c r="L706">
        <v>30</v>
      </c>
      <c r="M706"/>
      <c r="N706" t="s">
        <v>2754</v>
      </c>
      <c r="O706" s="34" t="str">
        <f>HYPERLINK("https://b2b.kobi.pl/pl/product/10640,naswietlacz-z-czujnikiem-ruchu-solar-led-prism-6000k-led2b?currency=PLN")</f>
        <v>https://b2b.kobi.pl/pl/product/10640,naswietlacz-z-czujnikiem-ruchu-solar-led-prism-6000k-led2b?currency=PLN</v>
      </c>
      <c r="P706" t="s">
        <v>3</v>
      </c>
      <c r="Q706"/>
    </row>
    <row r="707" spans="1:17" ht="14.4" x14ac:dyDescent="0.3">
      <c r="A707" t="s">
        <v>11</v>
      </c>
      <c r="B707" t="s">
        <v>649</v>
      </c>
      <c r="C707" t="s">
        <v>30</v>
      </c>
      <c r="D707" t="s">
        <v>2262</v>
      </c>
      <c r="E707" t="s">
        <v>2263</v>
      </c>
      <c r="F707" t="s">
        <v>851</v>
      </c>
      <c r="G707" s="35">
        <v>14.76</v>
      </c>
      <c r="H707" s="33">
        <f>G707*(1-IFERROR(VLOOKUP(F707,'enter the discount'!$D$10:$E$40,2,FALSE),0))</f>
        <v>14.76</v>
      </c>
      <c r="I707" s="35" t="s">
        <v>2609</v>
      </c>
      <c r="J707" s="33" t="s">
        <v>554</v>
      </c>
      <c r="K707" s="33" t="s">
        <v>2750</v>
      </c>
      <c r="L707">
        <v>30</v>
      </c>
      <c r="M707"/>
      <c r="N707" t="s">
        <v>2754</v>
      </c>
      <c r="O707" s="34" t="str">
        <f>HYPERLINK("https://b2b.kobi.pl/pl/product/10641,naswietlacz-solar-led-photon-3000k-ip44-8-pak-led2b?currency=PLN")</f>
        <v>https://b2b.kobi.pl/pl/product/10641,naswietlacz-solar-led-photon-3000k-ip44-8-pak-led2b?currency=PLN</v>
      </c>
      <c r="P707" t="s">
        <v>3</v>
      </c>
      <c r="Q707"/>
    </row>
    <row r="708" spans="1:17" ht="14.4" x14ac:dyDescent="0.3">
      <c r="A708" t="s">
        <v>11</v>
      </c>
      <c r="B708" t="s">
        <v>649</v>
      </c>
      <c r="C708" t="s">
        <v>30</v>
      </c>
      <c r="D708" t="s">
        <v>2264</v>
      </c>
      <c r="E708" t="s">
        <v>2265</v>
      </c>
      <c r="F708" t="s">
        <v>851</v>
      </c>
      <c r="G708" s="35">
        <v>15.54</v>
      </c>
      <c r="H708" s="33">
        <f>G708*(1-IFERROR(VLOOKUP(F708,'enter the discount'!$D$10:$E$40,2,FALSE),0))</f>
        <v>15.54</v>
      </c>
      <c r="I708" s="35" t="s">
        <v>2609</v>
      </c>
      <c r="J708" s="33" t="s">
        <v>556</v>
      </c>
      <c r="K708" s="33" t="s">
        <v>2749</v>
      </c>
      <c r="L708">
        <v>6</v>
      </c>
      <c r="M708"/>
      <c r="N708" t="s">
        <v>2754</v>
      </c>
      <c r="O708" s="34" t="str">
        <f>HYPERLINK("https://b2b.kobi.pl/pl/product/10647,lampa-ogrodowa-solar-led-spectra-2700k-ip44-led2b?currency=PLN")</f>
        <v>https://b2b.kobi.pl/pl/product/10647,lampa-ogrodowa-solar-led-spectra-2700k-ip44-led2b?currency=PLN</v>
      </c>
      <c r="P708" t="s">
        <v>3</v>
      </c>
      <c r="Q708"/>
    </row>
    <row r="709" spans="1:17" ht="14.4" x14ac:dyDescent="0.3">
      <c r="A709" t="s">
        <v>11</v>
      </c>
      <c r="B709" t="s">
        <v>649</v>
      </c>
      <c r="C709" t="s">
        <v>30</v>
      </c>
      <c r="D709" t="s">
        <v>2266</v>
      </c>
      <c r="E709" t="s">
        <v>2267</v>
      </c>
      <c r="F709" t="s">
        <v>851</v>
      </c>
      <c r="G709" s="35">
        <v>20.420000000000002</v>
      </c>
      <c r="H709" s="33">
        <f>G709*(1-IFERROR(VLOOKUP(F709,'enter the discount'!$D$10:$E$40,2,FALSE),0))</f>
        <v>20.420000000000002</v>
      </c>
      <c r="I709" s="35" t="s">
        <v>2609</v>
      </c>
      <c r="J709" s="33" t="s">
        <v>558</v>
      </c>
      <c r="K709" s="33" t="s">
        <v>2749</v>
      </c>
      <c r="L709">
        <v>24</v>
      </c>
      <c r="M709"/>
      <c r="N709" t="s">
        <v>2754</v>
      </c>
      <c r="O709" s="34" t="str">
        <f>HYPERLINK("https://b2b.kobi.pl/pl/product/10648,slupek-ogrodowy-solar-led-spike-6500k-ip44-led2b?currency=PLN")</f>
        <v>https://b2b.kobi.pl/pl/product/10648,slupek-ogrodowy-solar-led-spike-6500k-ip44-led2b?currency=PLN</v>
      </c>
      <c r="P709" t="s">
        <v>3</v>
      </c>
      <c r="Q709"/>
    </row>
    <row r="710" spans="1:17" ht="14.4" x14ac:dyDescent="0.3">
      <c r="A710" t="s">
        <v>11</v>
      </c>
      <c r="B710" t="s">
        <v>649</v>
      </c>
      <c r="C710" t="s">
        <v>30</v>
      </c>
      <c r="D710" t="s">
        <v>2268</v>
      </c>
      <c r="E710" t="s">
        <v>2269</v>
      </c>
      <c r="F710" t="s">
        <v>851</v>
      </c>
      <c r="G710" s="35">
        <v>20.420000000000002</v>
      </c>
      <c r="H710" s="33">
        <f>G710*(1-IFERROR(VLOOKUP(F710,'enter the discount'!$D$10:$E$40,2,FALSE),0))</f>
        <v>20.420000000000002</v>
      </c>
      <c r="I710" s="35" t="s">
        <v>2609</v>
      </c>
      <c r="J710" s="33" t="s">
        <v>557</v>
      </c>
      <c r="K710" s="33" t="s">
        <v>2750</v>
      </c>
      <c r="L710">
        <v>3</v>
      </c>
      <c r="M710"/>
      <c r="N710" t="s">
        <v>2754</v>
      </c>
      <c r="O710" s="34" t="str">
        <f>HYPERLINK("https://b2b.kobi.pl/pl/product/10649,slupek-ogrodowy-solar-led-sphere-6500k-ip44-10-pak-led2b?currency=PLN")</f>
        <v>https://b2b.kobi.pl/pl/product/10649,slupek-ogrodowy-solar-led-sphere-6500k-ip44-10-pak-led2b?currency=PLN</v>
      </c>
      <c r="P710" t="s">
        <v>3</v>
      </c>
      <c r="Q710"/>
    </row>
    <row r="711" spans="1:17" ht="14.4" x14ac:dyDescent="0.3">
      <c r="A711" t="s">
        <v>11</v>
      </c>
      <c r="B711" t="s">
        <v>649</v>
      </c>
      <c r="C711" t="s">
        <v>30</v>
      </c>
      <c r="D711" t="s">
        <v>2270</v>
      </c>
      <c r="E711" t="s">
        <v>2271</v>
      </c>
      <c r="F711" t="s">
        <v>851</v>
      </c>
      <c r="G711" s="35">
        <v>14.4</v>
      </c>
      <c r="H711" s="33">
        <f>G711*(1-IFERROR(VLOOKUP(F711,'enter the discount'!$D$10:$E$40,2,FALSE),0))</f>
        <v>14.4</v>
      </c>
      <c r="I711" s="35" t="s">
        <v>2609</v>
      </c>
      <c r="J711" s="33" t="s">
        <v>562</v>
      </c>
      <c r="K711" s="33" t="s">
        <v>2749</v>
      </c>
      <c r="L711">
        <v>36</v>
      </c>
      <c r="M711"/>
      <c r="N711" t="s">
        <v>2754</v>
      </c>
      <c r="O711" s="34" t="str">
        <f>HYPERLINK("https://b2b.kobi.pl/pl/product/10651,lampa-ogrodowa-solar-300-led-spark-3000k-ip44-led2b?currency=PLN")</f>
        <v>https://b2b.kobi.pl/pl/product/10651,lampa-ogrodowa-solar-300-led-spark-3000k-ip44-led2b?currency=PLN</v>
      </c>
      <c r="P711" t="s">
        <v>3</v>
      </c>
      <c r="Q711"/>
    </row>
    <row r="712" spans="1:17" ht="14.4" x14ac:dyDescent="0.3">
      <c r="A712" t="s">
        <v>11</v>
      </c>
      <c r="B712" t="s">
        <v>649</v>
      </c>
      <c r="C712" t="s">
        <v>30</v>
      </c>
      <c r="D712" t="s">
        <v>2272</v>
      </c>
      <c r="E712" t="s">
        <v>2273</v>
      </c>
      <c r="F712" t="s">
        <v>851</v>
      </c>
      <c r="G712" s="35">
        <v>9.92</v>
      </c>
      <c r="H712" s="33">
        <f>G712*(1-IFERROR(VLOOKUP(F712,'enter the discount'!$D$10:$E$40,2,FALSE),0))</f>
        <v>9.92</v>
      </c>
      <c r="I712" s="35" t="s">
        <v>2609</v>
      </c>
      <c r="J712" s="33" t="s">
        <v>559</v>
      </c>
      <c r="K712" s="33" t="s">
        <v>2749</v>
      </c>
      <c r="L712">
        <v>40</v>
      </c>
      <c r="M712"/>
      <c r="N712" t="s">
        <v>2754</v>
      </c>
      <c r="O712" s="34" t="str">
        <f>HYPERLINK("https://b2b.kobi.pl/pl/product/10652,lampa-solarna-solar-10-led-starlight-6000k-led2b?currency=PLN")</f>
        <v>https://b2b.kobi.pl/pl/product/10652,lampa-solarna-solar-10-led-starlight-6000k-led2b?currency=PLN</v>
      </c>
      <c r="P712" t="s">
        <v>3</v>
      </c>
      <c r="Q712"/>
    </row>
    <row r="713" spans="1:17" ht="14.4" x14ac:dyDescent="0.3">
      <c r="A713" t="s">
        <v>11</v>
      </c>
      <c r="B713" t="s">
        <v>649</v>
      </c>
      <c r="C713" t="s">
        <v>30</v>
      </c>
      <c r="D713" t="s">
        <v>2274</v>
      </c>
      <c r="E713" t="s">
        <v>2275</v>
      </c>
      <c r="F713" t="s">
        <v>851</v>
      </c>
      <c r="G713" s="35">
        <v>14.07</v>
      </c>
      <c r="H713" s="33">
        <f>G713*(1-IFERROR(VLOOKUP(F713,'enter the discount'!$D$10:$E$40,2,FALSE),0))</f>
        <v>14.07</v>
      </c>
      <c r="I713" s="35" t="s">
        <v>2609</v>
      </c>
      <c r="J713" s="33" t="s">
        <v>560</v>
      </c>
      <c r="K713" s="33" t="s">
        <v>2749</v>
      </c>
      <c r="L713">
        <v>20</v>
      </c>
      <c r="M713"/>
      <c r="N713" t="s">
        <v>2754</v>
      </c>
      <c r="O713" s="34" t="str">
        <f>HYPERLINK("https://b2b.kobi.pl/pl/product/10653,lampa-solarna-solar-20-led-starlight-3000k-led2b?currency=PLN")</f>
        <v>https://b2b.kobi.pl/pl/product/10653,lampa-solarna-solar-20-led-starlight-3000k-led2b?currency=PLN</v>
      </c>
      <c r="P713" t="s">
        <v>3</v>
      </c>
      <c r="Q713"/>
    </row>
    <row r="714" spans="1:17" ht="14.4" x14ac:dyDescent="0.3">
      <c r="A714" t="s">
        <v>11</v>
      </c>
      <c r="B714" t="s">
        <v>649</v>
      </c>
      <c r="C714" t="s">
        <v>30</v>
      </c>
      <c r="D714" t="s">
        <v>2276</v>
      </c>
      <c r="E714" t="s">
        <v>2277</v>
      </c>
      <c r="F714" t="s">
        <v>851</v>
      </c>
      <c r="G714" s="35">
        <v>15.21</v>
      </c>
      <c r="H714" s="33">
        <f>G714*(1-IFERROR(VLOOKUP(F714,'enter the discount'!$D$10:$E$40,2,FALSE),0))</f>
        <v>15.21</v>
      </c>
      <c r="I714" s="35" t="s">
        <v>2609</v>
      </c>
      <c r="J714" s="33" t="s">
        <v>561</v>
      </c>
      <c r="K714" s="33" t="s">
        <v>2749</v>
      </c>
      <c r="L714">
        <v>18</v>
      </c>
      <c r="M714"/>
      <c r="N714" t="s">
        <v>2754</v>
      </c>
      <c r="O714" s="34" t="str">
        <f>HYPERLINK("https://b2b.kobi.pl/pl/product/10654,lampa-solarna-solar-30-led-starlight-3000k-led2b?currency=PLN")</f>
        <v>https://b2b.kobi.pl/pl/product/10654,lampa-solarna-solar-30-led-starlight-3000k-led2b?currency=PLN</v>
      </c>
      <c r="P714" t="s">
        <v>3</v>
      </c>
      <c r="Q714"/>
    </row>
    <row r="715" spans="1:17" ht="14.4" x14ac:dyDescent="0.3">
      <c r="A715" t="s">
        <v>11</v>
      </c>
      <c r="B715" t="s">
        <v>649</v>
      </c>
      <c r="C715" t="s">
        <v>30</v>
      </c>
      <c r="D715" t="s">
        <v>2278</v>
      </c>
      <c r="E715" t="s">
        <v>2279</v>
      </c>
      <c r="F715" t="s">
        <v>851</v>
      </c>
      <c r="G715" s="35">
        <v>21.63</v>
      </c>
      <c r="H715" s="33">
        <f>G715*(1-IFERROR(VLOOKUP(F715,'enter the discount'!$D$10:$E$40,2,FALSE),0))</f>
        <v>21.63</v>
      </c>
      <c r="I715" s="35" t="s">
        <v>2609</v>
      </c>
      <c r="J715" s="33" t="s">
        <v>563</v>
      </c>
      <c r="K715" s="33" t="s">
        <v>2749</v>
      </c>
      <c r="L715">
        <v>36</v>
      </c>
      <c r="M715"/>
      <c r="N715" t="s">
        <v>2754</v>
      </c>
      <c r="O715" s="34" t="str">
        <f>HYPERLINK("https://b2b.kobi.pl/pl/product/10655,lampa-ogrodowa-solar-led-sway-6000k-ip44-led2b?currency=PLN")</f>
        <v>https://b2b.kobi.pl/pl/product/10655,lampa-ogrodowa-solar-led-sway-6000k-ip44-led2b?currency=PLN</v>
      </c>
      <c r="P715" t="s">
        <v>3</v>
      </c>
      <c r="Q715"/>
    </row>
    <row r="716" spans="1:17" ht="14.4" x14ac:dyDescent="0.3">
      <c r="A716" t="s">
        <v>11</v>
      </c>
      <c r="B716" t="s">
        <v>649</v>
      </c>
      <c r="C716" t="s">
        <v>30</v>
      </c>
      <c r="D716" t="s">
        <v>2280</v>
      </c>
      <c r="E716" t="s">
        <v>2281</v>
      </c>
      <c r="F716" t="s">
        <v>851</v>
      </c>
      <c r="G716" s="35">
        <v>12.35</v>
      </c>
      <c r="H716" s="33">
        <f>G716*(1-IFERROR(VLOOKUP(F716,'enter the discount'!$D$10:$E$40,2,FALSE),0))</f>
        <v>12.35</v>
      </c>
      <c r="I716" s="35" t="s">
        <v>2609</v>
      </c>
      <c r="J716" s="33" t="s">
        <v>578</v>
      </c>
      <c r="K716" s="33" t="s">
        <v>2750</v>
      </c>
      <c r="L716">
        <v>24</v>
      </c>
      <c r="M716"/>
      <c r="N716" t="s">
        <v>2754</v>
      </c>
      <c r="O716" s="34" t="str">
        <f>HYPERLINK("https://b2b.kobi.pl/pl/product/10656,slupek-ogrodowy-solar-led-zen-6000k-ip44-10-pak-led2b?currency=PLN")</f>
        <v>https://b2b.kobi.pl/pl/product/10656,slupek-ogrodowy-solar-led-zen-6000k-ip44-10-pak-led2b?currency=PLN</v>
      </c>
      <c r="P716" t="s">
        <v>3</v>
      </c>
      <c r="Q716"/>
    </row>
    <row r="717" spans="1:17" ht="14.4" x14ac:dyDescent="0.3">
      <c r="A717" t="s">
        <v>11</v>
      </c>
      <c r="B717" t="s">
        <v>649</v>
      </c>
      <c r="C717" t="s">
        <v>30</v>
      </c>
      <c r="D717" t="s">
        <v>2282</v>
      </c>
      <c r="E717" t="s">
        <v>2283</v>
      </c>
      <c r="F717" t="s">
        <v>851</v>
      </c>
      <c r="G717" s="35">
        <v>47.59</v>
      </c>
      <c r="H717" s="33">
        <f>G717*(1-IFERROR(VLOOKUP(F717,'enter the discount'!$D$10:$E$40,2,FALSE),0))</f>
        <v>47.59</v>
      </c>
      <c r="I717" s="35" t="s">
        <v>2609</v>
      </c>
      <c r="J717" s="33" t="s">
        <v>2679</v>
      </c>
      <c r="K717" s="33" t="s">
        <v>2749</v>
      </c>
      <c r="L717">
        <v>5</v>
      </c>
      <c r="M717"/>
      <c r="N717" t="s">
        <v>2754</v>
      </c>
      <c r="O717" s="34" t="str">
        <f>HYPERLINK("https://b2b.kobi.pl/pl/product/12124,oprawa-drogowa-z-czujnikiem-ruchu-solar-led-urbi-8w-6500k-ip54-led2b?currency=PLN")</f>
        <v>https://b2b.kobi.pl/pl/product/12124,oprawa-drogowa-z-czujnikiem-ruchu-solar-led-urbi-8w-6500k-ip54-led2b?currency=PLN</v>
      </c>
      <c r="P717" t="s">
        <v>3</v>
      </c>
      <c r="Q717"/>
    </row>
    <row r="718" spans="1:17" ht="14.4" x14ac:dyDescent="0.3">
      <c r="A718" t="s">
        <v>11</v>
      </c>
      <c r="B718" t="s">
        <v>649</v>
      </c>
      <c r="C718" t="s">
        <v>30</v>
      </c>
      <c r="D718" t="s">
        <v>2284</v>
      </c>
      <c r="E718" t="s">
        <v>2285</v>
      </c>
      <c r="F718" t="s">
        <v>851</v>
      </c>
      <c r="G718" s="35">
        <v>69.28</v>
      </c>
      <c r="H718" s="33">
        <f>G718*(1-IFERROR(VLOOKUP(F718,'enter the discount'!$D$10:$E$40,2,FALSE),0))</f>
        <v>69.28</v>
      </c>
      <c r="I718" s="35" t="s">
        <v>2609</v>
      </c>
      <c r="J718" s="33" t="s">
        <v>2680</v>
      </c>
      <c r="K718" s="33" t="s">
        <v>2749</v>
      </c>
      <c r="L718">
        <v>5</v>
      </c>
      <c r="M718"/>
      <c r="N718" t="s">
        <v>2754</v>
      </c>
      <c r="O718" s="34" t="str">
        <f>HYPERLINK("https://b2b.kobi.pl/pl/product/12125,oprawa-drogowa-solar-led-urbi-11w-6500k-ip54-led2b?currency=PLN")</f>
        <v>https://b2b.kobi.pl/pl/product/12125,oprawa-drogowa-solar-led-urbi-11w-6500k-ip54-led2b?currency=PLN</v>
      </c>
      <c r="P718" t="s">
        <v>3</v>
      </c>
      <c r="Q718"/>
    </row>
    <row r="719" spans="1:17" ht="14.4" x14ac:dyDescent="0.3">
      <c r="A719" t="s">
        <v>11</v>
      </c>
      <c r="B719" t="s">
        <v>649</v>
      </c>
      <c r="C719" t="s">
        <v>30</v>
      </c>
      <c r="D719" t="s">
        <v>2286</v>
      </c>
      <c r="E719" t="s">
        <v>2287</v>
      </c>
      <c r="F719" t="s">
        <v>851</v>
      </c>
      <c r="G719" s="35">
        <v>65.66</v>
      </c>
      <c r="H719" s="33">
        <f>G719*(1-IFERROR(VLOOKUP(F719,'enter the discount'!$D$10:$E$40,2,FALSE),0))</f>
        <v>65.66</v>
      </c>
      <c r="I719" s="35" t="s">
        <v>2609</v>
      </c>
      <c r="J719" s="33" t="s">
        <v>2681</v>
      </c>
      <c r="K719" s="33" t="s">
        <v>2749</v>
      </c>
      <c r="L719">
        <v>5</v>
      </c>
      <c r="M719"/>
      <c r="N719" t="s">
        <v>2754</v>
      </c>
      <c r="O719" s="34" t="str">
        <f>HYPERLINK("https://b2b.kobi.pl/pl/product/12127,oprawa-parkowa-solar-led-luvia-15w-6500k-ip54-led2b?currency=PLN")</f>
        <v>https://b2b.kobi.pl/pl/product/12127,oprawa-parkowa-solar-led-luvia-15w-6500k-ip54-led2b?currency=PLN</v>
      </c>
      <c r="P719" t="s">
        <v>3</v>
      </c>
      <c r="Q719"/>
    </row>
    <row r="720" spans="1:17" ht="14.4" x14ac:dyDescent="0.3">
      <c r="A720" t="s">
        <v>11</v>
      </c>
      <c r="B720" t="s">
        <v>649</v>
      </c>
      <c r="C720" t="s">
        <v>30</v>
      </c>
      <c r="D720" t="s">
        <v>2288</v>
      </c>
      <c r="E720" t="s">
        <v>2289</v>
      </c>
      <c r="F720" t="s">
        <v>851</v>
      </c>
      <c r="G720" s="35">
        <v>27.65</v>
      </c>
      <c r="H720" s="33">
        <f>G720*(1-IFERROR(VLOOKUP(F720,'enter the discount'!$D$10:$E$40,2,FALSE),0))</f>
        <v>27.65</v>
      </c>
      <c r="I720" s="35" t="s">
        <v>2609</v>
      </c>
      <c r="J720" s="33" t="s">
        <v>2682</v>
      </c>
      <c r="K720" s="33" t="s">
        <v>2749</v>
      </c>
      <c r="L720">
        <v>24</v>
      </c>
      <c r="M720"/>
      <c r="N720" t="s">
        <v>2754</v>
      </c>
      <c r="O720" s="34" t="str">
        <f>HYPERLINK("https://b2b.kobi.pl/pl/product/12130,naswietlacz-z-czujnikiem-ruchu-solar-led-glow-g2-2-5w-6000k-led2b?currency=PLN")</f>
        <v>https://b2b.kobi.pl/pl/product/12130,naswietlacz-z-czujnikiem-ruchu-solar-led-glow-g2-2-5w-6000k-led2b?currency=PLN</v>
      </c>
      <c r="P720" t="s">
        <v>3</v>
      </c>
      <c r="Q720"/>
    </row>
    <row r="721" spans="1:17" ht="14.4" x14ac:dyDescent="0.3">
      <c r="A721" t="s">
        <v>11</v>
      </c>
      <c r="B721" t="s">
        <v>649</v>
      </c>
      <c r="C721" t="s">
        <v>910</v>
      </c>
      <c r="D721" t="s">
        <v>2290</v>
      </c>
      <c r="E721" t="s">
        <v>2291</v>
      </c>
      <c r="F721" t="s">
        <v>851</v>
      </c>
      <c r="G721" s="35">
        <v>89.76</v>
      </c>
      <c r="H721" s="33">
        <f>G721*(1-IFERROR(VLOOKUP(F721,'enter the discount'!$D$10:$E$40,2,FALSE),0))</f>
        <v>89.76</v>
      </c>
      <c r="I721" s="35" t="s">
        <v>2609</v>
      </c>
      <c r="J721" s="33" t="s">
        <v>2683</v>
      </c>
      <c r="K721" s="33" t="s">
        <v>2749</v>
      </c>
      <c r="L721">
        <v>1</v>
      </c>
      <c r="M721"/>
      <c r="N721" t="s">
        <v>2754</v>
      </c>
      <c r="O721" s="34" t="str">
        <f>HYPERLINK("https://b2b.kobi.pl/pl/product/12131,oprawa-drogowa-solar-led-solit-11w-4000k-ip54-kobi?currency=PLN")</f>
        <v>https://b2b.kobi.pl/pl/product/12131,oprawa-drogowa-solar-led-solit-11w-4000k-ip54-kobi?currency=PLN</v>
      </c>
      <c r="P721" t="s">
        <v>3</v>
      </c>
      <c r="Q721"/>
    </row>
    <row r="722" spans="1:17" ht="14.4" x14ac:dyDescent="0.3">
      <c r="A722" t="s">
        <v>11</v>
      </c>
      <c r="B722" t="s">
        <v>649</v>
      </c>
      <c r="C722" t="s">
        <v>30</v>
      </c>
      <c r="D722" t="s">
        <v>2292</v>
      </c>
      <c r="E722" t="s">
        <v>2293</v>
      </c>
      <c r="F722" t="s">
        <v>851</v>
      </c>
      <c r="G722" s="35">
        <v>18.37</v>
      </c>
      <c r="H722" s="33">
        <f>G722*(1-IFERROR(VLOOKUP(F722,'enter the discount'!$D$10:$E$40,2,FALSE),0))</f>
        <v>18.37</v>
      </c>
      <c r="I722" s="35" t="s">
        <v>2609</v>
      </c>
      <c r="J722" s="33" t="s">
        <v>2684</v>
      </c>
      <c r="K722" s="33" t="s">
        <v>2749</v>
      </c>
      <c r="L722">
        <v>6</v>
      </c>
      <c r="M722"/>
      <c r="N722" t="s">
        <v>2754</v>
      </c>
      <c r="O722" s="34" t="str">
        <f>HYPERLINK("https://b2b.kobi.pl/pl/product/12132,lampa-ogrodowa-solar-led-sphere-0-12w-rgb-led2b-6x?currency=PLN")</f>
        <v>https://b2b.kobi.pl/pl/product/12132,lampa-ogrodowa-solar-led-sphere-0-12w-rgb-led2b-6x?currency=PLN</v>
      </c>
      <c r="P722" t="s">
        <v>3</v>
      </c>
      <c r="Q722"/>
    </row>
    <row r="723" spans="1:17" ht="14.4" x14ac:dyDescent="0.3">
      <c r="A723" t="s">
        <v>11</v>
      </c>
      <c r="B723" t="s">
        <v>649</v>
      </c>
      <c r="C723" t="s">
        <v>1875</v>
      </c>
      <c r="D723" t="s">
        <v>2294</v>
      </c>
      <c r="E723" t="s">
        <v>2295</v>
      </c>
      <c r="F723" t="s">
        <v>851</v>
      </c>
      <c r="G723" s="35">
        <v>37.65</v>
      </c>
      <c r="H723" s="33">
        <f>G723*(1-IFERROR(VLOOKUP(F723,'enter the discount'!$D$10:$E$40,2,FALSE),0))</f>
        <v>37.65</v>
      </c>
      <c r="I723" s="35" t="s">
        <v>2609</v>
      </c>
      <c r="J723" s="33" t="s">
        <v>2685</v>
      </c>
      <c r="K723" s="33" t="s">
        <v>2749</v>
      </c>
      <c r="L723">
        <v>8</v>
      </c>
      <c r="M723"/>
      <c r="N723" t="s">
        <v>2754</v>
      </c>
      <c r="O723" s="34" t="str">
        <f>HYPERLINK("https://b2b.kobi.pl/pl/product/12133,lampa-ogrodowa-solar-led-garden-ball-30cm-3000k-rgb-kobi-design?currency=PLN")</f>
        <v>https://b2b.kobi.pl/pl/product/12133,lampa-ogrodowa-solar-led-garden-ball-30cm-3000k-rgb-kobi-design?currency=PLN</v>
      </c>
      <c r="P723" t="s">
        <v>3</v>
      </c>
      <c r="Q723"/>
    </row>
    <row r="724" spans="1:17" ht="14.4" x14ac:dyDescent="0.3">
      <c r="A724" t="s">
        <v>11</v>
      </c>
      <c r="B724" t="s">
        <v>649</v>
      </c>
      <c r="C724" t="s">
        <v>1875</v>
      </c>
      <c r="D724" t="s">
        <v>2296</v>
      </c>
      <c r="E724" t="s">
        <v>2297</v>
      </c>
      <c r="F724" t="s">
        <v>851</v>
      </c>
      <c r="G724" s="35">
        <v>59.94</v>
      </c>
      <c r="H724" s="33">
        <f>G724*(1-IFERROR(VLOOKUP(F724,'enter the discount'!$D$10:$E$40,2,FALSE),0))</f>
        <v>59.94</v>
      </c>
      <c r="I724" s="35" t="s">
        <v>2609</v>
      </c>
      <c r="J724" s="33" t="s">
        <v>2686</v>
      </c>
      <c r="K724" s="33" t="s">
        <v>2749</v>
      </c>
      <c r="L724">
        <v>8</v>
      </c>
      <c r="M724"/>
      <c r="N724" t="s">
        <v>2754</v>
      </c>
      <c r="O724" s="34" t="str">
        <f>HYPERLINK("https://b2b.kobi.pl/pl/product/12134,lampa-ogrodowa-solar-led-garden-ball-40cm-3000k-rgb-kobi-design?currency=PLN")</f>
        <v>https://b2b.kobi.pl/pl/product/12134,lampa-ogrodowa-solar-led-garden-ball-40cm-3000k-rgb-kobi-design?currency=PLN</v>
      </c>
      <c r="P724" t="s">
        <v>3</v>
      </c>
      <c r="Q724"/>
    </row>
    <row r="725" spans="1:17" ht="14.4" x14ac:dyDescent="0.3">
      <c r="A725" t="s">
        <v>2056</v>
      </c>
      <c r="B725" t="s">
        <v>2298</v>
      </c>
      <c r="C725" t="s">
        <v>885</v>
      </c>
      <c r="D725" t="s">
        <v>2299</v>
      </c>
      <c r="E725" t="s">
        <v>2300</v>
      </c>
      <c r="F725" t="s">
        <v>856</v>
      </c>
      <c r="G725" s="35">
        <v>11.69</v>
      </c>
      <c r="H725" s="33">
        <f>G725*(1-IFERROR(VLOOKUP(F725,'enter the discount'!$D$10:$E$40,2,FALSE),0))</f>
        <v>11.69</v>
      </c>
      <c r="I725" s="35" t="s">
        <v>2609</v>
      </c>
      <c r="J725" s="33" t="s">
        <v>292</v>
      </c>
      <c r="K725" s="33" t="s">
        <v>2749</v>
      </c>
      <c r="L725">
        <v>100</v>
      </c>
      <c r="M725"/>
      <c r="N725" t="s">
        <v>2755</v>
      </c>
      <c r="O725" s="34" t="str">
        <f>HYPERLINK("https://b2b.kobi.pl/pl/product/10671,czujnik-ruchu-lx01-160-pir-bialy-kobi-premium?currency=PLN")</f>
        <v>https://b2b.kobi.pl/pl/product/10671,czujnik-ruchu-lx01-160-pir-bialy-kobi-premium?currency=PLN</v>
      </c>
      <c r="P725" t="s">
        <v>3</v>
      </c>
      <c r="Q725"/>
    </row>
    <row r="726" spans="1:17" ht="14.4" x14ac:dyDescent="0.3">
      <c r="A726" t="s">
        <v>2056</v>
      </c>
      <c r="B726" t="s">
        <v>2298</v>
      </c>
      <c r="C726" t="s">
        <v>885</v>
      </c>
      <c r="D726" t="s">
        <v>2301</v>
      </c>
      <c r="E726" t="s">
        <v>2302</v>
      </c>
      <c r="F726" t="s">
        <v>856</v>
      </c>
      <c r="G726" s="35">
        <v>11.72</v>
      </c>
      <c r="H726" s="33">
        <f>G726*(1-IFERROR(VLOOKUP(F726,'enter the discount'!$D$10:$E$40,2,FALSE),0))</f>
        <v>11.72</v>
      </c>
      <c r="I726" s="35" t="s">
        <v>2609</v>
      </c>
      <c r="J726" s="33" t="s">
        <v>293</v>
      </c>
      <c r="K726" s="33" t="s">
        <v>2749</v>
      </c>
      <c r="L726">
        <v>50</v>
      </c>
      <c r="M726"/>
      <c r="N726" t="s">
        <v>2755</v>
      </c>
      <c r="O726" s="34" t="str">
        <f>HYPERLINK("https://b2b.kobi.pl/pl/product/10672,czujnik-ruchu-lx06-360-pir-kobi-premium?currency=PLN")</f>
        <v>https://b2b.kobi.pl/pl/product/10672,czujnik-ruchu-lx06-360-pir-kobi-premium?currency=PLN</v>
      </c>
      <c r="P726" t="s">
        <v>3</v>
      </c>
      <c r="Q726"/>
    </row>
    <row r="727" spans="1:17" ht="14.4" x14ac:dyDescent="0.3">
      <c r="A727" t="s">
        <v>2056</v>
      </c>
      <c r="B727" t="s">
        <v>2298</v>
      </c>
      <c r="C727" t="s">
        <v>885</v>
      </c>
      <c r="D727" t="s">
        <v>2303</v>
      </c>
      <c r="E727" t="s">
        <v>2304</v>
      </c>
      <c r="F727" t="s">
        <v>856</v>
      </c>
      <c r="G727" s="35">
        <v>9.2100000000000009</v>
      </c>
      <c r="H727" s="33">
        <f>G727*(1-IFERROR(VLOOKUP(F727,'enter the discount'!$D$10:$E$40,2,FALSE),0))</f>
        <v>9.2100000000000009</v>
      </c>
      <c r="I727" s="35" t="s">
        <v>2609</v>
      </c>
      <c r="J727" s="33" t="s">
        <v>294</v>
      </c>
      <c r="K727" s="33" t="s">
        <v>2749</v>
      </c>
      <c r="L727">
        <v>50</v>
      </c>
      <c r="M727">
        <v>1400</v>
      </c>
      <c r="N727" t="s">
        <v>2755</v>
      </c>
      <c r="O727" s="34" t="str">
        <f>HYPERLINK("https://b2b.kobi.pl/pl/product/10674,czujnik-ruchu-lx39-ip44-180-pir-bialy-kobi-premium?currency=PLN")</f>
        <v>https://b2b.kobi.pl/pl/product/10674,czujnik-ruchu-lx39-ip44-180-pir-bialy-kobi-premium?currency=PLN</v>
      </c>
      <c r="P727" t="s">
        <v>3</v>
      </c>
      <c r="Q727"/>
    </row>
    <row r="728" spans="1:17" ht="14.4" x14ac:dyDescent="0.3">
      <c r="A728" t="s">
        <v>2056</v>
      </c>
      <c r="B728" t="s">
        <v>2298</v>
      </c>
      <c r="C728" t="s">
        <v>885</v>
      </c>
      <c r="D728" t="s">
        <v>2305</v>
      </c>
      <c r="E728" t="s">
        <v>2306</v>
      </c>
      <c r="F728" t="s">
        <v>856</v>
      </c>
      <c r="G728" s="35">
        <v>9.2100000000000009</v>
      </c>
      <c r="H728" s="33">
        <f>G728*(1-IFERROR(VLOOKUP(F728,'enter the discount'!$D$10:$E$40,2,FALSE),0))</f>
        <v>9.2100000000000009</v>
      </c>
      <c r="I728" s="35" t="s">
        <v>2609</v>
      </c>
      <c r="J728" s="33" t="s">
        <v>295</v>
      </c>
      <c r="K728" s="33" t="s">
        <v>2749</v>
      </c>
      <c r="L728">
        <v>50</v>
      </c>
      <c r="M728"/>
      <c r="N728" t="s">
        <v>2755</v>
      </c>
      <c r="O728" s="34" t="str">
        <f>HYPERLINK("https://b2b.kobi.pl/pl/product/10675,czujnik-ruchu-lx39-ip44-180-pir-czarny-kobi-premium?currency=PLN")</f>
        <v>https://b2b.kobi.pl/pl/product/10675,czujnik-ruchu-lx39-ip44-180-pir-czarny-kobi-premium?currency=PLN</v>
      </c>
      <c r="P728" t="s">
        <v>3</v>
      </c>
      <c r="Q728"/>
    </row>
    <row r="729" spans="1:17" ht="14.4" x14ac:dyDescent="0.3">
      <c r="A729" t="s">
        <v>2056</v>
      </c>
      <c r="B729" t="s">
        <v>2298</v>
      </c>
      <c r="C729" t="s">
        <v>885</v>
      </c>
      <c r="D729" t="s">
        <v>2307</v>
      </c>
      <c r="E729" t="s">
        <v>2308</v>
      </c>
      <c r="F729" t="s">
        <v>856</v>
      </c>
      <c r="G729" s="35">
        <v>11.08</v>
      </c>
      <c r="H729" s="33">
        <f>G729*(1-IFERROR(VLOOKUP(F729,'enter the discount'!$D$10:$E$40,2,FALSE),0))</f>
        <v>11.08</v>
      </c>
      <c r="I729" s="35" t="s">
        <v>2609</v>
      </c>
      <c r="J729" s="33" t="s">
        <v>296</v>
      </c>
      <c r="K729" s="33" t="s">
        <v>2749</v>
      </c>
      <c r="L729">
        <v>50</v>
      </c>
      <c r="M729"/>
      <c r="N729" t="s">
        <v>2755</v>
      </c>
      <c r="O729" s="34" t="str">
        <f>HYPERLINK("https://b2b.kobi.pl/pl/product/10676,czujnik-ruchu-lx40-ip44-180-pir-bialy-kobi-premium?currency=PLN")</f>
        <v>https://b2b.kobi.pl/pl/product/10676,czujnik-ruchu-lx40-ip44-180-pir-bialy-kobi-premium?currency=PLN</v>
      </c>
      <c r="P729" t="s">
        <v>3</v>
      </c>
      <c r="Q729"/>
    </row>
    <row r="730" spans="1:17" ht="14.4" x14ac:dyDescent="0.3">
      <c r="A730" t="s">
        <v>2056</v>
      </c>
      <c r="B730" t="s">
        <v>2298</v>
      </c>
      <c r="C730" t="s">
        <v>885</v>
      </c>
      <c r="D730" t="s">
        <v>2309</v>
      </c>
      <c r="E730" t="s">
        <v>2310</v>
      </c>
      <c r="F730" t="s">
        <v>856</v>
      </c>
      <c r="G730" s="35">
        <v>11.08</v>
      </c>
      <c r="H730" s="33">
        <f>G730*(1-IFERROR(VLOOKUP(F730,'enter the discount'!$D$10:$E$40,2,FALSE),0))</f>
        <v>11.08</v>
      </c>
      <c r="I730" s="35" t="s">
        <v>2609</v>
      </c>
      <c r="J730" s="33" t="s">
        <v>297</v>
      </c>
      <c r="K730" s="33" t="s">
        <v>2749</v>
      </c>
      <c r="L730">
        <v>50</v>
      </c>
      <c r="M730"/>
      <c r="N730" t="s">
        <v>2755</v>
      </c>
      <c r="O730" s="34" t="str">
        <f>HYPERLINK("https://b2b.kobi.pl/pl/product/10677,czujnik-ruchu-lx40-ip44-180-pir-czarny-kobi-premium?currency=PLN")</f>
        <v>https://b2b.kobi.pl/pl/product/10677,czujnik-ruchu-lx40-ip44-180-pir-czarny-kobi-premium?currency=PLN</v>
      </c>
      <c r="P730" t="s">
        <v>3</v>
      </c>
      <c r="Q730"/>
    </row>
    <row r="731" spans="1:17" ht="14.4" x14ac:dyDescent="0.3">
      <c r="A731" t="s">
        <v>2056</v>
      </c>
      <c r="B731" t="s">
        <v>2298</v>
      </c>
      <c r="C731" t="s">
        <v>885</v>
      </c>
      <c r="D731" t="s">
        <v>2311</v>
      </c>
      <c r="E731" t="s">
        <v>2312</v>
      </c>
      <c r="F731" t="s">
        <v>856</v>
      </c>
      <c r="G731" s="35">
        <v>12.05</v>
      </c>
      <c r="H731" s="33">
        <f>G731*(1-IFERROR(VLOOKUP(F731,'enter the discount'!$D$10:$E$40,2,FALSE),0))</f>
        <v>12.05</v>
      </c>
      <c r="I731" s="35" t="s">
        <v>2609</v>
      </c>
      <c r="J731" s="33" t="s">
        <v>298</v>
      </c>
      <c r="K731" s="33" t="s">
        <v>2749</v>
      </c>
      <c r="L731">
        <v>50</v>
      </c>
      <c r="M731"/>
      <c r="N731" t="s">
        <v>2755</v>
      </c>
      <c r="O731" s="34" t="str">
        <f>HYPERLINK("https://b2b.kobi.pl/pl/product/10678,czujnik-ruchu-lx41-360-pir-bialy-kobi-premium?currency=PLN")</f>
        <v>https://b2b.kobi.pl/pl/product/10678,czujnik-ruchu-lx41-360-pir-bialy-kobi-premium?currency=PLN</v>
      </c>
      <c r="P731" t="s">
        <v>3</v>
      </c>
      <c r="Q731"/>
    </row>
    <row r="732" spans="1:17" ht="14.4" x14ac:dyDescent="0.3">
      <c r="A732" t="s">
        <v>2056</v>
      </c>
      <c r="B732" t="s">
        <v>2298</v>
      </c>
      <c r="C732" t="s">
        <v>885</v>
      </c>
      <c r="D732" t="s">
        <v>2313</v>
      </c>
      <c r="E732" t="s">
        <v>2314</v>
      </c>
      <c r="F732" t="s">
        <v>856</v>
      </c>
      <c r="G732" s="35">
        <v>11.18</v>
      </c>
      <c r="H732" s="33">
        <f>G732*(1-IFERROR(VLOOKUP(F732,'enter the discount'!$D$10:$E$40,2,FALSE),0))</f>
        <v>11.18</v>
      </c>
      <c r="I732" s="35" t="s">
        <v>2609</v>
      </c>
      <c r="J732" s="33" t="s">
        <v>299</v>
      </c>
      <c r="K732" s="33" t="s">
        <v>2749</v>
      </c>
      <c r="L732">
        <v>100</v>
      </c>
      <c r="M732"/>
      <c r="N732" t="s">
        <v>2755</v>
      </c>
      <c r="O732" s="34" t="str">
        <f>HYPERLINK("https://b2b.kobi.pl/pl/product/10679,czujnik-ruchu-lx42-360-pir-kobi-premium?currency=PLN")</f>
        <v>https://b2b.kobi.pl/pl/product/10679,czujnik-ruchu-lx42-360-pir-kobi-premium?currency=PLN</v>
      </c>
      <c r="P732" t="s">
        <v>3</v>
      </c>
      <c r="Q732"/>
    </row>
    <row r="733" spans="1:17" ht="14.4" x14ac:dyDescent="0.3">
      <c r="A733" t="s">
        <v>2056</v>
      </c>
      <c r="B733" t="s">
        <v>2298</v>
      </c>
      <c r="C733" t="s">
        <v>1258</v>
      </c>
      <c r="D733" t="s">
        <v>2315</v>
      </c>
      <c r="E733" t="s">
        <v>2316</v>
      </c>
      <c r="F733" t="s">
        <v>856</v>
      </c>
      <c r="G733" s="35">
        <v>13.98</v>
      </c>
      <c r="H733" s="33">
        <f>G733*(1-IFERROR(VLOOKUP(F733,'enter the discount'!$D$10:$E$40,2,FALSE),0))</f>
        <v>13.98</v>
      </c>
      <c r="I733" s="35" t="s">
        <v>2609</v>
      </c>
      <c r="J733" s="33" t="s">
        <v>291</v>
      </c>
      <c r="K733" s="33" t="s">
        <v>2749</v>
      </c>
      <c r="L733">
        <v>100</v>
      </c>
      <c r="M733">
        <v>5600</v>
      </c>
      <c r="N733" t="s">
        <v>2756</v>
      </c>
      <c r="O733" s="34" t="str">
        <f>HYPERLINK("https://b2b.kobi.pl/pl/product/10681,czujnik-ruchu-lx701-360-mic-kobi-pro?currency=PLN")</f>
        <v>https://b2b.kobi.pl/pl/product/10681,czujnik-ruchu-lx701-360-mic-kobi-pro?currency=PLN</v>
      </c>
      <c r="P733" t="s">
        <v>3</v>
      </c>
      <c r="Q733"/>
    </row>
    <row r="734" spans="1:17" ht="14.4" x14ac:dyDescent="0.3">
      <c r="A734" t="s">
        <v>2056</v>
      </c>
      <c r="B734" t="s">
        <v>2298</v>
      </c>
      <c r="C734" t="s">
        <v>1258</v>
      </c>
      <c r="D734" t="s">
        <v>2762</v>
      </c>
      <c r="E734" t="s">
        <v>2317</v>
      </c>
      <c r="F734" t="s">
        <v>856</v>
      </c>
      <c r="G734" s="35">
        <v>52.53</v>
      </c>
      <c r="H734" s="33">
        <f>G734*(1-IFERROR(VLOOKUP(F734,'enter the discount'!$D$10:$E$40,2,FALSE),0))</f>
        <v>52.53</v>
      </c>
      <c r="I734" s="35" t="s">
        <v>2609</v>
      </c>
      <c r="J734" s="33" t="s">
        <v>599</v>
      </c>
      <c r="K734" s="33" t="s">
        <v>2749</v>
      </c>
      <c r="L734">
        <v>1</v>
      </c>
      <c r="M734"/>
      <c r="N734" t="s">
        <v>2754</v>
      </c>
      <c r="O734" s="34" t="str">
        <f>HYPERLINK("https://b2b.kobi.pl/pl/product/10682,pilot-do-czujnika-ruchu-zhaga-hd05r?currency=PLN")</f>
        <v>https://b2b.kobi.pl/pl/product/10682,pilot-do-czujnika-ruchu-zhaga-hd05r?currency=PLN</v>
      </c>
      <c r="P734" t="s">
        <v>3</v>
      </c>
      <c r="Q734"/>
    </row>
    <row r="735" spans="1:17" ht="14.4" x14ac:dyDescent="0.3">
      <c r="A735" t="s">
        <v>2056</v>
      </c>
      <c r="B735" t="s">
        <v>2298</v>
      </c>
      <c r="C735" t="s">
        <v>910</v>
      </c>
      <c r="D735" t="s">
        <v>2763</v>
      </c>
      <c r="E735" t="s">
        <v>2318</v>
      </c>
      <c r="F735" t="s">
        <v>856</v>
      </c>
      <c r="G735" s="35">
        <v>26.51</v>
      </c>
      <c r="H735" s="33">
        <f>G735*(1-IFERROR(VLOOKUP(F735,'enter the discount'!$D$10:$E$40,2,FALSE),0))</f>
        <v>26.51</v>
      </c>
      <c r="I735" s="35" t="s">
        <v>2609</v>
      </c>
      <c r="J735" s="33" t="s">
        <v>579</v>
      </c>
      <c r="K735" s="33" t="s">
        <v>2749</v>
      </c>
      <c r="L735">
        <v>100</v>
      </c>
      <c r="M735"/>
      <c r="N735" t="s">
        <v>2754</v>
      </c>
      <c r="O735"/>
      <c r="P735" t="s">
        <v>3</v>
      </c>
      <c r="Q735"/>
    </row>
    <row r="736" spans="1:17" ht="14.4" x14ac:dyDescent="0.3">
      <c r="A736" t="s">
        <v>2056</v>
      </c>
      <c r="B736" t="s">
        <v>2298</v>
      </c>
      <c r="C736" t="s">
        <v>910</v>
      </c>
      <c r="D736" t="s">
        <v>2764</v>
      </c>
      <c r="E736" t="s">
        <v>2319</v>
      </c>
      <c r="F736" t="s">
        <v>856</v>
      </c>
      <c r="G736" s="35">
        <v>26.51</v>
      </c>
      <c r="H736" s="33">
        <f>G736*(1-IFERROR(VLOOKUP(F736,'enter the discount'!$D$10:$E$40,2,FALSE),0))</f>
        <v>26.51</v>
      </c>
      <c r="I736" s="35" t="s">
        <v>2609</v>
      </c>
      <c r="J736" s="33" t="s">
        <v>580</v>
      </c>
      <c r="K736" s="33" t="s">
        <v>2749</v>
      </c>
      <c r="L736">
        <v>1</v>
      </c>
      <c r="M736"/>
      <c r="N736" t="s">
        <v>2754</v>
      </c>
      <c r="O736" s="34" t="str">
        <f>HYPERLINK("https://b2b.kobi.pl/pl/product/10684,motion-sensor-zhaga-hd06vcrh7c?currency=PLN")</f>
        <v>https://b2b.kobi.pl/pl/product/10684,motion-sensor-zhaga-hd06vcrh7c?currency=PLN</v>
      </c>
      <c r="P736" t="s">
        <v>3</v>
      </c>
      <c r="Q736"/>
    </row>
    <row r="737" spans="1:17" ht="14.4" x14ac:dyDescent="0.3">
      <c r="A737" t="s">
        <v>10</v>
      </c>
      <c r="B737" t="s">
        <v>2298</v>
      </c>
      <c r="C737" t="s">
        <v>910</v>
      </c>
      <c r="D737" t="s">
        <v>2320</v>
      </c>
      <c r="E737" t="s">
        <v>2321</v>
      </c>
      <c r="F737" t="s">
        <v>856</v>
      </c>
      <c r="G737" s="35">
        <v>72.290000000000006</v>
      </c>
      <c r="H737" s="33">
        <f>G737*(1-IFERROR(VLOOKUP(F737,'enter the discount'!$D$10:$E$40,2,FALSE),0))</f>
        <v>72.290000000000006</v>
      </c>
      <c r="I737" s="35" t="s">
        <v>2609</v>
      </c>
      <c r="J737" s="33" t="s">
        <v>800</v>
      </c>
      <c r="K737" s="33" t="s">
        <v>2749</v>
      </c>
      <c r="L737"/>
      <c r="M737"/>
      <c r="N737" t="s">
        <v>2754</v>
      </c>
      <c r="O737" s="34" t="str">
        <f>HYPERLINK("https://b2b.kobi.pl/pl/product/12215,czujnik-ruchu-bluetooth-zhaga?currency=PLN")</f>
        <v>https://b2b.kobi.pl/pl/product/12215,czujnik-ruchu-bluetooth-zhaga?currency=PLN</v>
      </c>
      <c r="P737" t="s">
        <v>3</v>
      </c>
      <c r="Q737"/>
    </row>
    <row r="738" spans="1:17" ht="14.4" x14ac:dyDescent="0.3">
      <c r="A738" t="s">
        <v>2056</v>
      </c>
      <c r="B738" t="s">
        <v>2298</v>
      </c>
      <c r="C738" t="s">
        <v>910</v>
      </c>
      <c r="D738" t="s">
        <v>2322</v>
      </c>
      <c r="E738" t="s">
        <v>2323</v>
      </c>
      <c r="F738" t="s">
        <v>856</v>
      </c>
      <c r="G738" s="35">
        <v>16.39</v>
      </c>
      <c r="H738" s="33">
        <f>G738*(1-IFERROR(VLOOKUP(F738,'enter the discount'!$D$10:$E$40,2,FALSE),0))</f>
        <v>16.39</v>
      </c>
      <c r="I738" s="35" t="s">
        <v>2609</v>
      </c>
      <c r="J738" s="33" t="s">
        <v>792</v>
      </c>
      <c r="K738" s="33" t="s">
        <v>2749</v>
      </c>
      <c r="L738">
        <v>100</v>
      </c>
      <c r="M738"/>
      <c r="N738" t="s">
        <v>2754</v>
      </c>
      <c r="O738" s="34" t="str">
        <f>HYPERLINK("https://b2b.kobi.pl/pl/product/10680,czujnik-zmierzchowy-lx501-kobi?currency=PLN")</f>
        <v>https://b2b.kobi.pl/pl/product/10680,czujnik-zmierzchowy-lx501-kobi?currency=PLN</v>
      </c>
      <c r="P738" t="s">
        <v>3</v>
      </c>
      <c r="Q738"/>
    </row>
    <row r="739" spans="1:17" ht="14.4" x14ac:dyDescent="0.3">
      <c r="A739" t="s">
        <v>10</v>
      </c>
      <c r="B739" t="s">
        <v>26</v>
      </c>
      <c r="C739" t="s">
        <v>910</v>
      </c>
      <c r="D739" t="s">
        <v>2324</v>
      </c>
      <c r="E739" t="s">
        <v>2325</v>
      </c>
      <c r="F739" t="s">
        <v>844</v>
      </c>
      <c r="G739" s="35">
        <v>17.98</v>
      </c>
      <c r="H739" s="33">
        <f>G739*(1-IFERROR(VLOOKUP(F739,'enter the discount'!$D$10:$E$40,2,FALSE),0))</f>
        <v>17.98</v>
      </c>
      <c r="I739" s="35" t="s">
        <v>2609</v>
      </c>
      <c r="J739" s="33" t="s">
        <v>206</v>
      </c>
      <c r="K739" s="33" t="s">
        <v>2749</v>
      </c>
      <c r="L739">
        <v>6</v>
      </c>
      <c r="M739">
        <v>120</v>
      </c>
      <c r="N739" t="s">
        <v>2754</v>
      </c>
      <c r="O739" s="34" t="str">
        <f>HYPERLINK("https://b2b.kobi.pl/pl/product/10221,oprawa-liniowa-zebra-2x120-kobi?currency=PLN")</f>
        <v>https://b2b.kobi.pl/pl/product/10221,oprawa-liniowa-zebra-2x120-kobi?currency=PLN</v>
      </c>
      <c r="P739" t="s">
        <v>3</v>
      </c>
      <c r="Q739"/>
    </row>
    <row r="740" spans="1:17" ht="14.4" x14ac:dyDescent="0.3">
      <c r="A740" t="s">
        <v>2056</v>
      </c>
      <c r="B740" t="s">
        <v>2326</v>
      </c>
      <c r="C740" t="s">
        <v>910</v>
      </c>
      <c r="D740" t="s">
        <v>2327</v>
      </c>
      <c r="E740" t="s">
        <v>2328</v>
      </c>
      <c r="F740" t="s">
        <v>856</v>
      </c>
      <c r="G740" s="35">
        <v>0.36</v>
      </c>
      <c r="H740" s="33">
        <f>G740*(1-IFERROR(VLOOKUP(F740,'enter the discount'!$D$10:$E$40,2,FALSE),0))</f>
        <v>0.36</v>
      </c>
      <c r="I740" s="35" t="s">
        <v>2609</v>
      </c>
      <c r="J740" s="33" t="s">
        <v>301</v>
      </c>
      <c r="K740" s="33" t="s">
        <v>2749</v>
      </c>
      <c r="L740">
        <v>200</v>
      </c>
      <c r="M740"/>
      <c r="N740" t="s">
        <v>2754</v>
      </c>
      <c r="O740" s="34" t="str">
        <f>HYPERLINK("https://b2b.kobi.pl/pl/product/10704,kostka-halogenowa-k001-g5-3-kobi?currency=PLN")</f>
        <v>https://b2b.kobi.pl/pl/product/10704,kostka-halogenowa-k001-g5-3-kobi?currency=PLN</v>
      </c>
      <c r="P740" t="s">
        <v>3</v>
      </c>
      <c r="Q740"/>
    </row>
    <row r="741" spans="1:17" ht="14.4" x14ac:dyDescent="0.3">
      <c r="A741" t="s">
        <v>2056</v>
      </c>
      <c r="B741" t="s">
        <v>2326</v>
      </c>
      <c r="C741" t="s">
        <v>910</v>
      </c>
      <c r="D741" t="s">
        <v>2329</v>
      </c>
      <c r="E741" t="s">
        <v>2330</v>
      </c>
      <c r="F741" t="s">
        <v>856</v>
      </c>
      <c r="G741" s="35">
        <v>0.42</v>
      </c>
      <c r="H741" s="33">
        <f>G741*(1-IFERROR(VLOOKUP(F741,'enter the discount'!$D$10:$E$40,2,FALSE),0))</f>
        <v>0.42</v>
      </c>
      <c r="I741" s="35" t="s">
        <v>2609</v>
      </c>
      <c r="J741" s="33" t="s">
        <v>302</v>
      </c>
      <c r="K741" s="33" t="s">
        <v>2749</v>
      </c>
      <c r="L741">
        <v>50</v>
      </c>
      <c r="M741">
        <v>32000</v>
      </c>
      <c r="N741" t="s">
        <v>2754</v>
      </c>
      <c r="O741" s="34" t="str">
        <f>HYPERLINK("https://b2b.kobi.pl/pl/product/10705,kostka-halogenowa-k002-gu10-kobi?currency=PLN")</f>
        <v>https://b2b.kobi.pl/pl/product/10705,kostka-halogenowa-k002-gu10-kobi?currency=PLN</v>
      </c>
      <c r="P741" t="s">
        <v>3</v>
      </c>
      <c r="Q741"/>
    </row>
    <row r="742" spans="1:17" ht="14.4" x14ac:dyDescent="0.3">
      <c r="A742" t="s">
        <v>2056</v>
      </c>
      <c r="B742" t="s">
        <v>2326</v>
      </c>
      <c r="C742" t="s">
        <v>910</v>
      </c>
      <c r="D742" t="s">
        <v>2331</v>
      </c>
      <c r="E742" t="s">
        <v>2332</v>
      </c>
      <c r="F742" t="s">
        <v>856</v>
      </c>
      <c r="G742" s="35">
        <v>0.36</v>
      </c>
      <c r="H742" s="33">
        <f>G742*(1-IFERROR(VLOOKUP(F742,'enter the discount'!$D$10:$E$40,2,FALSE),0))</f>
        <v>0.36</v>
      </c>
      <c r="I742" s="35" t="s">
        <v>2609</v>
      </c>
      <c r="J742" s="33" t="s">
        <v>303</v>
      </c>
      <c r="K742" s="33" t="s">
        <v>2749</v>
      </c>
      <c r="L742">
        <v>280</v>
      </c>
      <c r="M742">
        <v>13720</v>
      </c>
      <c r="N742" t="s">
        <v>2754</v>
      </c>
      <c r="O742" s="34" t="str">
        <f>HYPERLINK("https://b2b.kobi.pl/pl/product/10706,oprawka-porcelanowa-z-blaszka-k003-e27-kobi?currency=PLN")</f>
        <v>https://b2b.kobi.pl/pl/product/10706,oprawka-porcelanowa-z-blaszka-k003-e27-kobi?currency=PLN</v>
      </c>
      <c r="P742" t="s">
        <v>3</v>
      </c>
      <c r="Q742"/>
    </row>
    <row r="743" spans="1:17" ht="14.4" x14ac:dyDescent="0.3">
      <c r="A743" t="s">
        <v>11</v>
      </c>
      <c r="B743" t="s">
        <v>2333</v>
      </c>
      <c r="C743" t="s">
        <v>1875</v>
      </c>
      <c r="D743" t="s">
        <v>2334</v>
      </c>
      <c r="E743" t="s">
        <v>2335</v>
      </c>
      <c r="F743" t="s">
        <v>852</v>
      </c>
      <c r="G743" s="35">
        <v>66.31</v>
      </c>
      <c r="H743" s="33">
        <f>G743*(1-IFERROR(VLOOKUP(F743,'enter the discount'!$D$10:$E$40,2,FALSE),0))</f>
        <v>66.31</v>
      </c>
      <c r="I743" s="35" t="s">
        <v>2609</v>
      </c>
      <c r="J743" s="33" t="s">
        <v>691</v>
      </c>
      <c r="K743" s="33" t="s">
        <v>2749</v>
      </c>
      <c r="L743">
        <v>10</v>
      </c>
      <c r="M743"/>
      <c r="N743" t="s">
        <v>2754</v>
      </c>
      <c r="O743" s="34" t="str">
        <f>HYPERLINK("https://b2b.kobi.pl/pl/product/9793,lampa-do-roslin-led-bloom-20w-3500k-kobi-design?currency=PLN")</f>
        <v>https://b2b.kobi.pl/pl/product/9793,lampa-do-roslin-led-bloom-20w-3500k-kobi-design?currency=PLN</v>
      </c>
      <c r="P743" t="s">
        <v>3</v>
      </c>
      <c r="Q743"/>
    </row>
    <row r="744" spans="1:17" ht="14.4" x14ac:dyDescent="0.3">
      <c r="A744" t="s">
        <v>11</v>
      </c>
      <c r="B744" t="s">
        <v>2333</v>
      </c>
      <c r="C744" t="s">
        <v>1875</v>
      </c>
      <c r="D744" t="s">
        <v>2336</v>
      </c>
      <c r="E744" t="s">
        <v>2337</v>
      </c>
      <c r="F744" t="s">
        <v>852</v>
      </c>
      <c r="G744" s="35">
        <v>14.6</v>
      </c>
      <c r="H744" s="33">
        <f>G744*(1-IFERROR(VLOOKUP(F744,'enter the discount'!$D$10:$E$40,2,FALSE),0))</f>
        <v>14.6</v>
      </c>
      <c r="I744" s="35" t="s">
        <v>2609</v>
      </c>
      <c r="J744" s="33" t="s">
        <v>692</v>
      </c>
      <c r="K744" s="33" t="s">
        <v>2749</v>
      </c>
      <c r="L744">
        <v>20</v>
      </c>
      <c r="M744"/>
      <c r="N744" t="s">
        <v>2754</v>
      </c>
      <c r="O744" s="34" t="str">
        <f>HYPERLINK("https://b2b.kobi.pl/pl/product/9794,lampa-do-roslin-led-verdi-5w-3200k-kobi-design?currency=PLN")</f>
        <v>https://b2b.kobi.pl/pl/product/9794,lampa-do-roslin-led-verdi-5w-3200k-kobi-design?currency=PLN</v>
      </c>
      <c r="P744" t="s">
        <v>3</v>
      </c>
      <c r="Q744"/>
    </row>
    <row r="745" spans="1:17" ht="14.4" x14ac:dyDescent="0.3">
      <c r="A745" t="s">
        <v>11</v>
      </c>
      <c r="B745" t="s">
        <v>2333</v>
      </c>
      <c r="C745" t="s">
        <v>1875</v>
      </c>
      <c r="D745" t="s">
        <v>2338</v>
      </c>
      <c r="E745" t="s">
        <v>2339</v>
      </c>
      <c r="F745" t="s">
        <v>852</v>
      </c>
      <c r="G745" s="35">
        <v>19.98</v>
      </c>
      <c r="H745" s="33">
        <f>G745*(1-IFERROR(VLOOKUP(F745,'enter the discount'!$D$10:$E$40,2,FALSE),0))</f>
        <v>19.98</v>
      </c>
      <c r="I745" s="35" t="s">
        <v>2609</v>
      </c>
      <c r="J745" s="33" t="s">
        <v>693</v>
      </c>
      <c r="K745" s="33" t="s">
        <v>2749</v>
      </c>
      <c r="L745">
        <v>20</v>
      </c>
      <c r="M745"/>
      <c r="N745" t="s">
        <v>2754</v>
      </c>
      <c r="O745" s="34" t="str">
        <f>HYPERLINK("https://b2b.kobi.pl/pl/product/9795,lampa-do-roslin-led-verdi-10w-3200k-kobi-design?currency=PLN")</f>
        <v>https://b2b.kobi.pl/pl/product/9795,lampa-do-roslin-led-verdi-10w-3200k-kobi-design?currency=PLN</v>
      </c>
      <c r="P745" t="s">
        <v>3</v>
      </c>
      <c r="Q745"/>
    </row>
    <row r="746" spans="1:17" ht="14.4" x14ac:dyDescent="0.3">
      <c r="A746" t="s">
        <v>11</v>
      </c>
      <c r="B746" t="s">
        <v>2333</v>
      </c>
      <c r="C746" t="s">
        <v>1875</v>
      </c>
      <c r="D746" t="s">
        <v>2340</v>
      </c>
      <c r="E746" t="s">
        <v>2341</v>
      </c>
      <c r="F746" t="s">
        <v>852</v>
      </c>
      <c r="G746" s="35">
        <v>7.17</v>
      </c>
      <c r="H746" s="33">
        <f>G746*(1-IFERROR(VLOOKUP(F746,'enter the discount'!$D$10:$E$40,2,FALSE),0))</f>
        <v>7.17</v>
      </c>
      <c r="I746" s="35" t="s">
        <v>2609</v>
      </c>
      <c r="J746" s="33" t="s">
        <v>755</v>
      </c>
      <c r="K746" s="33" t="s">
        <v>2749</v>
      </c>
      <c r="L746">
        <v>50</v>
      </c>
      <c r="M746"/>
      <c r="N746" t="s">
        <v>2754</v>
      </c>
      <c r="O746" s="34" t="str">
        <f>HYPERLINK("https://b2b.kobi.pl/pl/product/9841,zarowka-do-roslin-led-planty-w-9w-e27-1200k-biala-kobi-design?currency=PLN")</f>
        <v>https://b2b.kobi.pl/pl/product/9841,zarowka-do-roslin-led-planty-w-9w-e27-1200k-biala-kobi-design?currency=PLN</v>
      </c>
      <c r="P746" t="s">
        <v>3</v>
      </c>
      <c r="Q746"/>
    </row>
    <row r="747" spans="1:17" ht="14.4" x14ac:dyDescent="0.3">
      <c r="A747" t="s">
        <v>11</v>
      </c>
      <c r="B747" t="s">
        <v>2333</v>
      </c>
      <c r="C747" t="s">
        <v>1875</v>
      </c>
      <c r="D747" t="s">
        <v>2342</v>
      </c>
      <c r="E747" t="s">
        <v>2343</v>
      </c>
      <c r="F747" t="s">
        <v>852</v>
      </c>
      <c r="G747" s="35">
        <v>7.53</v>
      </c>
      <c r="H747" s="33">
        <f>G747*(1-IFERROR(VLOOKUP(F747,'enter the discount'!$D$10:$E$40,2,FALSE),0))</f>
        <v>7.53</v>
      </c>
      <c r="I747" s="35" t="s">
        <v>2609</v>
      </c>
      <c r="J747" s="33" t="s">
        <v>751</v>
      </c>
      <c r="K747" s="33" t="s">
        <v>2749</v>
      </c>
      <c r="L747">
        <v>50</v>
      </c>
      <c r="M747"/>
      <c r="N747" t="s">
        <v>2754</v>
      </c>
      <c r="O747" s="34" t="str">
        <f>HYPERLINK("https://b2b.kobi.pl/pl/product/9842,zarowka-do-roslin-led-planty-b-9w-e27-1200k-czarna-kobi-design?currency=PLN")</f>
        <v>https://b2b.kobi.pl/pl/product/9842,zarowka-do-roslin-led-planty-b-9w-e27-1200k-czarna-kobi-design?currency=PLN</v>
      </c>
      <c r="P747" t="s">
        <v>3</v>
      </c>
      <c r="Q747"/>
    </row>
    <row r="748" spans="1:17" ht="14.4" x14ac:dyDescent="0.3">
      <c r="A748" t="s">
        <v>11</v>
      </c>
      <c r="B748" t="s">
        <v>2333</v>
      </c>
      <c r="C748" t="s">
        <v>1875</v>
      </c>
      <c r="D748" t="s">
        <v>2344</v>
      </c>
      <c r="E748" t="s">
        <v>2345</v>
      </c>
      <c r="F748" t="s">
        <v>852</v>
      </c>
      <c r="G748" s="35">
        <v>10.54</v>
      </c>
      <c r="H748" s="33">
        <f>G748*(1-IFERROR(VLOOKUP(F748,'enter the discount'!$D$10:$E$40,2,FALSE),0))</f>
        <v>10.54</v>
      </c>
      <c r="I748" s="35" t="s">
        <v>2609</v>
      </c>
      <c r="J748" s="33" t="s">
        <v>750</v>
      </c>
      <c r="K748" s="33" t="s">
        <v>2749</v>
      </c>
      <c r="L748">
        <v>20</v>
      </c>
      <c r="M748"/>
      <c r="N748" t="s">
        <v>2754</v>
      </c>
      <c r="O748" s="34" t="str">
        <f>HYPERLINK("https://b2b.kobi.pl/pl/product/9843,lampka-biurkowa-planty-clip-w-1xe27-biala-kobi-design?currency=PLN")</f>
        <v>https://b2b.kobi.pl/pl/product/9843,lampka-biurkowa-planty-clip-w-1xe27-biala-kobi-design?currency=PLN</v>
      </c>
      <c r="P748" t="s">
        <v>3</v>
      </c>
      <c r="Q748"/>
    </row>
    <row r="749" spans="1:17" ht="14.4" x14ac:dyDescent="0.3">
      <c r="A749" t="s">
        <v>11</v>
      </c>
      <c r="B749" t="s">
        <v>2333</v>
      </c>
      <c r="C749" t="s">
        <v>1875</v>
      </c>
      <c r="D749" t="s">
        <v>2346</v>
      </c>
      <c r="E749" t="s">
        <v>2347</v>
      </c>
      <c r="F749" t="s">
        <v>852</v>
      </c>
      <c r="G749" s="35">
        <v>10.54</v>
      </c>
      <c r="H749" s="33">
        <f>G749*(1-IFERROR(VLOOKUP(F749,'enter the discount'!$D$10:$E$40,2,FALSE),0))</f>
        <v>10.54</v>
      </c>
      <c r="I749" s="35" t="s">
        <v>2609</v>
      </c>
      <c r="J749" s="33" t="s">
        <v>749</v>
      </c>
      <c r="K749" s="33" t="s">
        <v>2749</v>
      </c>
      <c r="L749">
        <v>20</v>
      </c>
      <c r="M749"/>
      <c r="N749" t="s">
        <v>2754</v>
      </c>
      <c r="O749" s="34" t="str">
        <f>HYPERLINK("https://b2b.kobi.pl/pl/product/9844,lampka-biurkowa-planty-clip-b-1xe27-czarna-kobi-design?currency=PLN")</f>
        <v>https://b2b.kobi.pl/pl/product/9844,lampka-biurkowa-planty-clip-b-1xe27-czarna-kobi-design?currency=PLN</v>
      </c>
      <c r="P749" t="s">
        <v>3</v>
      </c>
      <c r="Q749"/>
    </row>
    <row r="750" spans="1:17" ht="14.4" x14ac:dyDescent="0.3">
      <c r="A750" t="s">
        <v>11</v>
      </c>
      <c r="B750" t="s">
        <v>2333</v>
      </c>
      <c r="C750" t="s">
        <v>1875</v>
      </c>
      <c r="D750" t="s">
        <v>2348</v>
      </c>
      <c r="E750" t="s">
        <v>2349</v>
      </c>
      <c r="F750" t="s">
        <v>852</v>
      </c>
      <c r="G750" s="35">
        <v>11.39</v>
      </c>
      <c r="H750" s="33">
        <f>G750*(1-IFERROR(VLOOKUP(F750,'enter the discount'!$D$10:$E$40,2,FALSE),0))</f>
        <v>11.39</v>
      </c>
      <c r="I750" s="35" t="s">
        <v>2609</v>
      </c>
      <c r="J750" s="33" t="s">
        <v>752</v>
      </c>
      <c r="K750" s="33" t="s">
        <v>2749</v>
      </c>
      <c r="L750">
        <v>50</v>
      </c>
      <c r="M750"/>
      <c r="N750" t="s">
        <v>2754</v>
      </c>
      <c r="O750" s="34" t="str">
        <f>HYPERLINK("https://b2b.kobi.pl/pl/product/9845,zarowka-do-roslin-led-planty-24w-e27-1200k-kobi-design?currency=PLN")</f>
        <v>https://b2b.kobi.pl/pl/product/9845,zarowka-do-roslin-led-planty-24w-e27-1200k-kobi-design?currency=PLN</v>
      </c>
      <c r="P750" t="s">
        <v>3</v>
      </c>
      <c r="Q750"/>
    </row>
    <row r="751" spans="1:17" ht="14.4" x14ac:dyDescent="0.3">
      <c r="A751" t="s">
        <v>11</v>
      </c>
      <c r="B751" t="s">
        <v>2333</v>
      </c>
      <c r="C751" t="s">
        <v>1875</v>
      </c>
      <c r="D751" t="s">
        <v>2350</v>
      </c>
      <c r="E751" t="s">
        <v>2351</v>
      </c>
      <c r="F751" t="s">
        <v>852</v>
      </c>
      <c r="G751" s="35">
        <v>17.59</v>
      </c>
      <c r="H751" s="33">
        <f>G751*(1-IFERROR(VLOOKUP(F751,'enter the discount'!$D$10:$E$40,2,FALSE),0))</f>
        <v>17.59</v>
      </c>
      <c r="I751" s="35" t="s">
        <v>2609</v>
      </c>
      <c r="J751" s="33" t="s">
        <v>753</v>
      </c>
      <c r="K751" s="33" t="s">
        <v>2749</v>
      </c>
      <c r="L751">
        <v>25</v>
      </c>
      <c r="M751"/>
      <c r="N751" t="s">
        <v>2754</v>
      </c>
      <c r="O751" s="34" t="str">
        <f>HYPERLINK("https://b2b.kobi.pl/pl/product/9846,zarowka-do-roslin-led-planty-40w-e27-1200k-kobi-design?currency=PLN")</f>
        <v>https://b2b.kobi.pl/pl/product/9846,zarowka-do-roslin-led-planty-40w-e27-1200k-kobi-design?currency=PLN</v>
      </c>
      <c r="P751" t="s">
        <v>3</v>
      </c>
      <c r="Q751"/>
    </row>
    <row r="752" spans="1:17" ht="14.4" x14ac:dyDescent="0.3">
      <c r="A752" t="s">
        <v>11</v>
      </c>
      <c r="B752" t="s">
        <v>2333</v>
      </c>
      <c r="C752" t="s">
        <v>1875</v>
      </c>
      <c r="D752" t="s">
        <v>2352</v>
      </c>
      <c r="E752" t="s">
        <v>2353</v>
      </c>
      <c r="F752" t="s">
        <v>852</v>
      </c>
      <c r="G752" s="35">
        <v>15.6</v>
      </c>
      <c r="H752" s="33">
        <f>G752*(1-IFERROR(VLOOKUP(F752,'enter the discount'!$D$10:$E$40,2,FALSE),0))</f>
        <v>15.6</v>
      </c>
      <c r="I752" s="35" t="s">
        <v>2609</v>
      </c>
      <c r="J752" s="33" t="s">
        <v>748</v>
      </c>
      <c r="K752" s="33" t="s">
        <v>2749</v>
      </c>
      <c r="L752">
        <v>25</v>
      </c>
      <c r="M752"/>
      <c r="N752" t="s">
        <v>2754</v>
      </c>
      <c r="O752" s="34" t="str">
        <f>HYPERLINK("https://b2b.kobi.pl/pl/product/9847,lampa-do-roslin-led-growly-15w-kobi-design?currency=PLN")</f>
        <v>https://b2b.kobi.pl/pl/product/9847,lampa-do-roslin-led-growly-15w-kobi-design?currency=PLN</v>
      </c>
      <c r="P752" t="s">
        <v>3</v>
      </c>
      <c r="Q752"/>
    </row>
    <row r="753" spans="1:17" ht="14.4" x14ac:dyDescent="0.3">
      <c r="A753" t="s">
        <v>11</v>
      </c>
      <c r="B753" t="s">
        <v>2333</v>
      </c>
      <c r="C753" t="s">
        <v>1875</v>
      </c>
      <c r="D753" t="s">
        <v>2354</v>
      </c>
      <c r="E753" t="s">
        <v>2355</v>
      </c>
      <c r="F753" t="s">
        <v>852</v>
      </c>
      <c r="G753" s="35">
        <v>9.94</v>
      </c>
      <c r="H753" s="33">
        <f>G753*(1-IFERROR(VLOOKUP(F753,'enter the discount'!$D$10:$E$40,2,FALSE),0))</f>
        <v>9.94</v>
      </c>
      <c r="I753" s="35" t="s">
        <v>2609</v>
      </c>
      <c r="J753" s="33" t="s">
        <v>747</v>
      </c>
      <c r="K753" s="33" t="s">
        <v>2749</v>
      </c>
      <c r="L753">
        <v>100</v>
      </c>
      <c r="M753"/>
      <c r="N753" t="s">
        <v>2754</v>
      </c>
      <c r="O753" s="34" t="str">
        <f>HYPERLINK("https://b2b.kobi.pl/pl/product/9848,przewod-ze-sterownikiem-led-growly-pc-3m-kobi-design?currency=PLN")</f>
        <v>https://b2b.kobi.pl/pl/product/9848,przewod-ze-sterownikiem-led-growly-pc-3m-kobi-design?currency=PLN</v>
      </c>
      <c r="P753" t="s">
        <v>3</v>
      </c>
      <c r="Q753"/>
    </row>
    <row r="754" spans="1:17" ht="14.4" x14ac:dyDescent="0.3">
      <c r="A754" t="s">
        <v>11</v>
      </c>
      <c r="B754" t="s">
        <v>2333</v>
      </c>
      <c r="C754" t="s">
        <v>1875</v>
      </c>
      <c r="D754" t="s">
        <v>2356</v>
      </c>
      <c r="E754" t="s">
        <v>2357</v>
      </c>
      <c r="F754" t="s">
        <v>852</v>
      </c>
      <c r="G754" s="35">
        <v>3.92</v>
      </c>
      <c r="H754" s="33">
        <f>G754*(1-IFERROR(VLOOKUP(F754,'enter the discount'!$D$10:$E$40,2,FALSE),0))</f>
        <v>3.92</v>
      </c>
      <c r="I754" s="35" t="s">
        <v>2609</v>
      </c>
      <c r="J754" s="33" t="s">
        <v>754</v>
      </c>
      <c r="K754" s="33" t="s">
        <v>2749</v>
      </c>
      <c r="L754">
        <v>50</v>
      </c>
      <c r="M754"/>
      <c r="N754" t="s">
        <v>2754</v>
      </c>
      <c r="O754" s="34" t="str">
        <f>HYPERLINK("https://b2b.kobi.pl/pl/product/9849,zarowka-do-roslin-led-planty-fgs-8w-e27-1200k-kobi-design?currency=PLN")</f>
        <v>https://b2b.kobi.pl/pl/product/9849,zarowka-do-roslin-led-planty-fgs-8w-e27-1200k-kobi-design?currency=PLN</v>
      </c>
      <c r="P754" t="s">
        <v>3</v>
      </c>
      <c r="Q754"/>
    </row>
    <row r="755" spans="1:17" ht="14.4" x14ac:dyDescent="0.3">
      <c r="A755" t="s">
        <v>11</v>
      </c>
      <c r="B755" t="s">
        <v>2333</v>
      </c>
      <c r="C755" t="s">
        <v>1875</v>
      </c>
      <c r="D755" t="s">
        <v>2358</v>
      </c>
      <c r="E755" t="s">
        <v>2359</v>
      </c>
      <c r="F755" t="s">
        <v>852</v>
      </c>
      <c r="G755" s="35">
        <v>18.010000000000002</v>
      </c>
      <c r="H755" s="33">
        <f>G755*(1-IFERROR(VLOOKUP(F755,'enter the discount'!$D$10:$E$40,2,FALSE),0))</f>
        <v>18.010000000000002</v>
      </c>
      <c r="I755" s="35" t="s">
        <v>2609</v>
      </c>
      <c r="J755" s="33" t="s">
        <v>756</v>
      </c>
      <c r="K755" s="33" t="s">
        <v>2749</v>
      </c>
      <c r="L755">
        <v>16</v>
      </c>
      <c r="M755"/>
      <c r="N755" t="s">
        <v>2754</v>
      </c>
      <c r="O755" s="34" t="str">
        <f>HYPERLINK("https://b2b.kobi.pl/pl/product/9850,lampa-do-roslin-led-vitaro-3-clip-10w-kobi-design?currency=PLN")</f>
        <v>https://b2b.kobi.pl/pl/product/9850,lampa-do-roslin-led-vitaro-3-clip-10w-kobi-design?currency=PLN</v>
      </c>
      <c r="P755" t="s">
        <v>3</v>
      </c>
      <c r="Q755"/>
    </row>
    <row r="756" spans="1:17" ht="14.4" x14ac:dyDescent="0.3">
      <c r="A756" t="s">
        <v>11</v>
      </c>
      <c r="B756" t="s">
        <v>2333</v>
      </c>
      <c r="C756" t="s">
        <v>1875</v>
      </c>
      <c r="D756" t="s">
        <v>2360</v>
      </c>
      <c r="E756" t="s">
        <v>2361</v>
      </c>
      <c r="F756" t="s">
        <v>852</v>
      </c>
      <c r="G756" s="35">
        <v>21.63</v>
      </c>
      <c r="H756" s="33">
        <f>G756*(1-IFERROR(VLOOKUP(F756,'enter the discount'!$D$10:$E$40,2,FALSE),0))</f>
        <v>21.63</v>
      </c>
      <c r="I756" s="35" t="s">
        <v>2609</v>
      </c>
      <c r="J756" s="33" t="s">
        <v>758</v>
      </c>
      <c r="K756" s="33" t="s">
        <v>2749</v>
      </c>
      <c r="L756">
        <v>16</v>
      </c>
      <c r="M756"/>
      <c r="N756" t="s">
        <v>2754</v>
      </c>
      <c r="O756" s="34" t="str">
        <f>HYPERLINK("https://b2b.kobi.pl/pl/product/9851,lampa-do-roslin-led-vitaro-4-clip-10w-kobi-design?currency=PLN")</f>
        <v>https://b2b.kobi.pl/pl/product/9851,lampa-do-roslin-led-vitaro-4-clip-10w-kobi-design?currency=PLN</v>
      </c>
      <c r="P756" t="s">
        <v>3</v>
      </c>
      <c r="Q756"/>
    </row>
    <row r="757" spans="1:17" ht="14.4" x14ac:dyDescent="0.3">
      <c r="A757" t="s">
        <v>11</v>
      </c>
      <c r="B757" t="s">
        <v>2333</v>
      </c>
      <c r="C757" t="s">
        <v>1875</v>
      </c>
      <c r="D757" t="s">
        <v>2362</v>
      </c>
      <c r="E757" t="s">
        <v>2363</v>
      </c>
      <c r="F757" t="s">
        <v>852</v>
      </c>
      <c r="G757" s="35">
        <v>20.420000000000002</v>
      </c>
      <c r="H757" s="33">
        <f>G757*(1-IFERROR(VLOOKUP(F757,'enter the discount'!$D$10:$E$40,2,FALSE),0))</f>
        <v>20.420000000000002</v>
      </c>
      <c r="I757" s="35" t="s">
        <v>2609</v>
      </c>
      <c r="J757" s="33" t="s">
        <v>757</v>
      </c>
      <c r="K757" s="33" t="s">
        <v>2749</v>
      </c>
      <c r="L757">
        <v>16</v>
      </c>
      <c r="M757"/>
      <c r="N757" t="s">
        <v>2754</v>
      </c>
      <c r="O757" s="34" t="str">
        <f>HYPERLINK("https://b2b.kobi.pl/pl/product/9852,lampa-do-roslin-led-vitaro-3-st-mini-10w-kobi-design?currency=PLN")</f>
        <v>https://b2b.kobi.pl/pl/product/9852,lampa-do-roslin-led-vitaro-3-st-mini-10w-kobi-design?currency=PLN</v>
      </c>
      <c r="P757" t="s">
        <v>3</v>
      </c>
      <c r="Q757"/>
    </row>
    <row r="758" spans="1:17" ht="14.4" x14ac:dyDescent="0.3">
      <c r="A758" t="s">
        <v>11</v>
      </c>
      <c r="B758" t="s">
        <v>2333</v>
      </c>
      <c r="C758" t="s">
        <v>1875</v>
      </c>
      <c r="D758" t="s">
        <v>2364</v>
      </c>
      <c r="E758" t="s">
        <v>2365</v>
      </c>
      <c r="F758" t="s">
        <v>852</v>
      </c>
      <c r="G758" s="35">
        <v>24.04</v>
      </c>
      <c r="H758" s="33">
        <f>G758*(1-IFERROR(VLOOKUP(F758,'enter the discount'!$D$10:$E$40,2,FALSE),0))</f>
        <v>24.04</v>
      </c>
      <c r="I758" s="35" t="s">
        <v>2609</v>
      </c>
      <c r="J758" s="33" t="s">
        <v>760</v>
      </c>
      <c r="K758" s="33" t="s">
        <v>2749</v>
      </c>
      <c r="L758">
        <v>70</v>
      </c>
      <c r="M758"/>
      <c r="N758" t="s">
        <v>2754</v>
      </c>
      <c r="O758" s="34" t="str">
        <f>HYPERLINK("https://b2b.kobi.pl/pl/product/9853,lampa-do-roslin-led-vitaro-4-st-mini-10w-kobi-design?currency=PLN")</f>
        <v>https://b2b.kobi.pl/pl/product/9853,lampa-do-roslin-led-vitaro-4-st-mini-10w-kobi-design?currency=PLN</v>
      </c>
      <c r="P758" t="s">
        <v>3</v>
      </c>
      <c r="Q758"/>
    </row>
    <row r="759" spans="1:17" ht="14.4" x14ac:dyDescent="0.3">
      <c r="A759" t="s">
        <v>11</v>
      </c>
      <c r="B759" t="s">
        <v>2333</v>
      </c>
      <c r="C759" t="s">
        <v>1875</v>
      </c>
      <c r="D759" t="s">
        <v>2366</v>
      </c>
      <c r="E759" t="s">
        <v>2367</v>
      </c>
      <c r="F759" t="s">
        <v>852</v>
      </c>
      <c r="G759" s="35">
        <v>42.11</v>
      </c>
      <c r="H759" s="33">
        <f>G759*(1-IFERROR(VLOOKUP(F759,'enter the discount'!$D$10:$E$40,2,FALSE),0))</f>
        <v>42.11</v>
      </c>
      <c r="I759" s="35" t="s">
        <v>2609</v>
      </c>
      <c r="J759" s="33" t="s">
        <v>759</v>
      </c>
      <c r="K759" s="33" t="s">
        <v>2749</v>
      </c>
      <c r="L759">
        <v>8</v>
      </c>
      <c r="M759"/>
      <c r="N759" t="s">
        <v>2754</v>
      </c>
      <c r="O759" s="34" t="str">
        <f>HYPERLINK("https://b2b.kobi.pl/pl/product/9854,lampa-do-roslin-led-vitaro-4-st-30w-kobi-design?currency=PLN")</f>
        <v>https://b2b.kobi.pl/pl/product/9854,lampa-do-roslin-led-vitaro-4-st-30w-kobi-design?currency=PLN</v>
      </c>
      <c r="P759" t="s">
        <v>3</v>
      </c>
      <c r="Q759"/>
    </row>
    <row r="760" spans="1:17" ht="14.4" x14ac:dyDescent="0.3">
      <c r="A760" t="s">
        <v>2056</v>
      </c>
      <c r="B760" t="s">
        <v>2368</v>
      </c>
      <c r="C760" t="s">
        <v>30</v>
      </c>
      <c r="D760" t="s">
        <v>2369</v>
      </c>
      <c r="E760" t="s">
        <v>2370</v>
      </c>
      <c r="F760" t="s">
        <v>856</v>
      </c>
      <c r="G760" s="35">
        <v>20.43</v>
      </c>
      <c r="H760" s="33">
        <f>G760*(1-IFERROR(VLOOKUP(F760,'enter the discount'!$D$10:$E$40,2,FALSE),0))</f>
        <v>20.43</v>
      </c>
      <c r="I760" s="35" t="s">
        <v>2609</v>
      </c>
      <c r="J760" s="33" t="s">
        <v>710</v>
      </c>
      <c r="K760" s="33" t="s">
        <v>2749</v>
      </c>
      <c r="L760">
        <v>48</v>
      </c>
      <c r="M760"/>
      <c r="N760" t="s">
        <v>2754</v>
      </c>
      <c r="O760" s="34" t="str">
        <f>HYPERLINK("https://b2b.kobi.pl/pl/product/9767,latarka-led-x-mpr-5w-6000k-ip54-led2b?currency=PLN")</f>
        <v>https://b2b.kobi.pl/pl/product/9767,latarka-led-x-mpr-5w-6000k-ip54-led2b?currency=PLN</v>
      </c>
      <c r="P760" t="s">
        <v>3</v>
      </c>
      <c r="Q760"/>
    </row>
    <row r="761" spans="1:17" ht="14.4" x14ac:dyDescent="0.3">
      <c r="A761" t="s">
        <v>2056</v>
      </c>
      <c r="B761" t="s">
        <v>2368</v>
      </c>
      <c r="C761" t="s">
        <v>30</v>
      </c>
      <c r="D761" t="s">
        <v>2371</v>
      </c>
      <c r="E761" t="s">
        <v>2372</v>
      </c>
      <c r="F761" t="s">
        <v>856</v>
      </c>
      <c r="G761" s="35">
        <v>6.86</v>
      </c>
      <c r="H761" s="33">
        <f>G761*(1-IFERROR(VLOOKUP(F761,'enter the discount'!$D$10:$E$40,2,FALSE),0))</f>
        <v>6.86</v>
      </c>
      <c r="I761" s="35" t="s">
        <v>2609</v>
      </c>
      <c r="J761" s="33" t="s">
        <v>711</v>
      </c>
      <c r="K761" s="33" t="s">
        <v>2749</v>
      </c>
      <c r="L761">
        <v>40</v>
      </c>
      <c r="M761"/>
      <c r="N761" t="s">
        <v>2754</v>
      </c>
      <c r="O761" s="34" t="str">
        <f>HYPERLINK("https://b2b.kobi.pl/pl/product/9768,latarka-led-x-mpr-micro-cct-led2b?currency=PLN")</f>
        <v>https://b2b.kobi.pl/pl/product/9768,latarka-led-x-mpr-micro-cct-led2b?currency=PLN</v>
      </c>
      <c r="P761" t="s">
        <v>3</v>
      </c>
      <c r="Q761"/>
    </row>
    <row r="762" spans="1:17" ht="14.4" x14ac:dyDescent="0.3">
      <c r="A762" t="s">
        <v>11</v>
      </c>
      <c r="B762" t="s">
        <v>648</v>
      </c>
      <c r="C762" t="s">
        <v>1875</v>
      </c>
      <c r="D762" t="s">
        <v>2373</v>
      </c>
      <c r="E762" t="s">
        <v>2374</v>
      </c>
      <c r="F762" t="s">
        <v>849</v>
      </c>
      <c r="G762" s="35">
        <v>240.96</v>
      </c>
      <c r="H762" s="33">
        <f>G762*(1-IFERROR(VLOOKUP(F762,'enter the discount'!$D$10:$E$40,2,FALSE),0))</f>
        <v>240.96</v>
      </c>
      <c r="I762" s="35" t="s">
        <v>2609</v>
      </c>
      <c r="J762" s="33" t="s">
        <v>2687</v>
      </c>
      <c r="K762" s="33" t="s">
        <v>2749</v>
      </c>
      <c r="L762">
        <v>1</v>
      </c>
      <c r="M762"/>
      <c r="N762" t="s">
        <v>2754</v>
      </c>
      <c r="O762"/>
      <c r="P762" t="s">
        <v>3</v>
      </c>
      <c r="Q762"/>
    </row>
    <row r="763" spans="1:17" ht="14.4" x14ac:dyDescent="0.3">
      <c r="A763" t="s">
        <v>11</v>
      </c>
      <c r="B763" t="s">
        <v>648</v>
      </c>
      <c r="C763" t="s">
        <v>1875</v>
      </c>
      <c r="D763" t="s">
        <v>2375</v>
      </c>
      <c r="E763" t="s">
        <v>2376</v>
      </c>
      <c r="F763" t="s">
        <v>853</v>
      </c>
      <c r="G763" s="35">
        <v>240.96</v>
      </c>
      <c r="H763" s="33">
        <f>G763*(1-IFERROR(VLOOKUP(F763,'enter the discount'!$D$10:$E$40,2,FALSE),0))</f>
        <v>240.96</v>
      </c>
      <c r="I763" s="35" t="s">
        <v>2609</v>
      </c>
      <c r="J763" s="33" t="s">
        <v>2688</v>
      </c>
      <c r="K763" s="33" t="s">
        <v>2749</v>
      </c>
      <c r="L763">
        <v>1</v>
      </c>
      <c r="M763"/>
      <c r="N763" t="s">
        <v>2754</v>
      </c>
      <c r="O763"/>
      <c r="P763" t="s">
        <v>3</v>
      </c>
      <c r="Q763"/>
    </row>
    <row r="764" spans="1:17" ht="14.4" x14ac:dyDescent="0.3">
      <c r="A764" t="s">
        <v>11</v>
      </c>
      <c r="B764" t="s">
        <v>648</v>
      </c>
      <c r="C764" t="s">
        <v>1875</v>
      </c>
      <c r="D764" t="s">
        <v>2377</v>
      </c>
      <c r="E764" t="s">
        <v>2378</v>
      </c>
      <c r="F764" t="s">
        <v>853</v>
      </c>
      <c r="G764" s="35">
        <v>240.96</v>
      </c>
      <c r="H764" s="33">
        <f>G764*(1-IFERROR(VLOOKUP(F764,'enter the discount'!$D$10:$E$40,2,FALSE),0))</f>
        <v>240.96</v>
      </c>
      <c r="I764" s="35" t="s">
        <v>2609</v>
      </c>
      <c r="J764" s="33" t="s">
        <v>2689</v>
      </c>
      <c r="K764" s="33" t="s">
        <v>2749</v>
      </c>
      <c r="L764">
        <v>1</v>
      </c>
      <c r="M764"/>
      <c r="N764" t="s">
        <v>2754</v>
      </c>
      <c r="O764"/>
      <c r="P764" t="s">
        <v>3</v>
      </c>
      <c r="Q764"/>
    </row>
    <row r="765" spans="1:17" ht="14.4" x14ac:dyDescent="0.3">
      <c r="A765" t="s">
        <v>11</v>
      </c>
      <c r="B765" t="s">
        <v>648</v>
      </c>
      <c r="C765" t="s">
        <v>1875</v>
      </c>
      <c r="D765" t="s">
        <v>2379</v>
      </c>
      <c r="E765" t="s">
        <v>2380</v>
      </c>
      <c r="F765" t="s">
        <v>849</v>
      </c>
      <c r="G765" s="35">
        <v>101.71</v>
      </c>
      <c r="H765" s="33">
        <f>G765*(1-IFERROR(VLOOKUP(F765,'enter the discount'!$D$10:$E$40,2,FALSE),0))</f>
        <v>101.71</v>
      </c>
      <c r="I765" s="35" t="s">
        <v>2609</v>
      </c>
      <c r="J765" s="33" t="s">
        <v>2690</v>
      </c>
      <c r="K765" s="33" t="s">
        <v>2749</v>
      </c>
      <c r="L765">
        <v>1</v>
      </c>
      <c r="M765"/>
      <c r="N765" t="s">
        <v>2754</v>
      </c>
      <c r="O765" s="34" t="str">
        <f>HYPERLINK("https://b2b.kobi.pl/pl/product/9806,lampa-wiszaca-boho-bonn-rb-1xe27-kobi-design?currency=PLN")</f>
        <v>https://b2b.kobi.pl/pl/product/9806,lampa-wiszaca-boho-bonn-rb-1xe27-kobi-design?currency=PLN</v>
      </c>
      <c r="P765" t="s">
        <v>3</v>
      </c>
      <c r="Q765"/>
    </row>
    <row r="766" spans="1:17" ht="14.4" x14ac:dyDescent="0.3">
      <c r="A766" t="s">
        <v>11</v>
      </c>
      <c r="B766" t="s">
        <v>648</v>
      </c>
      <c r="C766" t="s">
        <v>1875</v>
      </c>
      <c r="D766" t="s">
        <v>2381</v>
      </c>
      <c r="E766" t="s">
        <v>2382</v>
      </c>
      <c r="F766" t="s">
        <v>849</v>
      </c>
      <c r="G766" s="35">
        <v>101.71</v>
      </c>
      <c r="H766" s="33">
        <f>G766*(1-IFERROR(VLOOKUP(F766,'enter the discount'!$D$10:$E$40,2,FALSE),0))</f>
        <v>101.71</v>
      </c>
      <c r="I766" s="35" t="s">
        <v>2609</v>
      </c>
      <c r="J766" s="33" t="s">
        <v>2691</v>
      </c>
      <c r="K766" s="33" t="s">
        <v>2749</v>
      </c>
      <c r="L766">
        <v>1</v>
      </c>
      <c r="M766"/>
      <c r="N766" t="s">
        <v>2754</v>
      </c>
      <c r="O766" s="34" t="str">
        <f>HYPERLINK("https://b2b.kobi.pl/pl/product/9807,lampa-wiszaca-boho-bonn-rw-1xe27-kobi-design?currency=PLN")</f>
        <v>https://b2b.kobi.pl/pl/product/9807,lampa-wiszaca-boho-bonn-rw-1xe27-kobi-design?currency=PLN</v>
      </c>
      <c r="P766" t="s">
        <v>3</v>
      </c>
      <c r="Q766"/>
    </row>
    <row r="767" spans="1:17" ht="14.4" x14ac:dyDescent="0.3">
      <c r="A767" t="s">
        <v>11</v>
      </c>
      <c r="B767" t="s">
        <v>648</v>
      </c>
      <c r="C767" t="s">
        <v>1875</v>
      </c>
      <c r="D767" t="s">
        <v>2383</v>
      </c>
      <c r="E767" t="s">
        <v>2384</v>
      </c>
      <c r="F767" t="s">
        <v>849</v>
      </c>
      <c r="G767" s="35">
        <v>92.53</v>
      </c>
      <c r="H767" s="33">
        <f>G767*(1-IFERROR(VLOOKUP(F767,'enter the discount'!$D$10:$E$40,2,FALSE),0))</f>
        <v>92.53</v>
      </c>
      <c r="I767" s="35" t="s">
        <v>2609</v>
      </c>
      <c r="J767" s="33" t="s">
        <v>2692</v>
      </c>
      <c r="K767" s="33" t="s">
        <v>2749</v>
      </c>
      <c r="L767">
        <v>1</v>
      </c>
      <c r="M767"/>
      <c r="N767" t="s">
        <v>2754</v>
      </c>
      <c r="O767" s="34" t="str">
        <f>HYPERLINK("https://b2b.kobi.pl/pl/product/9808,lampa-wiszaca-boho-brugia-m-rb-1xe27-kobi-design?currency=PLN")</f>
        <v>https://b2b.kobi.pl/pl/product/9808,lampa-wiszaca-boho-brugia-m-rb-1xe27-kobi-design?currency=PLN</v>
      </c>
      <c r="P767" t="s">
        <v>3</v>
      </c>
      <c r="Q767"/>
    </row>
    <row r="768" spans="1:17" ht="14.4" x14ac:dyDescent="0.3">
      <c r="A768" t="s">
        <v>11</v>
      </c>
      <c r="B768" t="s">
        <v>648</v>
      </c>
      <c r="C768" t="s">
        <v>1875</v>
      </c>
      <c r="D768" t="s">
        <v>2385</v>
      </c>
      <c r="E768" t="s">
        <v>2386</v>
      </c>
      <c r="F768" t="s">
        <v>849</v>
      </c>
      <c r="G768" s="35">
        <v>92.53</v>
      </c>
      <c r="H768" s="33">
        <f>G768*(1-IFERROR(VLOOKUP(F768,'enter the discount'!$D$10:$E$40,2,FALSE),0))</f>
        <v>92.53</v>
      </c>
      <c r="I768" s="35" t="s">
        <v>2609</v>
      </c>
      <c r="J768" s="33" t="s">
        <v>2693</v>
      </c>
      <c r="K768" s="33" t="s">
        <v>2749</v>
      </c>
      <c r="L768">
        <v>1</v>
      </c>
      <c r="M768"/>
      <c r="N768" t="s">
        <v>2754</v>
      </c>
      <c r="O768" s="34" t="str">
        <f>HYPERLINK("https://b2b.kobi.pl/pl/product/9809,lampa-wiszaca-boho-brugia-m-rw-1xe27-kobi-design?currency=PLN")</f>
        <v>https://b2b.kobi.pl/pl/product/9809,lampa-wiszaca-boho-brugia-m-rw-1xe27-kobi-design?currency=PLN</v>
      </c>
      <c r="P768" t="s">
        <v>3</v>
      </c>
      <c r="Q768"/>
    </row>
    <row r="769" spans="1:17" ht="14.4" x14ac:dyDescent="0.3">
      <c r="A769" t="s">
        <v>11</v>
      </c>
      <c r="B769" t="s">
        <v>648</v>
      </c>
      <c r="C769" t="s">
        <v>1875</v>
      </c>
      <c r="D769" t="s">
        <v>2387</v>
      </c>
      <c r="E769" t="s">
        <v>2388</v>
      </c>
      <c r="F769" t="s">
        <v>849</v>
      </c>
      <c r="G769" s="35">
        <v>116.28</v>
      </c>
      <c r="H769" s="33">
        <f>G769*(1-IFERROR(VLOOKUP(F769,'enter the discount'!$D$10:$E$40,2,FALSE),0))</f>
        <v>116.28</v>
      </c>
      <c r="I769" s="35" t="s">
        <v>2609</v>
      </c>
      <c r="J769" s="33" t="s">
        <v>2694</v>
      </c>
      <c r="K769" s="33" t="s">
        <v>2749</v>
      </c>
      <c r="L769">
        <v>1</v>
      </c>
      <c r="M769"/>
      <c r="N769" t="s">
        <v>2754</v>
      </c>
      <c r="O769" s="34" t="str">
        <f>HYPERLINK("https://b2b.kobi.pl/pl/product/9810,lampa-wiszaca-boho-brugia-l-rb-1xe27-kobi-design?currency=PLN")</f>
        <v>https://b2b.kobi.pl/pl/product/9810,lampa-wiszaca-boho-brugia-l-rb-1xe27-kobi-design?currency=PLN</v>
      </c>
      <c r="P769" t="s">
        <v>3</v>
      </c>
      <c r="Q769"/>
    </row>
    <row r="770" spans="1:17" ht="14.4" x14ac:dyDescent="0.3">
      <c r="A770" t="s">
        <v>11</v>
      </c>
      <c r="B770" t="s">
        <v>648</v>
      </c>
      <c r="C770" t="s">
        <v>1875</v>
      </c>
      <c r="D770" t="s">
        <v>2389</v>
      </c>
      <c r="E770" t="s">
        <v>2390</v>
      </c>
      <c r="F770" t="s">
        <v>849</v>
      </c>
      <c r="G770" s="35">
        <v>116.28</v>
      </c>
      <c r="H770" s="33">
        <f>G770*(1-IFERROR(VLOOKUP(F770,'enter the discount'!$D$10:$E$40,2,FALSE),0))</f>
        <v>116.28</v>
      </c>
      <c r="I770" s="35" t="s">
        <v>2609</v>
      </c>
      <c r="J770" s="33" t="s">
        <v>2695</v>
      </c>
      <c r="K770" s="33" t="s">
        <v>2749</v>
      </c>
      <c r="L770">
        <v>1</v>
      </c>
      <c r="M770"/>
      <c r="N770" t="s">
        <v>2754</v>
      </c>
      <c r="O770" s="34" t="str">
        <f>HYPERLINK("https://b2b.kobi.pl/pl/product/9811,lampa-wiszaca-boho-brugia-l-rw-1xe27-kobi-design?currency=PLN")</f>
        <v>https://b2b.kobi.pl/pl/product/9811,lampa-wiszaca-boho-brugia-l-rw-1xe27-kobi-design?currency=PLN</v>
      </c>
      <c r="P770" t="s">
        <v>3</v>
      </c>
      <c r="Q770"/>
    </row>
    <row r="771" spans="1:17" ht="14.4" x14ac:dyDescent="0.3">
      <c r="A771" t="s">
        <v>11</v>
      </c>
      <c r="B771" t="s">
        <v>648</v>
      </c>
      <c r="C771" t="s">
        <v>1875</v>
      </c>
      <c r="D771" t="s">
        <v>2391</v>
      </c>
      <c r="E771" t="s">
        <v>2392</v>
      </c>
      <c r="F771" t="s">
        <v>849</v>
      </c>
      <c r="G771" s="35">
        <v>92.47</v>
      </c>
      <c r="H771" s="33">
        <f>G771*(1-IFERROR(VLOOKUP(F771,'enter the discount'!$D$10:$E$40,2,FALSE),0))</f>
        <v>92.47</v>
      </c>
      <c r="I771" s="35" t="s">
        <v>2609</v>
      </c>
      <c r="J771" s="33" t="s">
        <v>2696</v>
      </c>
      <c r="K771" s="33" t="s">
        <v>2749</v>
      </c>
      <c r="L771">
        <v>1</v>
      </c>
      <c r="M771"/>
      <c r="N771" t="s">
        <v>2754</v>
      </c>
      <c r="O771" s="34" t="str">
        <f>HYPERLINK("https://b2b.kobi.pl/pl/product/9812,lampa-wiszaca-boho-baku-l-1xe27-kobi-design?currency=PLN")</f>
        <v>https://b2b.kobi.pl/pl/product/9812,lampa-wiszaca-boho-baku-l-1xe27-kobi-design?currency=PLN</v>
      </c>
      <c r="P771" t="s">
        <v>3</v>
      </c>
      <c r="Q771"/>
    </row>
    <row r="772" spans="1:17" ht="14.4" x14ac:dyDescent="0.3">
      <c r="A772" t="s">
        <v>11</v>
      </c>
      <c r="B772" t="s">
        <v>648</v>
      </c>
      <c r="C772" t="s">
        <v>1875</v>
      </c>
      <c r="D772" t="s">
        <v>2393</v>
      </c>
      <c r="E772" t="s">
        <v>2394</v>
      </c>
      <c r="F772" t="s">
        <v>849</v>
      </c>
      <c r="G772" s="35">
        <v>240.96</v>
      </c>
      <c r="H772" s="33">
        <f>G772*(1-IFERROR(VLOOKUP(F772,'enter the discount'!$D$10:$E$40,2,FALSE),0))</f>
        <v>240.96</v>
      </c>
      <c r="I772" s="35" t="s">
        <v>2609</v>
      </c>
      <c r="J772" s="33" t="s">
        <v>2697</v>
      </c>
      <c r="K772" s="33" t="s">
        <v>2749</v>
      </c>
      <c r="L772">
        <v>1</v>
      </c>
      <c r="M772"/>
      <c r="N772" t="s">
        <v>2754</v>
      </c>
      <c r="O772"/>
      <c r="P772" t="s">
        <v>3</v>
      </c>
      <c r="Q772"/>
    </row>
    <row r="773" spans="1:17" ht="14.4" x14ac:dyDescent="0.3">
      <c r="A773" t="s">
        <v>11</v>
      </c>
      <c r="B773" t="s">
        <v>648</v>
      </c>
      <c r="C773" t="s">
        <v>1875</v>
      </c>
      <c r="D773" t="s">
        <v>2395</v>
      </c>
      <c r="E773" t="s">
        <v>2396</v>
      </c>
      <c r="F773" t="s">
        <v>849</v>
      </c>
      <c r="G773" s="35">
        <v>240.96</v>
      </c>
      <c r="H773" s="33">
        <f>G773*(1-IFERROR(VLOOKUP(F773,'enter the discount'!$D$10:$E$40,2,FALSE),0))</f>
        <v>240.96</v>
      </c>
      <c r="I773" s="35" t="s">
        <v>2609</v>
      </c>
      <c r="J773" s="33" t="s">
        <v>2698</v>
      </c>
      <c r="K773" s="33" t="s">
        <v>2749</v>
      </c>
      <c r="L773">
        <v>1</v>
      </c>
      <c r="M773"/>
      <c r="N773" t="s">
        <v>2754</v>
      </c>
      <c r="O773"/>
      <c r="P773" t="s">
        <v>3</v>
      </c>
      <c r="Q773"/>
    </row>
    <row r="774" spans="1:17" ht="14.4" x14ac:dyDescent="0.3">
      <c r="A774" t="s">
        <v>11</v>
      </c>
      <c r="B774" t="s">
        <v>648</v>
      </c>
      <c r="C774" t="s">
        <v>1875</v>
      </c>
      <c r="D774" t="s">
        <v>2397</v>
      </c>
      <c r="E774" t="s">
        <v>2398</v>
      </c>
      <c r="F774" t="s">
        <v>849</v>
      </c>
      <c r="G774" s="35">
        <v>240.96</v>
      </c>
      <c r="H774" s="33">
        <f>G774*(1-IFERROR(VLOOKUP(F774,'enter the discount'!$D$10:$E$40,2,FALSE),0))</f>
        <v>240.96</v>
      </c>
      <c r="I774" s="35" t="s">
        <v>2609</v>
      </c>
      <c r="J774" s="33" t="s">
        <v>2699</v>
      </c>
      <c r="K774" s="33" t="s">
        <v>2749</v>
      </c>
      <c r="L774">
        <v>1</v>
      </c>
      <c r="M774"/>
      <c r="N774" t="s">
        <v>2754</v>
      </c>
      <c r="O774"/>
      <c r="P774" t="s">
        <v>3</v>
      </c>
      <c r="Q774"/>
    </row>
    <row r="775" spans="1:17" ht="14.4" x14ac:dyDescent="0.3">
      <c r="A775" t="s">
        <v>11</v>
      </c>
      <c r="B775" t="s">
        <v>648</v>
      </c>
      <c r="C775" t="s">
        <v>1875</v>
      </c>
      <c r="D775" t="s">
        <v>2399</v>
      </c>
      <c r="E775" t="s">
        <v>2400</v>
      </c>
      <c r="F775" t="s">
        <v>853</v>
      </c>
      <c r="G775" s="35">
        <v>240.96</v>
      </c>
      <c r="H775" s="33">
        <f>G775*(1-IFERROR(VLOOKUP(F775,'enter the discount'!$D$10:$E$40,2,FALSE),0))</f>
        <v>240.96</v>
      </c>
      <c r="I775" s="35" t="s">
        <v>2609</v>
      </c>
      <c r="J775" s="33" t="s">
        <v>2700</v>
      </c>
      <c r="K775" s="33" t="s">
        <v>2749</v>
      </c>
      <c r="L775">
        <v>1</v>
      </c>
      <c r="M775"/>
      <c r="N775" t="s">
        <v>2754</v>
      </c>
      <c r="O775"/>
      <c r="P775" t="s">
        <v>3</v>
      </c>
      <c r="Q775"/>
    </row>
    <row r="776" spans="1:17" ht="14.4" x14ac:dyDescent="0.3">
      <c r="A776" t="s">
        <v>11</v>
      </c>
      <c r="B776" t="s">
        <v>648</v>
      </c>
      <c r="C776" t="s">
        <v>1875</v>
      </c>
      <c r="D776" t="s">
        <v>2401</v>
      </c>
      <c r="E776" t="s">
        <v>2402</v>
      </c>
      <c r="F776" t="s">
        <v>849</v>
      </c>
      <c r="G776" s="35">
        <v>82.24</v>
      </c>
      <c r="H776" s="33">
        <f>G776*(1-IFERROR(VLOOKUP(F776,'enter the discount'!$D$10:$E$40,2,FALSE),0))</f>
        <v>82.24</v>
      </c>
      <c r="I776" s="35" t="s">
        <v>2609</v>
      </c>
      <c r="J776" s="33" t="s">
        <v>2701</v>
      </c>
      <c r="K776" s="33" t="s">
        <v>2749</v>
      </c>
      <c r="L776">
        <v>1</v>
      </c>
      <c r="M776"/>
      <c r="N776" t="s">
        <v>2754</v>
      </c>
      <c r="O776" s="34" t="str">
        <f>HYPERLINK("https://b2b.kobi.pl/pl/product/9817,lampa-wiszaca-boho-belmo-1xe27-kobi-design?currency=PLN")</f>
        <v>https://b2b.kobi.pl/pl/product/9817,lampa-wiszaca-boho-belmo-1xe27-kobi-design?currency=PLN</v>
      </c>
      <c r="P776" t="s">
        <v>3</v>
      </c>
      <c r="Q776"/>
    </row>
    <row r="777" spans="1:17" ht="14.4" x14ac:dyDescent="0.3">
      <c r="A777" t="s">
        <v>11</v>
      </c>
      <c r="B777" t="s">
        <v>648</v>
      </c>
      <c r="C777" t="s">
        <v>1875</v>
      </c>
      <c r="D777" t="s">
        <v>2403</v>
      </c>
      <c r="E777" t="s">
        <v>2404</v>
      </c>
      <c r="F777" t="s">
        <v>849</v>
      </c>
      <c r="G777" s="35">
        <v>240.96</v>
      </c>
      <c r="H777" s="33">
        <f>G777*(1-IFERROR(VLOOKUP(F777,'enter the discount'!$D$10:$E$40,2,FALSE),0))</f>
        <v>240.96</v>
      </c>
      <c r="I777" s="35" t="s">
        <v>2609</v>
      </c>
      <c r="J777" s="33" t="s">
        <v>2702</v>
      </c>
      <c r="K777" s="33" t="s">
        <v>2749</v>
      </c>
      <c r="L777">
        <v>1</v>
      </c>
      <c r="M777"/>
      <c r="N777" t="s">
        <v>2754</v>
      </c>
      <c r="O777"/>
      <c r="P777" t="s">
        <v>3</v>
      </c>
      <c r="Q777"/>
    </row>
    <row r="778" spans="1:17" ht="14.4" x14ac:dyDescent="0.3">
      <c r="A778" t="s">
        <v>11</v>
      </c>
      <c r="B778" t="s">
        <v>648</v>
      </c>
      <c r="C778" t="s">
        <v>1875</v>
      </c>
      <c r="D778" t="s">
        <v>2405</v>
      </c>
      <c r="E778" t="s">
        <v>2406</v>
      </c>
      <c r="F778" t="s">
        <v>849</v>
      </c>
      <c r="G778" s="35">
        <v>240.96</v>
      </c>
      <c r="H778" s="33">
        <f>G778*(1-IFERROR(VLOOKUP(F778,'enter the discount'!$D$10:$E$40,2,FALSE),0))</f>
        <v>240.96</v>
      </c>
      <c r="I778" s="35" t="s">
        <v>2609</v>
      </c>
      <c r="J778" s="33" t="s">
        <v>2703</v>
      </c>
      <c r="K778" s="33" t="s">
        <v>2749</v>
      </c>
      <c r="L778">
        <v>1</v>
      </c>
      <c r="M778"/>
      <c r="N778" t="s">
        <v>2754</v>
      </c>
      <c r="O778"/>
      <c r="P778" t="s">
        <v>3</v>
      </c>
      <c r="Q778"/>
    </row>
    <row r="779" spans="1:17" ht="14.4" x14ac:dyDescent="0.3">
      <c r="A779" t="s">
        <v>11</v>
      </c>
      <c r="B779" t="s">
        <v>648</v>
      </c>
      <c r="C779" t="s">
        <v>1875</v>
      </c>
      <c r="D779" t="s">
        <v>2407</v>
      </c>
      <c r="E779" t="s">
        <v>2408</v>
      </c>
      <c r="F779" t="s">
        <v>849</v>
      </c>
      <c r="G779" s="35">
        <v>240.96</v>
      </c>
      <c r="H779" s="33">
        <f>G779*(1-IFERROR(VLOOKUP(F779,'enter the discount'!$D$10:$E$40,2,FALSE),0))</f>
        <v>240.96</v>
      </c>
      <c r="I779" s="35" t="s">
        <v>2609</v>
      </c>
      <c r="J779" s="33" t="s">
        <v>2704</v>
      </c>
      <c r="K779" s="33" t="s">
        <v>2749</v>
      </c>
      <c r="L779">
        <v>1</v>
      </c>
      <c r="M779"/>
      <c r="N779" t="s">
        <v>2754</v>
      </c>
      <c r="O779"/>
      <c r="P779" t="s">
        <v>3</v>
      </c>
      <c r="Q779"/>
    </row>
    <row r="780" spans="1:17" ht="14.4" x14ac:dyDescent="0.3">
      <c r="A780" t="s">
        <v>11</v>
      </c>
      <c r="B780" t="s">
        <v>648</v>
      </c>
      <c r="C780" t="s">
        <v>1875</v>
      </c>
      <c r="D780" t="s">
        <v>2409</v>
      </c>
      <c r="E780" t="s">
        <v>2410</v>
      </c>
      <c r="F780" t="s">
        <v>849</v>
      </c>
      <c r="G780" s="35">
        <v>240.96</v>
      </c>
      <c r="H780" s="33">
        <f>G780*(1-IFERROR(VLOOKUP(F780,'enter the discount'!$D$10:$E$40,2,FALSE),0))</f>
        <v>240.96</v>
      </c>
      <c r="I780" s="35" t="s">
        <v>2609</v>
      </c>
      <c r="J780" s="33" t="s">
        <v>2705</v>
      </c>
      <c r="K780" s="33" t="s">
        <v>2749</v>
      </c>
      <c r="L780">
        <v>1</v>
      </c>
      <c r="M780"/>
      <c r="N780" t="s">
        <v>2754</v>
      </c>
      <c r="O780"/>
      <c r="P780" t="s">
        <v>3</v>
      </c>
      <c r="Q780"/>
    </row>
    <row r="781" spans="1:17" ht="14.4" x14ac:dyDescent="0.3">
      <c r="A781" t="s">
        <v>11</v>
      </c>
      <c r="B781" t="s">
        <v>648</v>
      </c>
      <c r="C781" t="s">
        <v>1875</v>
      </c>
      <c r="D781" t="s">
        <v>2411</v>
      </c>
      <c r="E781" t="s">
        <v>2412</v>
      </c>
      <c r="F781" t="s">
        <v>849</v>
      </c>
      <c r="G781" s="35">
        <v>240.96</v>
      </c>
      <c r="H781" s="33">
        <f>G781*(1-IFERROR(VLOOKUP(F781,'enter the discount'!$D$10:$E$40,2,FALSE),0))</f>
        <v>240.96</v>
      </c>
      <c r="I781" s="35" t="s">
        <v>2609</v>
      </c>
      <c r="J781" s="33" t="s">
        <v>2706</v>
      </c>
      <c r="K781" s="33" t="s">
        <v>2749</v>
      </c>
      <c r="L781">
        <v>1</v>
      </c>
      <c r="M781"/>
      <c r="N781" t="s">
        <v>2754</v>
      </c>
      <c r="O781"/>
      <c r="P781" t="s">
        <v>3</v>
      </c>
      <c r="Q781"/>
    </row>
    <row r="782" spans="1:17" ht="14.4" x14ac:dyDescent="0.3">
      <c r="A782" t="s">
        <v>11</v>
      </c>
      <c r="B782" t="s">
        <v>648</v>
      </c>
      <c r="C782" t="s">
        <v>1875</v>
      </c>
      <c r="D782" t="s">
        <v>2413</v>
      </c>
      <c r="E782" t="s">
        <v>2414</v>
      </c>
      <c r="F782" t="s">
        <v>849</v>
      </c>
      <c r="G782" s="35">
        <v>240.96</v>
      </c>
      <c r="H782" s="33">
        <f>G782*(1-IFERROR(VLOOKUP(F782,'enter the discount'!$D$10:$E$40,2,FALSE),0))</f>
        <v>240.96</v>
      </c>
      <c r="I782" s="35" t="s">
        <v>2609</v>
      </c>
      <c r="J782" s="33" t="s">
        <v>2707</v>
      </c>
      <c r="K782" s="33" t="s">
        <v>2749</v>
      </c>
      <c r="L782">
        <v>1</v>
      </c>
      <c r="M782"/>
      <c r="N782" t="s">
        <v>2754</v>
      </c>
      <c r="O782"/>
      <c r="P782" t="s">
        <v>3</v>
      </c>
      <c r="Q782"/>
    </row>
    <row r="783" spans="1:17" ht="14.4" x14ac:dyDescent="0.3">
      <c r="A783" t="s">
        <v>11</v>
      </c>
      <c r="B783" t="s">
        <v>648</v>
      </c>
      <c r="C783" t="s">
        <v>1875</v>
      </c>
      <c r="D783" t="s">
        <v>2415</v>
      </c>
      <c r="E783" t="s">
        <v>2416</v>
      </c>
      <c r="F783" t="s">
        <v>849</v>
      </c>
      <c r="G783" s="35">
        <v>240.96</v>
      </c>
      <c r="H783" s="33">
        <f>G783*(1-IFERROR(VLOOKUP(F783,'enter the discount'!$D$10:$E$40,2,FALSE),0))</f>
        <v>240.96</v>
      </c>
      <c r="I783" s="35" t="s">
        <v>2609</v>
      </c>
      <c r="J783" s="33" t="s">
        <v>2708</v>
      </c>
      <c r="K783" s="33" t="s">
        <v>2749</v>
      </c>
      <c r="L783">
        <v>1</v>
      </c>
      <c r="M783"/>
      <c r="N783" t="s">
        <v>2754</v>
      </c>
      <c r="O783"/>
      <c r="P783" t="s">
        <v>3</v>
      </c>
      <c r="Q783"/>
    </row>
    <row r="784" spans="1:17" ht="14.4" x14ac:dyDescent="0.3">
      <c r="A784" t="s">
        <v>11</v>
      </c>
      <c r="B784" t="s">
        <v>648</v>
      </c>
      <c r="C784" t="s">
        <v>1875</v>
      </c>
      <c r="D784" t="s">
        <v>2417</v>
      </c>
      <c r="E784" t="s">
        <v>2418</v>
      </c>
      <c r="F784" t="s">
        <v>849</v>
      </c>
      <c r="G784" s="35">
        <v>81.37</v>
      </c>
      <c r="H784" s="33">
        <f>G784*(1-IFERROR(VLOOKUP(F784,'enter the discount'!$D$10:$E$40,2,FALSE),0))</f>
        <v>81.37</v>
      </c>
      <c r="I784" s="35" t="s">
        <v>2609</v>
      </c>
      <c r="J784" s="33" t="s">
        <v>2709</v>
      </c>
      <c r="K784" s="33" t="s">
        <v>2749</v>
      </c>
      <c r="L784">
        <v>1</v>
      </c>
      <c r="M784"/>
      <c r="N784" t="s">
        <v>2754</v>
      </c>
      <c r="O784" s="34" t="str">
        <f>HYPERLINK("https://b2b.kobi.pl/pl/product/9825,lampa-sufitowa-boho-buli-s-1xe27-kobi-design?currency=PLN")</f>
        <v>https://b2b.kobi.pl/pl/product/9825,lampa-sufitowa-boho-buli-s-1xe27-kobi-design?currency=PLN</v>
      </c>
      <c r="P784" t="s">
        <v>3</v>
      </c>
      <c r="Q784"/>
    </row>
    <row r="785" spans="1:17" ht="14.4" x14ac:dyDescent="0.3">
      <c r="A785" t="s">
        <v>11</v>
      </c>
      <c r="B785" t="s">
        <v>648</v>
      </c>
      <c r="C785" t="s">
        <v>1875</v>
      </c>
      <c r="D785" t="s">
        <v>2419</v>
      </c>
      <c r="E785" t="s">
        <v>2420</v>
      </c>
      <c r="F785" t="s">
        <v>849</v>
      </c>
      <c r="G785" s="35">
        <v>240.96</v>
      </c>
      <c r="H785" s="33">
        <f>G785*(1-IFERROR(VLOOKUP(F785,'enter the discount'!$D$10:$E$40,2,FALSE),0))</f>
        <v>240.96</v>
      </c>
      <c r="I785" s="35" t="s">
        <v>2609</v>
      </c>
      <c r="J785" s="33" t="s">
        <v>2710</v>
      </c>
      <c r="K785" s="33" t="s">
        <v>2749</v>
      </c>
      <c r="L785">
        <v>1</v>
      </c>
      <c r="M785"/>
      <c r="N785" t="s">
        <v>2754</v>
      </c>
      <c r="O785"/>
      <c r="P785" t="s">
        <v>3</v>
      </c>
      <c r="Q785"/>
    </row>
    <row r="786" spans="1:17" ht="14.4" x14ac:dyDescent="0.3">
      <c r="A786" t="s">
        <v>11</v>
      </c>
      <c r="B786" t="s">
        <v>648</v>
      </c>
      <c r="C786" t="s">
        <v>1875</v>
      </c>
      <c r="D786" t="s">
        <v>2421</v>
      </c>
      <c r="E786" t="s">
        <v>2422</v>
      </c>
      <c r="F786" t="s">
        <v>849</v>
      </c>
      <c r="G786" s="35">
        <v>240.96</v>
      </c>
      <c r="H786" s="33">
        <f>G786*(1-IFERROR(VLOOKUP(F786,'enter the discount'!$D$10:$E$40,2,FALSE),0))</f>
        <v>240.96</v>
      </c>
      <c r="I786" s="35" t="s">
        <v>2609</v>
      </c>
      <c r="J786" s="33" t="s">
        <v>2711</v>
      </c>
      <c r="K786" s="33" t="s">
        <v>2749</v>
      </c>
      <c r="L786">
        <v>1</v>
      </c>
      <c r="M786"/>
      <c r="N786" t="s">
        <v>2754</v>
      </c>
      <c r="O786"/>
      <c r="P786" t="s">
        <v>3</v>
      </c>
      <c r="Q786"/>
    </row>
    <row r="787" spans="1:17" ht="14.4" x14ac:dyDescent="0.3">
      <c r="A787" t="s">
        <v>11</v>
      </c>
      <c r="B787" t="s">
        <v>648</v>
      </c>
      <c r="C787" t="s">
        <v>1875</v>
      </c>
      <c r="D787" t="s">
        <v>2423</v>
      </c>
      <c r="E787" t="s">
        <v>2424</v>
      </c>
      <c r="F787" t="s">
        <v>849</v>
      </c>
      <c r="G787" s="35">
        <v>240.96</v>
      </c>
      <c r="H787" s="33">
        <f>G787*(1-IFERROR(VLOOKUP(F787,'enter the discount'!$D$10:$E$40,2,FALSE),0))</f>
        <v>240.96</v>
      </c>
      <c r="I787" s="35" t="s">
        <v>2609</v>
      </c>
      <c r="J787" s="33" t="s">
        <v>2712</v>
      </c>
      <c r="K787" s="33" t="s">
        <v>2749</v>
      </c>
      <c r="L787">
        <v>1</v>
      </c>
      <c r="M787"/>
      <c r="N787" t="s">
        <v>2754</v>
      </c>
      <c r="O787"/>
      <c r="P787" t="s">
        <v>3</v>
      </c>
      <c r="Q787"/>
    </row>
    <row r="788" spans="1:17" ht="14.4" x14ac:dyDescent="0.3">
      <c r="A788" t="s">
        <v>11</v>
      </c>
      <c r="B788" t="s">
        <v>648</v>
      </c>
      <c r="C788" t="s">
        <v>1875</v>
      </c>
      <c r="D788" t="s">
        <v>2425</v>
      </c>
      <c r="E788" t="s">
        <v>2426</v>
      </c>
      <c r="F788" t="s">
        <v>849</v>
      </c>
      <c r="G788" s="35">
        <v>75.41</v>
      </c>
      <c r="H788" s="33">
        <f>G788*(1-IFERROR(VLOOKUP(F788,'enter the discount'!$D$10:$E$40,2,FALSE),0))</f>
        <v>75.41</v>
      </c>
      <c r="I788" s="35" t="s">
        <v>2609</v>
      </c>
      <c r="J788" s="33" t="s">
        <v>2713</v>
      </c>
      <c r="K788" s="33" t="s">
        <v>2749</v>
      </c>
      <c r="L788">
        <v>1</v>
      </c>
      <c r="M788"/>
      <c r="N788" t="s">
        <v>2754</v>
      </c>
      <c r="O788" s="34" t="str">
        <f>HYPERLINK("https://b2b.kobi.pl/pl/product/9829,lampa-sufitowa-boho-rovno-1xe27-kobi-design?currency=PLN")</f>
        <v>https://b2b.kobi.pl/pl/product/9829,lampa-sufitowa-boho-rovno-1xe27-kobi-design?currency=PLN</v>
      </c>
      <c r="P788" t="s">
        <v>3</v>
      </c>
      <c r="Q788"/>
    </row>
    <row r="789" spans="1:17" ht="14.4" x14ac:dyDescent="0.3">
      <c r="A789" t="s">
        <v>11</v>
      </c>
      <c r="B789" t="s">
        <v>648</v>
      </c>
      <c r="C789" t="s">
        <v>1875</v>
      </c>
      <c r="D789" t="s">
        <v>2427</v>
      </c>
      <c r="E789" t="s">
        <v>2428</v>
      </c>
      <c r="F789" t="s">
        <v>849</v>
      </c>
      <c r="G789" s="35">
        <v>240.96</v>
      </c>
      <c r="H789" s="33">
        <f>G789*(1-IFERROR(VLOOKUP(F789,'enter the discount'!$D$10:$E$40,2,FALSE),0))</f>
        <v>240.96</v>
      </c>
      <c r="I789" s="35" t="s">
        <v>2609</v>
      </c>
      <c r="J789" s="33" t="s">
        <v>2714</v>
      </c>
      <c r="K789" s="33" t="s">
        <v>2749</v>
      </c>
      <c r="L789">
        <v>1</v>
      </c>
      <c r="M789"/>
      <c r="N789" t="s">
        <v>2754</v>
      </c>
      <c r="O789"/>
      <c r="P789" t="s">
        <v>3</v>
      </c>
      <c r="Q789"/>
    </row>
    <row r="790" spans="1:17" ht="14.4" x14ac:dyDescent="0.3">
      <c r="A790" t="s">
        <v>11</v>
      </c>
      <c r="B790" t="s">
        <v>648</v>
      </c>
      <c r="C790" t="s">
        <v>1875</v>
      </c>
      <c r="D790" t="s">
        <v>2429</v>
      </c>
      <c r="E790" t="s">
        <v>2430</v>
      </c>
      <c r="F790" t="s">
        <v>849</v>
      </c>
      <c r="G790" s="35">
        <v>240.96</v>
      </c>
      <c r="H790" s="33">
        <f>G790*(1-IFERROR(VLOOKUP(F790,'enter the discount'!$D$10:$E$40,2,FALSE),0))</f>
        <v>240.96</v>
      </c>
      <c r="I790" s="35" t="s">
        <v>2609</v>
      </c>
      <c r="J790" s="33" t="s">
        <v>2715</v>
      </c>
      <c r="K790" s="33" t="s">
        <v>2749</v>
      </c>
      <c r="L790">
        <v>1</v>
      </c>
      <c r="M790"/>
      <c r="N790" t="s">
        <v>2754</v>
      </c>
      <c r="O790"/>
      <c r="P790" t="s">
        <v>3</v>
      </c>
      <c r="Q790"/>
    </row>
    <row r="791" spans="1:17" ht="14.4" x14ac:dyDescent="0.3">
      <c r="A791" t="s">
        <v>11</v>
      </c>
      <c r="B791" t="s">
        <v>648</v>
      </c>
      <c r="C791" t="s">
        <v>1875</v>
      </c>
      <c r="D791" t="s">
        <v>2431</v>
      </c>
      <c r="E791" t="s">
        <v>2432</v>
      </c>
      <c r="F791" t="s">
        <v>849</v>
      </c>
      <c r="G791" s="35">
        <v>240.96</v>
      </c>
      <c r="H791" s="33">
        <f>G791*(1-IFERROR(VLOOKUP(F791,'enter the discount'!$D$10:$E$40,2,FALSE),0))</f>
        <v>240.96</v>
      </c>
      <c r="I791" s="35" t="s">
        <v>2609</v>
      </c>
      <c r="J791" s="33" t="s">
        <v>2716</v>
      </c>
      <c r="K791" s="33" t="s">
        <v>2749</v>
      </c>
      <c r="L791">
        <v>1</v>
      </c>
      <c r="M791"/>
      <c r="N791" t="s">
        <v>2754</v>
      </c>
      <c r="O791"/>
      <c r="P791" t="s">
        <v>3</v>
      </c>
      <c r="Q791"/>
    </row>
    <row r="792" spans="1:17" ht="14.4" x14ac:dyDescent="0.3">
      <c r="A792" t="s">
        <v>11</v>
      </c>
      <c r="B792" t="s">
        <v>648</v>
      </c>
      <c r="C792" t="s">
        <v>1875</v>
      </c>
      <c r="D792" t="s">
        <v>2433</v>
      </c>
      <c r="E792" t="s">
        <v>2434</v>
      </c>
      <c r="F792" t="s">
        <v>849</v>
      </c>
      <c r="G792" s="35">
        <v>240.96</v>
      </c>
      <c r="H792" s="33">
        <f>G792*(1-IFERROR(VLOOKUP(F792,'enter the discount'!$D$10:$E$40,2,FALSE),0))</f>
        <v>240.96</v>
      </c>
      <c r="I792" s="35" t="s">
        <v>2609</v>
      </c>
      <c r="J792" s="33" t="s">
        <v>2717</v>
      </c>
      <c r="K792" s="33" t="s">
        <v>2749</v>
      </c>
      <c r="L792">
        <v>1</v>
      </c>
      <c r="M792"/>
      <c r="N792" t="s">
        <v>2754</v>
      </c>
      <c r="O792"/>
      <c r="P792" t="s">
        <v>3</v>
      </c>
      <c r="Q792"/>
    </row>
    <row r="793" spans="1:17" ht="14.4" x14ac:dyDescent="0.3">
      <c r="A793" t="s">
        <v>11</v>
      </c>
      <c r="B793" t="s">
        <v>648</v>
      </c>
      <c r="C793" t="s">
        <v>1875</v>
      </c>
      <c r="D793" t="s">
        <v>2435</v>
      </c>
      <c r="E793" t="s">
        <v>2436</v>
      </c>
      <c r="F793" t="s">
        <v>853</v>
      </c>
      <c r="G793" s="35">
        <v>240.96</v>
      </c>
      <c r="H793" s="33">
        <f>G793*(1-IFERROR(VLOOKUP(F793,'enter the discount'!$D$10:$E$40,2,FALSE),0))</f>
        <v>240.96</v>
      </c>
      <c r="I793" s="35" t="s">
        <v>2609</v>
      </c>
      <c r="J793" s="33" t="s">
        <v>2718</v>
      </c>
      <c r="K793" s="33" t="s">
        <v>2749</v>
      </c>
      <c r="L793">
        <v>1</v>
      </c>
      <c r="M793"/>
      <c r="N793" t="s">
        <v>2754</v>
      </c>
      <c r="O793"/>
      <c r="P793" t="s">
        <v>3</v>
      </c>
      <c r="Q793"/>
    </row>
    <row r="794" spans="1:17" ht="14.4" x14ac:dyDescent="0.3">
      <c r="A794" t="s">
        <v>11</v>
      </c>
      <c r="B794" t="s">
        <v>648</v>
      </c>
      <c r="C794" t="s">
        <v>1875</v>
      </c>
      <c r="D794" t="s">
        <v>2437</v>
      </c>
      <c r="E794" t="s">
        <v>2438</v>
      </c>
      <c r="F794" t="s">
        <v>853</v>
      </c>
      <c r="G794" s="35">
        <v>240.96</v>
      </c>
      <c r="H794" s="33">
        <f>G794*(1-IFERROR(VLOOKUP(F794,'enter the discount'!$D$10:$E$40,2,FALSE),0))</f>
        <v>240.96</v>
      </c>
      <c r="I794" s="35" t="s">
        <v>2609</v>
      </c>
      <c r="J794" s="33" t="s">
        <v>2719</v>
      </c>
      <c r="K794" s="33" t="s">
        <v>2749</v>
      </c>
      <c r="L794">
        <v>1</v>
      </c>
      <c r="M794"/>
      <c r="N794" t="s">
        <v>2754</v>
      </c>
      <c r="O794"/>
      <c r="P794" t="s">
        <v>3</v>
      </c>
      <c r="Q794"/>
    </row>
    <row r="795" spans="1:17" ht="14.4" x14ac:dyDescent="0.3">
      <c r="A795" t="s">
        <v>11</v>
      </c>
      <c r="B795" t="s">
        <v>648</v>
      </c>
      <c r="C795" t="s">
        <v>1875</v>
      </c>
      <c r="D795" t="s">
        <v>2439</v>
      </c>
      <c r="E795" t="s">
        <v>2440</v>
      </c>
      <c r="F795" t="s">
        <v>849</v>
      </c>
      <c r="G795" s="35">
        <v>240.96</v>
      </c>
      <c r="H795" s="33">
        <f>G795*(1-IFERROR(VLOOKUP(F795,'enter the discount'!$D$10:$E$40,2,FALSE),0))</f>
        <v>240.96</v>
      </c>
      <c r="I795" s="35" t="s">
        <v>2609</v>
      </c>
      <c r="J795" s="33" t="s">
        <v>2720</v>
      </c>
      <c r="K795" s="33" t="s">
        <v>2749</v>
      </c>
      <c r="L795">
        <v>1</v>
      </c>
      <c r="M795"/>
      <c r="N795" t="s">
        <v>2754</v>
      </c>
      <c r="O795"/>
      <c r="P795" t="s">
        <v>3</v>
      </c>
      <c r="Q795"/>
    </row>
    <row r="796" spans="1:17" ht="14.4" x14ac:dyDescent="0.3">
      <c r="A796" t="s">
        <v>11</v>
      </c>
      <c r="B796" t="s">
        <v>648</v>
      </c>
      <c r="C796" t="s">
        <v>1875</v>
      </c>
      <c r="D796" t="s">
        <v>2441</v>
      </c>
      <c r="E796" t="s">
        <v>2442</v>
      </c>
      <c r="F796" t="s">
        <v>853</v>
      </c>
      <c r="G796" s="35">
        <v>240.96</v>
      </c>
      <c r="H796" s="33">
        <f>G796*(1-IFERROR(VLOOKUP(F796,'enter the discount'!$D$10:$E$40,2,FALSE),0))</f>
        <v>240.96</v>
      </c>
      <c r="I796" s="35" t="s">
        <v>2609</v>
      </c>
      <c r="J796" s="33" t="s">
        <v>2721</v>
      </c>
      <c r="K796" s="33" t="s">
        <v>2749</v>
      </c>
      <c r="L796">
        <v>1</v>
      </c>
      <c r="M796"/>
      <c r="N796" t="s">
        <v>2754</v>
      </c>
      <c r="O796"/>
      <c r="P796" t="s">
        <v>3</v>
      </c>
      <c r="Q796"/>
    </row>
    <row r="797" spans="1:17" ht="14.4" x14ac:dyDescent="0.3">
      <c r="A797" t="s">
        <v>11</v>
      </c>
      <c r="B797" t="s">
        <v>648</v>
      </c>
      <c r="C797" t="s">
        <v>1875</v>
      </c>
      <c r="D797" t="s">
        <v>2443</v>
      </c>
      <c r="E797" t="s">
        <v>2444</v>
      </c>
      <c r="F797" t="s">
        <v>849</v>
      </c>
      <c r="G797" s="35">
        <v>93.97</v>
      </c>
      <c r="H797" s="33">
        <f>G797*(1-IFERROR(VLOOKUP(F797,'enter the discount'!$D$10:$E$40,2,FALSE),0))</f>
        <v>93.97</v>
      </c>
      <c r="I797" s="35" t="s">
        <v>2609</v>
      </c>
      <c r="J797" s="33" t="s">
        <v>2722</v>
      </c>
      <c r="K797" s="33" t="s">
        <v>2749</v>
      </c>
      <c r="L797">
        <v>1</v>
      </c>
      <c r="M797"/>
      <c r="N797" t="s">
        <v>2754</v>
      </c>
      <c r="O797" s="34" t="str">
        <f>HYPERLINK("https://b2b.kobi.pl/pl/product/9838,lampa-sufitowa-boho-floxen-round-1xe27-kobi-design?currency=PLN")</f>
        <v>https://b2b.kobi.pl/pl/product/9838,lampa-sufitowa-boho-floxen-round-1xe27-kobi-design?currency=PLN</v>
      </c>
      <c r="P797" t="s">
        <v>3</v>
      </c>
      <c r="Q797"/>
    </row>
    <row r="798" spans="1:17" ht="14.4" x14ac:dyDescent="0.3">
      <c r="A798" t="s">
        <v>11</v>
      </c>
      <c r="B798" t="s">
        <v>648</v>
      </c>
      <c r="C798" t="s">
        <v>1875</v>
      </c>
      <c r="D798" t="s">
        <v>2445</v>
      </c>
      <c r="E798" t="s">
        <v>2446</v>
      </c>
      <c r="F798" t="s">
        <v>849</v>
      </c>
      <c r="G798" s="35">
        <v>95.47</v>
      </c>
      <c r="H798" s="33">
        <f>G798*(1-IFERROR(VLOOKUP(F798,'enter the discount'!$D$10:$E$40,2,FALSE),0))</f>
        <v>95.47</v>
      </c>
      <c r="I798" s="35" t="s">
        <v>2609</v>
      </c>
      <c r="J798" s="33" t="s">
        <v>2723</v>
      </c>
      <c r="K798" s="33" t="s">
        <v>2749</v>
      </c>
      <c r="L798">
        <v>1</v>
      </c>
      <c r="M798"/>
      <c r="N798" t="s">
        <v>2754</v>
      </c>
      <c r="O798" s="34" t="str">
        <f>HYPERLINK("https://b2b.kobi.pl/pl/product/9839,lampa-sufitowa-boho-floxen-slant-1xe27-kobi-design?currency=PLN")</f>
        <v>https://b2b.kobi.pl/pl/product/9839,lampa-sufitowa-boho-floxen-slant-1xe27-kobi-design?currency=PLN</v>
      </c>
      <c r="P798" t="s">
        <v>3</v>
      </c>
      <c r="Q798"/>
    </row>
    <row r="799" spans="1:17" ht="14.4" x14ac:dyDescent="0.3">
      <c r="A799" t="s">
        <v>11</v>
      </c>
      <c r="B799" t="s">
        <v>648</v>
      </c>
      <c r="C799" t="s">
        <v>1875</v>
      </c>
      <c r="D799" t="s">
        <v>2447</v>
      </c>
      <c r="E799" t="s">
        <v>2448</v>
      </c>
      <c r="F799" t="s">
        <v>849</v>
      </c>
      <c r="G799" s="35">
        <v>240.96</v>
      </c>
      <c r="H799" s="33">
        <f>G799*(1-IFERROR(VLOOKUP(F799,'enter the discount'!$D$10:$E$40,2,FALSE),0))</f>
        <v>240.96</v>
      </c>
      <c r="I799" s="35" t="s">
        <v>2609</v>
      </c>
      <c r="J799" s="33" t="s">
        <v>2724</v>
      </c>
      <c r="K799" s="33" t="s">
        <v>2749</v>
      </c>
      <c r="L799">
        <v>1</v>
      </c>
      <c r="M799"/>
      <c r="N799" t="s">
        <v>2754</v>
      </c>
      <c r="O799"/>
      <c r="P799" t="s">
        <v>3</v>
      </c>
      <c r="Q799"/>
    </row>
    <row r="800" spans="1:17" ht="14.4" x14ac:dyDescent="0.3">
      <c r="A800" t="s">
        <v>10</v>
      </c>
      <c r="B800" t="s">
        <v>2449</v>
      </c>
      <c r="C800" t="s">
        <v>1258</v>
      </c>
      <c r="D800" t="s">
        <v>2450</v>
      </c>
      <c r="E800" t="s">
        <v>2451</v>
      </c>
      <c r="F800" t="s">
        <v>846</v>
      </c>
      <c r="G800" s="35">
        <v>34.9</v>
      </c>
      <c r="H800" s="33">
        <f>G800*(1-IFERROR(VLOOKUP(F800,'enter the discount'!$D$10:$E$40,2,FALSE),0))</f>
        <v>34.9</v>
      </c>
      <c r="I800" s="35" t="s">
        <v>2609</v>
      </c>
      <c r="J800" s="33" t="s">
        <v>2725</v>
      </c>
      <c r="K800" s="33" t="s">
        <v>2749</v>
      </c>
      <c r="L800"/>
      <c r="M800"/>
      <c r="N800" t="s">
        <v>2756</v>
      </c>
      <c r="O800" s="34" t="str">
        <f>HYPERLINK("https://b2b.kobi.pl/pl/product/10057,reflektor-szynowy-led-nextrack-core-10w-3cct-36-bialy-kobi-pro?currency=PLN")</f>
        <v>https://b2b.kobi.pl/pl/product/10057,reflektor-szynowy-led-nextrack-core-10w-3cct-36-bialy-kobi-pro?currency=PLN</v>
      </c>
      <c r="P800" s="34" t="str">
        <f>HYPERLINK("https://eprel.ec.europa.eu/qr/2173141")</f>
        <v>https://eprel.ec.europa.eu/qr/2173141</v>
      </c>
      <c r="Q800"/>
    </row>
    <row r="801" spans="1:17" ht="14.4" x14ac:dyDescent="0.3">
      <c r="A801" t="s">
        <v>10</v>
      </c>
      <c r="B801" t="s">
        <v>2449</v>
      </c>
      <c r="C801" t="s">
        <v>1258</v>
      </c>
      <c r="D801" t="s">
        <v>2452</v>
      </c>
      <c r="E801" t="s">
        <v>2453</v>
      </c>
      <c r="F801" t="s">
        <v>846</v>
      </c>
      <c r="G801" s="35">
        <v>34.9</v>
      </c>
      <c r="H801" s="33">
        <f>G801*(1-IFERROR(VLOOKUP(F801,'enter the discount'!$D$10:$E$40,2,FALSE),0))</f>
        <v>34.9</v>
      </c>
      <c r="I801" s="35" t="s">
        <v>2609</v>
      </c>
      <c r="J801" s="33" t="s">
        <v>2726</v>
      </c>
      <c r="K801" s="33" t="s">
        <v>2749</v>
      </c>
      <c r="L801"/>
      <c r="M801"/>
      <c r="N801" t="s">
        <v>2756</v>
      </c>
      <c r="O801" s="34" t="str">
        <f>HYPERLINK("https://b2b.kobi.pl/pl/product/10058,reflektor-szynowy-led-nextrack-core-10w-3cct-36-czarny-kobi-pro?currency=PLN")</f>
        <v>https://b2b.kobi.pl/pl/product/10058,reflektor-szynowy-led-nextrack-core-10w-3cct-36-czarny-kobi-pro?currency=PLN</v>
      </c>
      <c r="P801" s="34" t="str">
        <f>HYPERLINK("https://eprel.ec.europa.eu/qr/2173141")</f>
        <v>https://eprel.ec.europa.eu/qr/2173141</v>
      </c>
      <c r="Q801"/>
    </row>
    <row r="802" spans="1:17" ht="14.4" x14ac:dyDescent="0.3">
      <c r="A802" t="s">
        <v>10</v>
      </c>
      <c r="B802" t="s">
        <v>2449</v>
      </c>
      <c r="C802" t="s">
        <v>1258</v>
      </c>
      <c r="D802" t="s">
        <v>2454</v>
      </c>
      <c r="E802" t="s">
        <v>2455</v>
      </c>
      <c r="F802" t="s">
        <v>846</v>
      </c>
      <c r="G802" s="35">
        <v>38.549999999999997</v>
      </c>
      <c r="H802" s="33">
        <f>G802*(1-IFERROR(VLOOKUP(F802,'enter the discount'!$D$10:$E$40,2,FALSE),0))</f>
        <v>38.549999999999997</v>
      </c>
      <c r="I802" s="35" t="s">
        <v>2609</v>
      </c>
      <c r="J802" s="33" t="s">
        <v>2727</v>
      </c>
      <c r="K802" s="33" t="s">
        <v>2749</v>
      </c>
      <c r="L802"/>
      <c r="M802"/>
      <c r="N802" t="s">
        <v>2756</v>
      </c>
      <c r="O802" s="34" t="str">
        <f>HYPERLINK("https://b2b.kobi.pl/pl/product/10059,reflektor-szynowy-led-nextrack-core-20w-3cct-36-bialy-kobi-pro?currency=PLN")</f>
        <v>https://b2b.kobi.pl/pl/product/10059,reflektor-szynowy-led-nextrack-core-20w-3cct-36-bialy-kobi-pro?currency=PLN</v>
      </c>
      <c r="P802" s="34" t="str">
        <f>HYPERLINK("https://eprel.ec.europa.eu/qr/2178298")</f>
        <v>https://eprel.ec.europa.eu/qr/2178298</v>
      </c>
      <c r="Q802"/>
    </row>
    <row r="803" spans="1:17" ht="14.4" x14ac:dyDescent="0.3">
      <c r="A803" t="s">
        <v>10</v>
      </c>
      <c r="B803" t="s">
        <v>2449</v>
      </c>
      <c r="C803" t="s">
        <v>1258</v>
      </c>
      <c r="D803" t="s">
        <v>2456</v>
      </c>
      <c r="E803" t="s">
        <v>2457</v>
      </c>
      <c r="F803" t="s">
        <v>846</v>
      </c>
      <c r="G803" s="35">
        <v>38.549999999999997</v>
      </c>
      <c r="H803" s="33">
        <f>G803*(1-IFERROR(VLOOKUP(F803,'enter the discount'!$D$10:$E$40,2,FALSE),0))</f>
        <v>38.549999999999997</v>
      </c>
      <c r="I803" s="35" t="s">
        <v>2609</v>
      </c>
      <c r="J803" s="33" t="s">
        <v>2728</v>
      </c>
      <c r="K803" s="33" t="s">
        <v>2749</v>
      </c>
      <c r="L803"/>
      <c r="M803"/>
      <c r="N803" t="s">
        <v>2756</v>
      </c>
      <c r="O803" s="34" t="str">
        <f>HYPERLINK("https://b2b.kobi.pl/pl/product/10060,reflektor-szynowy-led-nextrack-core-20w-3cct-36-czarny-kobi-pro?currency=PLN")</f>
        <v>https://b2b.kobi.pl/pl/product/10060,reflektor-szynowy-led-nextrack-core-20w-3cct-36-czarny-kobi-pro?currency=PLN</v>
      </c>
      <c r="P803" s="34" t="str">
        <f>HYPERLINK("https://eprel.ec.europa.eu/qr/2178298")</f>
        <v>https://eprel.ec.europa.eu/qr/2178298</v>
      </c>
      <c r="Q803"/>
    </row>
    <row r="804" spans="1:17" ht="14.4" x14ac:dyDescent="0.3">
      <c r="A804" t="s">
        <v>10</v>
      </c>
      <c r="B804" t="s">
        <v>2449</v>
      </c>
      <c r="C804" t="s">
        <v>1258</v>
      </c>
      <c r="D804" t="s">
        <v>2458</v>
      </c>
      <c r="E804" t="s">
        <v>2459</v>
      </c>
      <c r="F804" t="s">
        <v>846</v>
      </c>
      <c r="G804" s="35">
        <v>48.19</v>
      </c>
      <c r="H804" s="33">
        <f>G804*(1-IFERROR(VLOOKUP(F804,'enter the discount'!$D$10:$E$40,2,FALSE),0))</f>
        <v>48.19</v>
      </c>
      <c r="I804" s="35" t="s">
        <v>2609</v>
      </c>
      <c r="J804" s="33" t="s">
        <v>2729</v>
      </c>
      <c r="K804" s="33" t="s">
        <v>2749</v>
      </c>
      <c r="L804"/>
      <c r="M804"/>
      <c r="N804" t="s">
        <v>2756</v>
      </c>
      <c r="O804" s="34" t="str">
        <f>HYPERLINK("https://b2b.kobi.pl/pl/product/10061,reflektor-szynowy-led-nextrack-core-35w-3cct-36-bialy-kobi-pro?currency=PLN")</f>
        <v>https://b2b.kobi.pl/pl/product/10061,reflektor-szynowy-led-nextrack-core-35w-3cct-36-bialy-kobi-pro?currency=PLN</v>
      </c>
      <c r="P804" s="34" t="str">
        <f>HYPERLINK("https://eprel.ec.europa.eu/qr/2190368")</f>
        <v>https://eprel.ec.europa.eu/qr/2190368</v>
      </c>
      <c r="Q804"/>
    </row>
    <row r="805" spans="1:17" ht="14.4" x14ac:dyDescent="0.3">
      <c r="A805" t="s">
        <v>10</v>
      </c>
      <c r="B805" t="s">
        <v>2449</v>
      </c>
      <c r="C805" t="s">
        <v>1258</v>
      </c>
      <c r="D805" t="s">
        <v>2460</v>
      </c>
      <c r="E805" t="s">
        <v>2461</v>
      </c>
      <c r="F805" t="s">
        <v>846</v>
      </c>
      <c r="G805" s="35">
        <v>48.19</v>
      </c>
      <c r="H805" s="33">
        <f>G805*(1-IFERROR(VLOOKUP(F805,'enter the discount'!$D$10:$E$40,2,FALSE),0))</f>
        <v>48.19</v>
      </c>
      <c r="I805" s="35" t="s">
        <v>2609</v>
      </c>
      <c r="J805" s="33" t="s">
        <v>2730</v>
      </c>
      <c r="K805" s="33" t="s">
        <v>2749</v>
      </c>
      <c r="L805"/>
      <c r="M805"/>
      <c r="N805" t="s">
        <v>2756</v>
      </c>
      <c r="O805" s="34" t="str">
        <f>HYPERLINK("https://b2b.kobi.pl/pl/product/10062,reflektor-szynowy-led-nextrack-core-35w-3cct-36-czarny-kobi-pro?currency=PLN")</f>
        <v>https://b2b.kobi.pl/pl/product/10062,reflektor-szynowy-led-nextrack-core-35w-3cct-36-czarny-kobi-pro?currency=PLN</v>
      </c>
      <c r="P805" s="34" t="str">
        <f>HYPERLINK("https://eprel.ec.europa.eu/qr/2190368")</f>
        <v>https://eprel.ec.europa.eu/qr/2190368</v>
      </c>
      <c r="Q805"/>
    </row>
    <row r="806" spans="1:17" ht="14.4" x14ac:dyDescent="0.3">
      <c r="A806" t="s">
        <v>10</v>
      </c>
      <c r="B806" t="s">
        <v>2449</v>
      </c>
      <c r="C806" t="s">
        <v>1258</v>
      </c>
      <c r="D806" t="s">
        <v>2462</v>
      </c>
      <c r="E806" t="s">
        <v>2463</v>
      </c>
      <c r="F806" t="s">
        <v>846</v>
      </c>
      <c r="G806" s="35">
        <v>50.6</v>
      </c>
      <c r="H806" s="33">
        <f>G806*(1-IFERROR(VLOOKUP(F806,'enter the discount'!$D$10:$E$40,2,FALSE),0))</f>
        <v>50.6</v>
      </c>
      <c r="I806" s="35" t="s">
        <v>2609</v>
      </c>
      <c r="J806" s="33" t="s">
        <v>2731</v>
      </c>
      <c r="K806" s="33" t="s">
        <v>2749</v>
      </c>
      <c r="L806"/>
      <c r="M806"/>
      <c r="N806" t="s">
        <v>2756</v>
      </c>
      <c r="O806" s="34" t="str">
        <f>HYPERLINK("https://b2b.kobi.pl/pl/product/10161,reflektor-szynowy-led-nextrack-vision-10w-3cct-10-60-bialy-kobi-pro?currency=PLN")</f>
        <v>https://b2b.kobi.pl/pl/product/10161,reflektor-szynowy-led-nextrack-vision-10w-3cct-10-60-bialy-kobi-pro?currency=PLN</v>
      </c>
      <c r="P806" s="34" t="str">
        <f>HYPERLINK("https://eprel.ec.europa.eu/qr/2190375")</f>
        <v>https://eprel.ec.europa.eu/qr/2190375</v>
      </c>
      <c r="Q806"/>
    </row>
    <row r="807" spans="1:17" ht="14.4" x14ac:dyDescent="0.3">
      <c r="A807" t="s">
        <v>10</v>
      </c>
      <c r="B807" t="s">
        <v>2449</v>
      </c>
      <c r="C807" t="s">
        <v>1258</v>
      </c>
      <c r="D807" t="s">
        <v>2464</v>
      </c>
      <c r="E807" t="s">
        <v>2465</v>
      </c>
      <c r="F807" t="s">
        <v>846</v>
      </c>
      <c r="G807" s="35">
        <v>50.6</v>
      </c>
      <c r="H807" s="33">
        <f>G807*(1-IFERROR(VLOOKUP(F807,'enter the discount'!$D$10:$E$40,2,FALSE),0))</f>
        <v>50.6</v>
      </c>
      <c r="I807" s="35" t="s">
        <v>2609</v>
      </c>
      <c r="J807" s="33" t="s">
        <v>2732</v>
      </c>
      <c r="K807" s="33" t="s">
        <v>2749</v>
      </c>
      <c r="L807"/>
      <c r="M807"/>
      <c r="N807" t="s">
        <v>2756</v>
      </c>
      <c r="O807" s="34" t="str">
        <f>HYPERLINK("https://b2b.kobi.pl/pl/product/10162,reflektor-szynowy-led-nextrack-vision-10w-3cct-10-60-czarny-kobi-pro?currency=PLN")</f>
        <v>https://b2b.kobi.pl/pl/product/10162,reflektor-szynowy-led-nextrack-vision-10w-3cct-10-60-czarny-kobi-pro?currency=PLN</v>
      </c>
      <c r="P807" s="34" t="str">
        <f>HYPERLINK("https://eprel.ec.europa.eu/qr/2190375")</f>
        <v>https://eprel.ec.europa.eu/qr/2190375</v>
      </c>
      <c r="Q807"/>
    </row>
    <row r="808" spans="1:17" ht="14.4" x14ac:dyDescent="0.3">
      <c r="A808" t="s">
        <v>10</v>
      </c>
      <c r="B808" t="s">
        <v>2449</v>
      </c>
      <c r="C808" t="s">
        <v>1258</v>
      </c>
      <c r="D808" t="s">
        <v>2466</v>
      </c>
      <c r="E808" t="s">
        <v>2467</v>
      </c>
      <c r="F808" t="s">
        <v>846</v>
      </c>
      <c r="G808" s="35">
        <v>60</v>
      </c>
      <c r="H808" s="33">
        <f>G808*(1-IFERROR(VLOOKUP(F808,'enter the discount'!$D$10:$E$40,2,FALSE),0))</f>
        <v>60</v>
      </c>
      <c r="I808" s="35" t="s">
        <v>2609</v>
      </c>
      <c r="J808" s="33" t="s">
        <v>2733</v>
      </c>
      <c r="K808" s="33" t="s">
        <v>2749</v>
      </c>
      <c r="L808"/>
      <c r="M808"/>
      <c r="N808" t="s">
        <v>2756</v>
      </c>
      <c r="O808" s="34" t="str">
        <f>HYPERLINK("https://b2b.kobi.pl/pl/product/10163,reflektor-szynowy-led-nextrack-vision-20w-3cct-10-60-bialy-kobi-pro?currency=PLN")</f>
        <v>https://b2b.kobi.pl/pl/product/10163,reflektor-szynowy-led-nextrack-vision-20w-3cct-10-60-bialy-kobi-pro?currency=PLN</v>
      </c>
      <c r="P808" s="34" t="str">
        <f>HYPERLINK("https://eprel.ec.europa.eu/qr/2190387")</f>
        <v>https://eprel.ec.europa.eu/qr/2190387</v>
      </c>
      <c r="Q808"/>
    </row>
    <row r="809" spans="1:17" ht="14.4" x14ac:dyDescent="0.3">
      <c r="A809" t="s">
        <v>10</v>
      </c>
      <c r="B809" t="s">
        <v>2449</v>
      </c>
      <c r="C809" t="s">
        <v>1258</v>
      </c>
      <c r="D809" t="s">
        <v>2468</v>
      </c>
      <c r="E809" t="s">
        <v>2469</v>
      </c>
      <c r="F809" t="s">
        <v>846</v>
      </c>
      <c r="G809" s="35">
        <v>60</v>
      </c>
      <c r="H809" s="33">
        <f>G809*(1-IFERROR(VLOOKUP(F809,'enter the discount'!$D$10:$E$40,2,FALSE),0))</f>
        <v>60</v>
      </c>
      <c r="I809" s="35" t="s">
        <v>2609</v>
      </c>
      <c r="J809" s="33" t="s">
        <v>2734</v>
      </c>
      <c r="K809" s="33" t="s">
        <v>2749</v>
      </c>
      <c r="L809"/>
      <c r="M809"/>
      <c r="N809" t="s">
        <v>2756</v>
      </c>
      <c r="O809" s="34" t="str">
        <f>HYPERLINK("https://b2b.kobi.pl/pl/product/10164,reflektor-szynowy-led-nextrack-vision-20w-3cct-10-60-czarny-kobi-pro?currency=PLN")</f>
        <v>https://b2b.kobi.pl/pl/product/10164,reflektor-szynowy-led-nextrack-vision-20w-3cct-10-60-czarny-kobi-pro?currency=PLN</v>
      </c>
      <c r="P809" s="34" t="str">
        <f>HYPERLINK("https://eprel.ec.europa.eu/qr/2190387")</f>
        <v>https://eprel.ec.europa.eu/qr/2190387</v>
      </c>
      <c r="Q809"/>
    </row>
    <row r="810" spans="1:17" ht="14.4" x14ac:dyDescent="0.3">
      <c r="A810" t="s">
        <v>10</v>
      </c>
      <c r="B810" t="s">
        <v>2449</v>
      </c>
      <c r="C810" t="s">
        <v>1258</v>
      </c>
      <c r="D810" t="s">
        <v>2470</v>
      </c>
      <c r="E810" t="s">
        <v>2471</v>
      </c>
      <c r="F810" t="s">
        <v>846</v>
      </c>
      <c r="G810" s="35">
        <v>66.400000000000006</v>
      </c>
      <c r="H810" s="33">
        <f>G810*(1-IFERROR(VLOOKUP(F810,'enter the discount'!$D$10:$E$40,2,FALSE),0))</f>
        <v>66.400000000000006</v>
      </c>
      <c r="I810" s="35" t="s">
        <v>2609</v>
      </c>
      <c r="J810" s="33" t="s">
        <v>2735</v>
      </c>
      <c r="K810" s="33" t="s">
        <v>2749</v>
      </c>
      <c r="L810"/>
      <c r="M810"/>
      <c r="N810" t="s">
        <v>2756</v>
      </c>
      <c r="O810" s="34" t="str">
        <f>HYPERLINK("https://b2b.kobi.pl/pl/product/10165,reflektor-szynowy-led-nextrack-vision-30w-3cct-10-60-bialy-kobi-pro?currency=PLN")</f>
        <v>https://b2b.kobi.pl/pl/product/10165,reflektor-szynowy-led-nextrack-vision-30w-3cct-10-60-bialy-kobi-pro?currency=PLN</v>
      </c>
      <c r="P810" s="34" t="str">
        <f>HYPERLINK("https://eprel.ec.europa.eu/qr/2190390")</f>
        <v>https://eprel.ec.europa.eu/qr/2190390</v>
      </c>
      <c r="Q810"/>
    </row>
    <row r="811" spans="1:17" ht="14.4" x14ac:dyDescent="0.3">
      <c r="A811" t="s">
        <v>10</v>
      </c>
      <c r="B811" t="s">
        <v>2449</v>
      </c>
      <c r="C811" t="s">
        <v>1258</v>
      </c>
      <c r="D811" t="s">
        <v>2472</v>
      </c>
      <c r="E811" t="s">
        <v>2473</v>
      </c>
      <c r="F811" t="s">
        <v>846</v>
      </c>
      <c r="G811" s="35">
        <v>66.400000000000006</v>
      </c>
      <c r="H811" s="33">
        <f>G811*(1-IFERROR(VLOOKUP(F811,'enter the discount'!$D$10:$E$40,2,FALSE),0))</f>
        <v>66.400000000000006</v>
      </c>
      <c r="I811" s="35" t="s">
        <v>2609</v>
      </c>
      <c r="J811" s="33" t="s">
        <v>2736</v>
      </c>
      <c r="K811" s="33" t="s">
        <v>2749</v>
      </c>
      <c r="L811"/>
      <c r="M811"/>
      <c r="N811" t="s">
        <v>2756</v>
      </c>
      <c r="O811" s="34" t="str">
        <f>HYPERLINK("https://b2b.kobi.pl/pl/product/10166,reflektor-szynowy-led-nextrack-vision-30w-3cct-10-60-czarny-kobi-pro?currency=PLN")</f>
        <v>https://b2b.kobi.pl/pl/product/10166,reflektor-szynowy-led-nextrack-vision-30w-3cct-10-60-czarny-kobi-pro?currency=PLN</v>
      </c>
      <c r="P811" s="34" t="str">
        <f>HYPERLINK("https://eprel.ec.europa.eu/qr/2190390")</f>
        <v>https://eprel.ec.europa.eu/qr/2190390</v>
      </c>
      <c r="Q811"/>
    </row>
    <row r="812" spans="1:17" ht="14.4" x14ac:dyDescent="0.3">
      <c r="A812" t="s">
        <v>10</v>
      </c>
      <c r="B812" t="s">
        <v>2449</v>
      </c>
      <c r="C812" t="s">
        <v>910</v>
      </c>
      <c r="D812" t="s">
        <v>2474</v>
      </c>
      <c r="E812" t="s">
        <v>2475</v>
      </c>
      <c r="F812" t="s">
        <v>856</v>
      </c>
      <c r="G812" s="35">
        <v>16.989999999999998</v>
      </c>
      <c r="H812" s="33">
        <f>G812*(1-IFERROR(VLOOKUP(F812,'enter the discount'!$D$10:$E$40,2,FALSE),0))</f>
        <v>16.989999999999998</v>
      </c>
      <c r="I812" s="35" t="s">
        <v>2609</v>
      </c>
      <c r="J812" s="33" t="s">
        <v>773</v>
      </c>
      <c r="K812" s="33" t="s">
        <v>2749</v>
      </c>
      <c r="L812">
        <v>50</v>
      </c>
      <c r="M812"/>
      <c r="N812" t="s">
        <v>2754</v>
      </c>
      <c r="O812" s="34" t="str">
        <f>HYPERLINK("https://b2b.kobi.pl/pl/product/10689,miernik-poboru-energii-kobi-pmm-1-bialy-kobi?currency=PLN")</f>
        <v>https://b2b.kobi.pl/pl/product/10689,miernik-poboru-energii-kobi-pmm-1-bialy-kobi?currency=PLN</v>
      </c>
      <c r="P812" t="s">
        <v>3</v>
      </c>
      <c r="Q812"/>
    </row>
    <row r="813" spans="1:17" ht="14.4" x14ac:dyDescent="0.3">
      <c r="A813" t="s">
        <v>10</v>
      </c>
      <c r="B813" t="s">
        <v>2449</v>
      </c>
      <c r="C813" t="s">
        <v>910</v>
      </c>
      <c r="D813" t="s">
        <v>2476</v>
      </c>
      <c r="E813" t="s">
        <v>2477</v>
      </c>
      <c r="F813" t="s">
        <v>856</v>
      </c>
      <c r="G813" s="35">
        <v>18.010000000000002</v>
      </c>
      <c r="H813" s="33">
        <f>G813*(1-IFERROR(VLOOKUP(F813,'enter the discount'!$D$10:$E$40,2,FALSE),0))</f>
        <v>18.010000000000002</v>
      </c>
      <c r="I813" s="35" t="s">
        <v>2609</v>
      </c>
      <c r="J813" s="33" t="s">
        <v>774</v>
      </c>
      <c r="K813" s="33" t="s">
        <v>2749</v>
      </c>
      <c r="L813">
        <v>50</v>
      </c>
      <c r="M813"/>
      <c r="N813" t="s">
        <v>2754</v>
      </c>
      <c r="O813" s="34" t="str">
        <f>HYPERLINK("https://b2b.kobi.pl/pl/product/10690,miernik-poboru-energii-kobi-pmm-2-czarny-kobi?currency=PLN")</f>
        <v>https://b2b.kobi.pl/pl/product/10690,miernik-poboru-energii-kobi-pmm-2-czarny-kobi?currency=PLN</v>
      </c>
      <c r="P813" t="s">
        <v>3</v>
      </c>
      <c r="Q813"/>
    </row>
    <row r="814" spans="1:17" ht="14.4" x14ac:dyDescent="0.3">
      <c r="A814" t="s">
        <v>10</v>
      </c>
      <c r="B814" t="s">
        <v>2449</v>
      </c>
      <c r="C814" t="s">
        <v>910</v>
      </c>
      <c r="D814" t="s">
        <v>2478</v>
      </c>
      <c r="E814" t="s">
        <v>2479</v>
      </c>
      <c r="F814" t="s">
        <v>856</v>
      </c>
      <c r="G814" s="35">
        <v>18.010000000000002</v>
      </c>
      <c r="H814" s="33">
        <f>G814*(1-IFERROR(VLOOKUP(F814,'enter the discount'!$D$10:$E$40,2,FALSE),0))</f>
        <v>18.010000000000002</v>
      </c>
      <c r="I814" s="35" t="s">
        <v>2609</v>
      </c>
      <c r="J814" s="33" t="s">
        <v>775</v>
      </c>
      <c r="K814" s="33" t="s">
        <v>2749</v>
      </c>
      <c r="L814">
        <v>50</v>
      </c>
      <c r="M814"/>
      <c r="N814" t="s">
        <v>2754</v>
      </c>
      <c r="O814" s="34" t="str">
        <f>HYPERLINK("https://b2b.kobi.pl/pl/product/10691,miernik-poboru-energii-kobi-pmm-3-bialy-kobi?currency=PLN")</f>
        <v>https://b2b.kobi.pl/pl/product/10691,miernik-poboru-energii-kobi-pmm-3-bialy-kobi?currency=PLN</v>
      </c>
      <c r="P814" t="s">
        <v>3</v>
      </c>
      <c r="Q814"/>
    </row>
    <row r="815" spans="1:17" ht="14.4" x14ac:dyDescent="0.3">
      <c r="A815" t="s">
        <v>2056</v>
      </c>
      <c r="B815" t="s">
        <v>2449</v>
      </c>
      <c r="C815" t="s">
        <v>910</v>
      </c>
      <c r="D815" t="s">
        <v>2480</v>
      </c>
      <c r="E815" t="s">
        <v>2481</v>
      </c>
      <c r="F815" t="s">
        <v>856</v>
      </c>
      <c r="G815" s="35">
        <v>9.64</v>
      </c>
      <c r="H815" s="33">
        <f>G815*(1-IFERROR(VLOOKUP(F815,'enter the discount'!$D$10:$E$40,2,FALSE),0))</f>
        <v>9.64</v>
      </c>
      <c r="I815" s="35" t="s">
        <v>2609</v>
      </c>
      <c r="J815" s="33" t="s">
        <v>309</v>
      </c>
      <c r="K815" s="33" t="s">
        <v>2749</v>
      </c>
      <c r="L815">
        <v>10</v>
      </c>
      <c r="M815"/>
      <c r="N815" t="s">
        <v>2754</v>
      </c>
      <c r="O815" s="34" t="str">
        <f>HYPERLINK("https://b2b.kobi.pl/pl/product/10724,sciemniacz-led-sc02dp-5-24v-6a-z-pilotem-kobi?currency=PLN")</f>
        <v>https://b2b.kobi.pl/pl/product/10724,sciemniacz-led-sc02dp-5-24v-6a-z-pilotem-kobi?currency=PLN</v>
      </c>
      <c r="P815" t="s">
        <v>3</v>
      </c>
      <c r="Q815"/>
    </row>
    <row r="816" spans="1:17" ht="14.4" x14ac:dyDescent="0.3">
      <c r="A816" t="s">
        <v>10</v>
      </c>
      <c r="B816" t="s">
        <v>2449</v>
      </c>
      <c r="C816" t="s">
        <v>910</v>
      </c>
      <c r="D816" t="s">
        <v>2482</v>
      </c>
      <c r="E816" t="s">
        <v>2483</v>
      </c>
      <c r="F816" t="s">
        <v>856</v>
      </c>
      <c r="G816" s="35">
        <v>2.62</v>
      </c>
      <c r="H816" s="36">
        <f>G816*(1-IFERROR(VLOOKUP(F816,'enter the discount'!$D$10:$E$40,2,FALSE),0))</f>
        <v>2.62</v>
      </c>
      <c r="I816" t="s">
        <v>2609</v>
      </c>
      <c r="J816" s="33" t="s">
        <v>2737</v>
      </c>
      <c r="K816" s="33" t="s">
        <v>2749</v>
      </c>
      <c r="L816">
        <v>500</v>
      </c>
      <c r="M816"/>
      <c r="N816" t="s">
        <v>2754</v>
      </c>
      <c r="O816" s="34" t="str">
        <f>HYPERLINK("https://b2b.kobi.pl/pl/product/12158,lacznik-prosty-do-led-koline-k2-kobi?currency=PLN")</f>
        <v>https://b2b.kobi.pl/pl/product/12158,lacznik-prosty-do-led-koline-k2-kobi?currency=PLN</v>
      </c>
      <c r="P816" t="s">
        <v>3</v>
      </c>
      <c r="Q816"/>
    </row>
    <row r="817" spans="1:17" ht="14.4" x14ac:dyDescent="0.3">
      <c r="A817" t="s">
        <v>2056</v>
      </c>
      <c r="B817" t="s">
        <v>2449</v>
      </c>
      <c r="C817" t="s">
        <v>910</v>
      </c>
      <c r="D817" t="s">
        <v>2484</v>
      </c>
      <c r="E817" t="s">
        <v>2485</v>
      </c>
      <c r="F817" t="s">
        <v>856</v>
      </c>
      <c r="G817" s="35">
        <v>15.95</v>
      </c>
      <c r="H817" s="36">
        <f>G817*(1-IFERROR(VLOOKUP(F817,'enter the discount'!$D$10:$E$40,2,FALSE),0))</f>
        <v>15.95</v>
      </c>
      <c r="I817" t="s">
        <v>2609</v>
      </c>
      <c r="J817" s="33" t="s">
        <v>307</v>
      </c>
      <c r="K817" s="33" t="s">
        <v>2749</v>
      </c>
      <c r="L817">
        <v>10</v>
      </c>
      <c r="M817"/>
      <c r="N817" t="s">
        <v>2754</v>
      </c>
      <c r="O817" s="34" t="str">
        <f>HYPERLINK("https://b2b.kobi.pl/pl/product/10740,sterownik-led-st06fp-5-24v-6a-z-pilotem-kobi?currency=PLN")</f>
        <v>https://b2b.kobi.pl/pl/product/10740,sterownik-led-st06fp-5-24v-6a-z-pilotem-kobi?currency=PLN</v>
      </c>
      <c r="P817" t="s">
        <v>3</v>
      </c>
      <c r="Q817"/>
    </row>
    <row r="818" spans="1:17" ht="14.4" x14ac:dyDescent="0.3">
      <c r="A818" t="s">
        <v>2056</v>
      </c>
      <c r="B818" t="s">
        <v>2449</v>
      </c>
      <c r="C818" t="s">
        <v>910</v>
      </c>
      <c r="D818" t="s">
        <v>2486</v>
      </c>
      <c r="E818" t="s">
        <v>2487</v>
      </c>
      <c r="F818" t="s">
        <v>856</v>
      </c>
      <c r="G818" s="35">
        <v>10.72</v>
      </c>
      <c r="H818" s="36">
        <f>G818*(1-IFERROR(VLOOKUP(F818,'enter the discount'!$D$10:$E$40,2,FALSE),0))</f>
        <v>10.72</v>
      </c>
      <c r="I818" t="s">
        <v>2609</v>
      </c>
      <c r="J818" s="33" t="s">
        <v>308</v>
      </c>
      <c r="K818" s="33" t="s">
        <v>2749</v>
      </c>
      <c r="L818">
        <v>12</v>
      </c>
      <c r="M818"/>
      <c r="N818" t="s">
        <v>2754</v>
      </c>
      <c r="O818" s="34" t="str">
        <f>HYPERLINK("https://b2b.kobi.pl/pl/product/10741,wzmacniacz-led-st07f-5-24v-12a-z-pilotem-kobi?currency=PLN")</f>
        <v>https://b2b.kobi.pl/pl/product/10741,wzmacniacz-led-st07f-5-24v-12a-z-pilotem-kobi?currency=PLN</v>
      </c>
      <c r="P818" t="s">
        <v>3</v>
      </c>
      <c r="Q818" t="s">
        <v>2775</v>
      </c>
    </row>
    <row r="819" spans="1:17" ht="14.4" x14ac:dyDescent="0.3">
      <c r="A819" t="s">
        <v>2056</v>
      </c>
      <c r="B819" t="s">
        <v>2488</v>
      </c>
      <c r="C819" t="s">
        <v>910</v>
      </c>
      <c r="D819" t="s">
        <v>653</v>
      </c>
      <c r="E819" t="s">
        <v>2489</v>
      </c>
      <c r="F819" t="s">
        <v>856</v>
      </c>
      <c r="G819" s="35">
        <v>0.53</v>
      </c>
      <c r="H819" s="36">
        <f>G819*(1-IFERROR(VLOOKUP(F819,'enter the discount'!$D$10:$E$40,2,FALSE),0))</f>
        <v>0.53</v>
      </c>
      <c r="I819" t="s">
        <v>2609</v>
      </c>
      <c r="J819" s="33" t="s">
        <v>341</v>
      </c>
      <c r="K819" s="33" t="s">
        <v>2749</v>
      </c>
      <c r="L819">
        <v>25</v>
      </c>
      <c r="M819"/>
      <c r="N819" t="s">
        <v>2754</v>
      </c>
      <c r="O819" s="34" t="str">
        <f>HYPERLINK("https://b2b.kobi.pl/pl/product/10738,starter-do-led-t8-kobi?currency=PLN")</f>
        <v>https://b2b.kobi.pl/pl/product/10738,starter-do-led-t8-kobi?currency=PLN</v>
      </c>
      <c r="P819" t="s">
        <v>3</v>
      </c>
      <c r="Q819"/>
    </row>
    <row r="820" spans="1:17" ht="14.4" x14ac:dyDescent="0.3">
      <c r="A820" t="s">
        <v>9</v>
      </c>
      <c r="B820" t="s">
        <v>2449</v>
      </c>
      <c r="C820" t="s">
        <v>910</v>
      </c>
      <c r="D820" t="s">
        <v>2490</v>
      </c>
      <c r="E820" t="s">
        <v>2491</v>
      </c>
      <c r="F820" t="s">
        <v>832</v>
      </c>
      <c r="G820" s="35">
        <v>5.56</v>
      </c>
      <c r="H820" s="36">
        <f>G820*(1-IFERROR(VLOOKUP(F820,'enter the discount'!$D$10:$E$40,2,FALSE),0))</f>
        <v>5.56</v>
      </c>
      <c r="I820" t="s">
        <v>2593</v>
      </c>
      <c r="J820" s="33" t="s">
        <v>152</v>
      </c>
      <c r="K820" s="33" t="s">
        <v>2749</v>
      </c>
      <c r="L820">
        <v>100</v>
      </c>
      <c r="M820">
        <v>7200</v>
      </c>
      <c r="N820" t="s">
        <v>2754</v>
      </c>
      <c r="O820" s="34" t="str">
        <f>HYPERLINK("https://b2b.kobi.pl/pl/product/9576,wklad-led-insert-5w-3000k-mleczny-kobi?currency=PLN")</f>
        <v>https://b2b.kobi.pl/pl/product/9576,wklad-led-insert-5w-3000k-mleczny-kobi?currency=PLN</v>
      </c>
      <c r="P820" s="34" t="str">
        <f>HYPERLINK("https://eprel.ec.europa.eu/qr/660155")</f>
        <v>https://eprel.ec.europa.eu/qr/660155</v>
      </c>
      <c r="Q820"/>
    </row>
    <row r="821" spans="1:17" ht="14.4" x14ac:dyDescent="0.3">
      <c r="A821" t="s">
        <v>9</v>
      </c>
      <c r="B821" t="s">
        <v>2449</v>
      </c>
      <c r="C821" t="s">
        <v>910</v>
      </c>
      <c r="D821" t="s">
        <v>2492</v>
      </c>
      <c r="E821" t="s">
        <v>2493</v>
      </c>
      <c r="F821" t="s">
        <v>832</v>
      </c>
      <c r="G821" s="35">
        <v>5.56</v>
      </c>
      <c r="H821" s="36">
        <f>G821*(1-IFERROR(VLOOKUP(F821,'enter the discount'!$D$10:$E$40,2,FALSE),0))</f>
        <v>5.56</v>
      </c>
      <c r="I821" t="s">
        <v>2593</v>
      </c>
      <c r="J821" s="33" t="s">
        <v>153</v>
      </c>
      <c r="K821" s="33" t="s">
        <v>2749</v>
      </c>
      <c r="L821">
        <v>100</v>
      </c>
      <c r="M821">
        <v>7200</v>
      </c>
      <c r="N821" t="s">
        <v>2754</v>
      </c>
      <c r="O821" s="34" t="str">
        <f>HYPERLINK("https://b2b.kobi.pl/pl/product/9577,wklad-led-insert-5w-4000k-mleczny-kobi?currency=PLN")</f>
        <v>https://b2b.kobi.pl/pl/product/9577,wklad-led-insert-5w-4000k-mleczny-kobi?currency=PLN</v>
      </c>
      <c r="P821" s="34" t="str">
        <f>HYPERLINK("https://eprel.ec.europa.eu/qr/660157")</f>
        <v>https://eprel.ec.europa.eu/qr/660157</v>
      </c>
      <c r="Q821"/>
    </row>
    <row r="822" spans="1:17" ht="14.4" x14ac:dyDescent="0.3">
      <c r="A822" t="s">
        <v>9</v>
      </c>
      <c r="B822" t="s">
        <v>2449</v>
      </c>
      <c r="C822" t="s">
        <v>910</v>
      </c>
      <c r="D822" t="s">
        <v>2494</v>
      </c>
      <c r="E822" t="s">
        <v>2495</v>
      </c>
      <c r="F822" t="s">
        <v>832</v>
      </c>
      <c r="G822" s="35">
        <v>5.56</v>
      </c>
      <c r="H822" s="36">
        <f>G822*(1-IFERROR(VLOOKUP(F822,'enter the discount'!$D$10:$E$40,2,FALSE),0))</f>
        <v>5.56</v>
      </c>
      <c r="I822" t="s">
        <v>2593</v>
      </c>
      <c r="J822" s="33" t="s">
        <v>154</v>
      </c>
      <c r="K822" s="33" t="s">
        <v>2749</v>
      </c>
      <c r="L822">
        <v>100</v>
      </c>
      <c r="M822">
        <v>6000</v>
      </c>
      <c r="N822" t="s">
        <v>2754</v>
      </c>
      <c r="O822" s="34" t="str">
        <f>HYPERLINK("https://b2b.kobi.pl/pl/product/9578,wklad-led-insert-5w-6000k-mleczny-kobi?currency=PLN")</f>
        <v>https://b2b.kobi.pl/pl/product/9578,wklad-led-insert-5w-6000k-mleczny-kobi?currency=PLN</v>
      </c>
      <c r="P822" s="34" t="str">
        <f>HYPERLINK("https://eprel.ec.europa.eu/qr/660159")</f>
        <v>https://eprel.ec.europa.eu/qr/660159</v>
      </c>
      <c r="Q822"/>
    </row>
    <row r="823" spans="1:17" ht="14.4" x14ac:dyDescent="0.3">
      <c r="A823" t="s">
        <v>9</v>
      </c>
      <c r="B823" t="s">
        <v>2449</v>
      </c>
      <c r="C823" t="s">
        <v>910</v>
      </c>
      <c r="D823" t="s">
        <v>2496</v>
      </c>
      <c r="E823" t="s">
        <v>2497</v>
      </c>
      <c r="F823" t="s">
        <v>832</v>
      </c>
      <c r="G823" s="35">
        <v>5.81</v>
      </c>
      <c r="H823" s="36">
        <f>G823*(1-IFERROR(VLOOKUP(F823,'enter the discount'!$D$10:$E$40,2,FALSE),0))</f>
        <v>5.81</v>
      </c>
      <c r="I823" t="s">
        <v>2593</v>
      </c>
      <c r="J823" s="33" t="s">
        <v>155</v>
      </c>
      <c r="K823" s="33" t="s">
        <v>2749</v>
      </c>
      <c r="L823">
        <v>100</v>
      </c>
      <c r="M823">
        <v>7200</v>
      </c>
      <c r="N823" t="s">
        <v>2754</v>
      </c>
      <c r="O823" s="34" t="str">
        <f>HYPERLINK("https://b2b.kobi.pl/pl/product/9579,wklad-led-insert-6-5w-3000k-mleczny-kobi?currency=PLN")</f>
        <v>https://b2b.kobi.pl/pl/product/9579,wklad-led-insert-6-5w-3000k-mleczny-kobi?currency=PLN</v>
      </c>
      <c r="P823" s="34" t="str">
        <f>HYPERLINK("https://eprel.ec.europa.eu/qr/660163")</f>
        <v>https://eprel.ec.europa.eu/qr/660163</v>
      </c>
      <c r="Q823"/>
    </row>
    <row r="824" spans="1:17" ht="14.4" x14ac:dyDescent="0.3">
      <c r="A824" t="s">
        <v>9</v>
      </c>
      <c r="B824" t="s">
        <v>2449</v>
      </c>
      <c r="C824" t="s">
        <v>910</v>
      </c>
      <c r="D824" t="s">
        <v>2498</v>
      </c>
      <c r="E824" t="s">
        <v>2499</v>
      </c>
      <c r="F824" t="s">
        <v>832</v>
      </c>
      <c r="G824" s="35">
        <v>5.81</v>
      </c>
      <c r="H824" s="36">
        <f>G824*(1-IFERROR(VLOOKUP(F824,'enter the discount'!$D$10:$E$40,2,FALSE),0))</f>
        <v>5.81</v>
      </c>
      <c r="I824" t="s">
        <v>2593</v>
      </c>
      <c r="J824" s="33" t="s">
        <v>156</v>
      </c>
      <c r="K824" s="33" t="s">
        <v>2749</v>
      </c>
      <c r="L824">
        <v>100</v>
      </c>
      <c r="M824">
        <v>7200</v>
      </c>
      <c r="N824" t="s">
        <v>2754</v>
      </c>
      <c r="O824" s="34" t="str">
        <f>HYPERLINK("https://b2b.kobi.pl/pl/product/9580,wklad-led-insert-6-5w-4000k-mleczny-kobi?currency=PLN")</f>
        <v>https://b2b.kobi.pl/pl/product/9580,wklad-led-insert-6-5w-4000k-mleczny-kobi?currency=PLN</v>
      </c>
      <c r="P824" s="34" t="str">
        <f>HYPERLINK("https://eprel.ec.europa.eu/qr/660165")</f>
        <v>https://eprel.ec.europa.eu/qr/660165</v>
      </c>
      <c r="Q824"/>
    </row>
    <row r="825" spans="1:17" ht="14.4" x14ac:dyDescent="0.3">
      <c r="A825" t="s">
        <v>9</v>
      </c>
      <c r="B825" t="s">
        <v>2449</v>
      </c>
      <c r="C825" t="s">
        <v>910</v>
      </c>
      <c r="D825" t="s">
        <v>2500</v>
      </c>
      <c r="E825" t="s">
        <v>2501</v>
      </c>
      <c r="F825" t="s">
        <v>832</v>
      </c>
      <c r="G825" s="35">
        <v>5.81</v>
      </c>
      <c r="H825" s="36">
        <f>G825*(1-IFERROR(VLOOKUP(F825,'enter the discount'!$D$10:$E$40,2,FALSE),0))</f>
        <v>5.81</v>
      </c>
      <c r="I825" t="s">
        <v>2593</v>
      </c>
      <c r="J825" s="33" t="s">
        <v>157</v>
      </c>
      <c r="K825" s="33" t="s">
        <v>2749</v>
      </c>
      <c r="L825">
        <v>100</v>
      </c>
      <c r="M825">
        <v>6000</v>
      </c>
      <c r="N825" t="s">
        <v>2754</v>
      </c>
      <c r="O825" s="34" t="str">
        <f>HYPERLINK("https://b2b.kobi.pl/pl/product/9581,wklad-led-insert-6-5w-6000k-mleczny-kobi?currency=PLN")</f>
        <v>https://b2b.kobi.pl/pl/product/9581,wklad-led-insert-6-5w-6000k-mleczny-kobi?currency=PLN</v>
      </c>
      <c r="P825" s="34" t="str">
        <f>HYPERLINK("https://eprel.ec.europa.eu/qr/660168")</f>
        <v>https://eprel.ec.europa.eu/qr/660168</v>
      </c>
      <c r="Q825"/>
    </row>
    <row r="826" spans="1:17" ht="14.4" x14ac:dyDescent="0.3">
      <c r="A826" t="s">
        <v>9</v>
      </c>
      <c r="B826" t="s">
        <v>2449</v>
      </c>
      <c r="C826" t="s">
        <v>2502</v>
      </c>
      <c r="D826" t="s">
        <v>2503</v>
      </c>
      <c r="E826" t="s">
        <v>2504</v>
      </c>
      <c r="F826" t="s">
        <v>832</v>
      </c>
      <c r="G826" s="35">
        <v>15.66</v>
      </c>
      <c r="H826" s="36">
        <f>G826*(1-IFERROR(VLOOKUP(F826,'enter the discount'!$D$10:$E$40,2,FALSE),0))</f>
        <v>15.66</v>
      </c>
      <c r="I826" t="s">
        <v>2593</v>
      </c>
      <c r="J826" s="33" t="s">
        <v>436</v>
      </c>
      <c r="K826" s="33" t="s">
        <v>2749</v>
      </c>
      <c r="L826">
        <v>100</v>
      </c>
      <c r="M826"/>
      <c r="N826" t="s">
        <v>2754</v>
      </c>
      <c r="O826" s="34" t="str">
        <f>HYPERLINK("https://b2b.kobi.pl/pl/product/9507,zarowka-smart-led-14w-e27-rgb-cct-wifi-kobi?currency=PLN")</f>
        <v>https://b2b.kobi.pl/pl/product/9507,zarowka-smart-led-14w-e27-rgb-cct-wifi-kobi?currency=PLN</v>
      </c>
      <c r="P826" s="34" t="str">
        <f>HYPERLINK("https://eprel.ec.europa.eu/qr/766232")</f>
        <v>https://eprel.ec.europa.eu/qr/766232</v>
      </c>
      <c r="Q826" t="s">
        <v>2775</v>
      </c>
    </row>
    <row r="827" spans="1:17" ht="14.4" x14ac:dyDescent="0.3">
      <c r="A827" t="s">
        <v>11</v>
      </c>
      <c r="B827" t="s">
        <v>2449</v>
      </c>
      <c r="C827" t="s">
        <v>1875</v>
      </c>
      <c r="D827" t="s">
        <v>2505</v>
      </c>
      <c r="E827" t="s">
        <v>2506</v>
      </c>
      <c r="F827" t="s">
        <v>849</v>
      </c>
      <c r="G827" s="35">
        <v>21.3</v>
      </c>
      <c r="H827" s="36">
        <f>G827*(1-IFERROR(VLOOKUP(F827,'enter the discount'!$D$10:$E$40,2,FALSE),0))</f>
        <v>21.3</v>
      </c>
      <c r="I827" t="s">
        <v>2609</v>
      </c>
      <c r="J827" s="33" t="s">
        <v>813</v>
      </c>
      <c r="K827" s="33" t="s">
        <v>2749</v>
      </c>
      <c r="L827"/>
      <c r="M827"/>
      <c r="N827" t="s">
        <v>2754</v>
      </c>
      <c r="O827" s="34" t="str">
        <f>HYPERLINK("https://b2b.kobi.pl/pl/product/9860,kinkiet-globe-elegance-amber-k-1xe14-kobi-design?currency=PLN")</f>
        <v>https://b2b.kobi.pl/pl/product/9860,kinkiet-globe-elegance-amber-k-1xe14-kobi-design?currency=PLN</v>
      </c>
      <c r="P827" t="s">
        <v>3</v>
      </c>
      <c r="Q827"/>
    </row>
    <row r="828" spans="1:17" ht="14.4" x14ac:dyDescent="0.3">
      <c r="A828" t="s">
        <v>11</v>
      </c>
      <c r="B828" t="s">
        <v>2449</v>
      </c>
      <c r="C828" t="s">
        <v>1875</v>
      </c>
      <c r="D828" t="s">
        <v>2507</v>
      </c>
      <c r="E828" t="s">
        <v>2508</v>
      </c>
      <c r="F828" t="s">
        <v>849</v>
      </c>
      <c r="G828" s="35">
        <v>21.3</v>
      </c>
      <c r="H828" s="36">
        <f>G828*(1-IFERROR(VLOOKUP(F828,'enter the discount'!$D$10:$E$40,2,FALSE),0))</f>
        <v>21.3</v>
      </c>
      <c r="I828" t="s">
        <v>2609</v>
      </c>
      <c r="J828" s="33" t="s">
        <v>827</v>
      </c>
      <c r="K828" s="33" t="s">
        <v>2749</v>
      </c>
      <c r="L828"/>
      <c r="M828"/>
      <c r="N828" t="s">
        <v>2754</v>
      </c>
      <c r="O828" s="34" t="str">
        <f>HYPERLINK("https://b2b.kobi.pl/pl/product/9861,kinkiet-globe-elegance-smoke-k-1xe14-kobi-design?currency=PLN")</f>
        <v>https://b2b.kobi.pl/pl/product/9861,kinkiet-globe-elegance-smoke-k-1xe14-kobi-design?currency=PLN</v>
      </c>
      <c r="P828" t="s">
        <v>3</v>
      </c>
      <c r="Q828"/>
    </row>
    <row r="829" spans="1:17" ht="14.4" x14ac:dyDescent="0.3">
      <c r="A829" t="s">
        <v>11</v>
      </c>
      <c r="B829" t="s">
        <v>2449</v>
      </c>
      <c r="C829" t="s">
        <v>1875</v>
      </c>
      <c r="D829" t="s">
        <v>2509</v>
      </c>
      <c r="E829" t="s">
        <v>2510</v>
      </c>
      <c r="F829" t="s">
        <v>849</v>
      </c>
      <c r="G829" s="35">
        <v>70.31</v>
      </c>
      <c r="H829" s="36">
        <f>G829*(1-IFERROR(VLOOKUP(F829,'enter the discount'!$D$10:$E$40,2,FALSE),0))</f>
        <v>70.31</v>
      </c>
      <c r="I829" t="s">
        <v>2609</v>
      </c>
      <c r="J829" s="33" t="s">
        <v>814</v>
      </c>
      <c r="K829" s="33" t="s">
        <v>2749</v>
      </c>
      <c r="L829"/>
      <c r="M829"/>
      <c r="N829" t="s">
        <v>2754</v>
      </c>
      <c r="O829" s="34" t="str">
        <f>HYPERLINK("https://b2b.kobi.pl/pl/product/9862,lampa-sufitowa-globe-elegance-amber-s4-4xe14-kobi-design?currency=PLN")</f>
        <v>https://b2b.kobi.pl/pl/product/9862,lampa-sufitowa-globe-elegance-amber-s4-4xe14-kobi-design?currency=PLN</v>
      </c>
      <c r="P829" t="s">
        <v>3</v>
      </c>
      <c r="Q829"/>
    </row>
    <row r="830" spans="1:17" ht="14.4" x14ac:dyDescent="0.3">
      <c r="A830" t="s">
        <v>11</v>
      </c>
      <c r="B830" t="s">
        <v>2449</v>
      </c>
      <c r="C830" t="s">
        <v>1875</v>
      </c>
      <c r="D830" t="s">
        <v>2511</v>
      </c>
      <c r="E830" t="s">
        <v>2512</v>
      </c>
      <c r="F830" t="s">
        <v>849</v>
      </c>
      <c r="G830" s="35">
        <v>70.28</v>
      </c>
      <c r="H830" s="36">
        <f>G830*(1-IFERROR(VLOOKUP(F830,'enter the discount'!$D$10:$E$40,2,FALSE),0))</f>
        <v>70.28</v>
      </c>
      <c r="I830" t="s">
        <v>2609</v>
      </c>
      <c r="J830" s="33" t="s">
        <v>828</v>
      </c>
      <c r="K830" s="33" t="s">
        <v>2749</v>
      </c>
      <c r="L830"/>
      <c r="M830"/>
      <c r="N830" t="s">
        <v>2754</v>
      </c>
      <c r="O830" s="34" t="str">
        <f>HYPERLINK("https://b2b.kobi.pl/pl/product/9863,lampa-sufitowa-globe-elegance-smoke-s4-4xe14-kobi-design?currency=PLN")</f>
        <v>https://b2b.kobi.pl/pl/product/9863,lampa-sufitowa-globe-elegance-smoke-s4-4xe14-kobi-design?currency=PLN</v>
      </c>
      <c r="P830" t="s">
        <v>3</v>
      </c>
      <c r="Q830"/>
    </row>
    <row r="831" spans="1:17" ht="14.4" x14ac:dyDescent="0.3">
      <c r="A831" t="s">
        <v>11</v>
      </c>
      <c r="B831" t="s">
        <v>2449</v>
      </c>
      <c r="C831" t="s">
        <v>1875</v>
      </c>
      <c r="D831" t="s">
        <v>2513</v>
      </c>
      <c r="E831" t="s">
        <v>2514</v>
      </c>
      <c r="F831" t="s">
        <v>849</v>
      </c>
      <c r="G831" s="35">
        <v>106.36</v>
      </c>
      <c r="H831" s="36">
        <f>G831*(1-IFERROR(VLOOKUP(F831,'enter the discount'!$D$10:$E$40,2,FALSE),0))</f>
        <v>106.36</v>
      </c>
      <c r="I831" t="s">
        <v>2609</v>
      </c>
      <c r="J831" s="33" t="s">
        <v>829</v>
      </c>
      <c r="K831" s="33" t="s">
        <v>2749</v>
      </c>
      <c r="L831"/>
      <c r="M831"/>
      <c r="N831" t="s">
        <v>2754</v>
      </c>
      <c r="O831" s="34" t="str">
        <f>HYPERLINK("https://b2b.kobi.pl/pl/product/9864,lampa-sufitowa-globe-elegance-smoke-s6-6xe14-kobi-design?currency=PLN")</f>
        <v>https://b2b.kobi.pl/pl/product/9864,lampa-sufitowa-globe-elegance-smoke-s6-6xe14-kobi-design?currency=PLN</v>
      </c>
      <c r="P831" t="s">
        <v>3</v>
      </c>
      <c r="Q831"/>
    </row>
    <row r="832" spans="1:17" ht="14.4" x14ac:dyDescent="0.3">
      <c r="A832" t="s">
        <v>11</v>
      </c>
      <c r="B832" t="s">
        <v>2449</v>
      </c>
      <c r="C832" t="s">
        <v>1875</v>
      </c>
      <c r="D832" t="s">
        <v>2515</v>
      </c>
      <c r="E832" t="s">
        <v>2516</v>
      </c>
      <c r="F832" t="s">
        <v>849</v>
      </c>
      <c r="G832" s="35">
        <v>22.42</v>
      </c>
      <c r="H832" s="36">
        <f>G832*(1-IFERROR(VLOOKUP(F832,'enter the discount'!$D$10:$E$40,2,FALSE),0))</f>
        <v>22.42</v>
      </c>
      <c r="I832" t="s">
        <v>2609</v>
      </c>
      <c r="J832" s="33" t="s">
        <v>818</v>
      </c>
      <c r="K832" s="33" t="s">
        <v>2749</v>
      </c>
      <c r="L832"/>
      <c r="M832"/>
      <c r="N832" t="s">
        <v>2754</v>
      </c>
      <c r="O832" s="34" t="str">
        <f>HYPERLINK("https://b2b.kobi.pl/pl/product/9865,lampa-wiszaca-globe-elegance-ash-s-1xg9-kobi-design?currency=PLN")</f>
        <v>https://b2b.kobi.pl/pl/product/9865,lampa-wiszaca-globe-elegance-ash-s-1xg9-kobi-design?currency=PLN</v>
      </c>
      <c r="P832" t="s">
        <v>3</v>
      </c>
      <c r="Q832"/>
    </row>
    <row r="833" spans="1:17" ht="14.4" x14ac:dyDescent="0.3">
      <c r="A833" t="s">
        <v>11</v>
      </c>
      <c r="B833" t="s">
        <v>2449</v>
      </c>
      <c r="C833" t="s">
        <v>1875</v>
      </c>
      <c r="D833" t="s">
        <v>2517</v>
      </c>
      <c r="E833" t="s">
        <v>2518</v>
      </c>
      <c r="F833" t="s">
        <v>849</v>
      </c>
      <c r="G833" s="35">
        <v>21.75</v>
      </c>
      <c r="H833" s="36">
        <f>G833*(1-IFERROR(VLOOKUP(F833,'enter the discount'!$D$10:$E$40,2,FALSE),0))</f>
        <v>21.75</v>
      </c>
      <c r="I833" t="s">
        <v>2609</v>
      </c>
      <c r="J833" s="33" t="s">
        <v>815</v>
      </c>
      <c r="K833" s="33" t="s">
        <v>2749</v>
      </c>
      <c r="L833"/>
      <c r="M833"/>
      <c r="N833" t="s">
        <v>2754</v>
      </c>
      <c r="O833" s="34" t="str">
        <f>HYPERLINK("https://b2b.kobi.pl/pl/product/9866,kinkiet-globe-elgance-ash-k-1xg9-kobi-design?currency=PLN")</f>
        <v>https://b2b.kobi.pl/pl/product/9866,kinkiet-globe-elgance-ash-k-1xg9-kobi-design?currency=PLN</v>
      </c>
      <c r="P833" t="s">
        <v>3</v>
      </c>
      <c r="Q833"/>
    </row>
    <row r="834" spans="1:17" ht="14.4" x14ac:dyDescent="0.3">
      <c r="A834" t="s">
        <v>11</v>
      </c>
      <c r="B834" t="s">
        <v>2449</v>
      </c>
      <c r="C834" t="s">
        <v>1875</v>
      </c>
      <c r="D834" t="s">
        <v>2519</v>
      </c>
      <c r="E834" t="s">
        <v>2520</v>
      </c>
      <c r="F834" t="s">
        <v>849</v>
      </c>
      <c r="G834" s="35">
        <v>53.85</v>
      </c>
      <c r="H834" s="36">
        <f>G834*(1-IFERROR(VLOOKUP(F834,'enter the discount'!$D$10:$E$40,2,FALSE),0))</f>
        <v>53.85</v>
      </c>
      <c r="I834" t="s">
        <v>2609</v>
      </c>
      <c r="J834" s="33" t="s">
        <v>816</v>
      </c>
      <c r="K834" s="33" t="s">
        <v>2749</v>
      </c>
      <c r="L834"/>
      <c r="M834"/>
      <c r="N834" t="s">
        <v>2754</v>
      </c>
      <c r="O834" s="34" t="str">
        <f>HYPERLINK("https://b2b.kobi.pl/pl/product/9867,lampa-sufitowa-globe-elegance-ash-s3-3xg9-kobi-design?currency=PLN")</f>
        <v>https://b2b.kobi.pl/pl/product/9867,lampa-sufitowa-globe-elegance-ash-s3-3xg9-kobi-design?currency=PLN</v>
      </c>
      <c r="P834" t="s">
        <v>3</v>
      </c>
      <c r="Q834"/>
    </row>
    <row r="835" spans="1:17" ht="14.4" x14ac:dyDescent="0.3">
      <c r="A835" t="s">
        <v>11</v>
      </c>
      <c r="B835" t="s">
        <v>2449</v>
      </c>
      <c r="C835" t="s">
        <v>1875</v>
      </c>
      <c r="D835" t="s">
        <v>2521</v>
      </c>
      <c r="E835" t="s">
        <v>2522</v>
      </c>
      <c r="F835" t="s">
        <v>849</v>
      </c>
      <c r="G835" s="35">
        <v>74.03</v>
      </c>
      <c r="H835" s="36">
        <f>G835*(1-IFERROR(VLOOKUP(F835,'enter the discount'!$D$10:$E$40,2,FALSE),0))</f>
        <v>74.03</v>
      </c>
      <c r="I835" t="s">
        <v>2609</v>
      </c>
      <c r="J835" s="33" t="s">
        <v>817</v>
      </c>
      <c r="K835" s="33" t="s">
        <v>2749</v>
      </c>
      <c r="L835"/>
      <c r="M835"/>
      <c r="N835" t="s">
        <v>2754</v>
      </c>
      <c r="O835" s="34" t="str">
        <f>HYPERLINK("https://b2b.kobi.pl/pl/product/9868,lampa-sufitowa-globe-elegance-ash-s4-4xg9-kobi-design?currency=PLN")</f>
        <v>https://b2b.kobi.pl/pl/product/9868,lampa-sufitowa-globe-elegance-ash-s4-4xg9-kobi-design?currency=PLN</v>
      </c>
      <c r="P835" t="s">
        <v>3</v>
      </c>
      <c r="Q835"/>
    </row>
    <row r="836" spans="1:17" ht="14.4" x14ac:dyDescent="0.3">
      <c r="A836" t="s">
        <v>11</v>
      </c>
      <c r="B836" t="s">
        <v>2449</v>
      </c>
      <c r="C836" t="s">
        <v>1875</v>
      </c>
      <c r="D836" t="s">
        <v>2523</v>
      </c>
      <c r="E836" t="s">
        <v>2524</v>
      </c>
      <c r="F836" t="s">
        <v>853</v>
      </c>
      <c r="G836" s="35">
        <v>27.48</v>
      </c>
      <c r="H836" s="36">
        <f>G836*(1-IFERROR(VLOOKUP(F836,'enter the discount'!$D$10:$E$40,2,FALSE),0))</f>
        <v>27.48</v>
      </c>
      <c r="I836" t="s">
        <v>2609</v>
      </c>
      <c r="J836" s="33" t="s">
        <v>819</v>
      </c>
      <c r="K836" s="33" t="s">
        <v>2749</v>
      </c>
      <c r="L836"/>
      <c r="M836"/>
      <c r="N836" t="s">
        <v>2754</v>
      </c>
      <c r="O836" s="34" t="str">
        <f>HYPERLINK("https://b2b.kobi.pl/pl/product/9869,lampka-biurkowa-globe-elegance-ash-st-1xg9-kobi-design?currency=PLN")</f>
        <v>https://b2b.kobi.pl/pl/product/9869,lampka-biurkowa-globe-elegance-ash-st-1xg9-kobi-design?currency=PLN</v>
      </c>
      <c r="P836" t="s">
        <v>3</v>
      </c>
      <c r="Q836"/>
    </row>
    <row r="837" spans="1:17" ht="14.4" x14ac:dyDescent="0.3">
      <c r="A837" t="s">
        <v>11</v>
      </c>
      <c r="B837" t="s">
        <v>2449</v>
      </c>
      <c r="C837" t="s">
        <v>1875</v>
      </c>
      <c r="D837" t="s">
        <v>2525</v>
      </c>
      <c r="E837" t="s">
        <v>2526</v>
      </c>
      <c r="F837" t="s">
        <v>849</v>
      </c>
      <c r="G837" s="35">
        <v>101.07</v>
      </c>
      <c r="H837" s="36">
        <f>G837*(1-IFERROR(VLOOKUP(F837,'enter the discount'!$D$10:$E$40,2,FALSE),0))</f>
        <v>101.07</v>
      </c>
      <c r="I837" t="s">
        <v>2609</v>
      </c>
      <c r="J837" s="33" t="s">
        <v>823</v>
      </c>
      <c r="K837" s="33" t="s">
        <v>2749</v>
      </c>
      <c r="L837"/>
      <c r="M837"/>
      <c r="N837" t="s">
        <v>2754</v>
      </c>
      <c r="O837" s="34" t="str">
        <f>HYPERLINK("https://b2b.kobi.pl/pl/product/9870,lampa-wiszaca-globe-elegance-gold-s5-5xg9-kobi-design?currency=PLN")</f>
        <v>https://b2b.kobi.pl/pl/product/9870,lampa-wiszaca-globe-elegance-gold-s5-5xg9-kobi-design?currency=PLN</v>
      </c>
      <c r="P837" t="s">
        <v>3</v>
      </c>
      <c r="Q837"/>
    </row>
    <row r="838" spans="1:17" ht="14.4" x14ac:dyDescent="0.3">
      <c r="A838" t="s">
        <v>11</v>
      </c>
      <c r="B838" t="s">
        <v>2449</v>
      </c>
      <c r="C838" t="s">
        <v>1875</v>
      </c>
      <c r="D838" t="s">
        <v>2527</v>
      </c>
      <c r="E838" t="s">
        <v>2528</v>
      </c>
      <c r="F838" t="s">
        <v>853</v>
      </c>
      <c r="G838" s="35">
        <v>32.96</v>
      </c>
      <c r="H838" s="36">
        <f>G838*(1-IFERROR(VLOOKUP(F838,'enter the discount'!$D$10:$E$40,2,FALSE),0))</f>
        <v>32.96</v>
      </c>
      <c r="I838" t="s">
        <v>2609</v>
      </c>
      <c r="J838" s="33" t="s">
        <v>824</v>
      </c>
      <c r="K838" s="33" t="s">
        <v>2749</v>
      </c>
      <c r="L838"/>
      <c r="M838"/>
      <c r="N838" t="s">
        <v>2754</v>
      </c>
      <c r="O838" s="34" t="str">
        <f>HYPERLINK("https://b2b.kobi.pl/pl/product/9871,lampka-biurkowa-globe-elegance-gold-st-1xg9-kobi-design?currency=PLN")</f>
        <v>https://b2b.kobi.pl/pl/product/9871,lampka-biurkowa-globe-elegance-gold-st-1xg9-kobi-design?currency=PLN</v>
      </c>
      <c r="P838" t="s">
        <v>3</v>
      </c>
      <c r="Q838"/>
    </row>
    <row r="839" spans="1:17" ht="14.4" x14ac:dyDescent="0.3">
      <c r="A839" t="s">
        <v>11</v>
      </c>
      <c r="B839" t="s">
        <v>2449</v>
      </c>
      <c r="C839" t="s">
        <v>1875</v>
      </c>
      <c r="D839" t="s">
        <v>2529</v>
      </c>
      <c r="E839" t="s">
        <v>2530</v>
      </c>
      <c r="F839" t="s">
        <v>849</v>
      </c>
      <c r="G839" s="35">
        <v>21.52</v>
      </c>
      <c r="H839" s="37">
        <f>G839*(1-IFERROR(VLOOKUP(F839,'enter the discount'!$D$10:$E$40,2,FALSE),0))</f>
        <v>21.52</v>
      </c>
      <c r="I839" t="s">
        <v>2609</v>
      </c>
      <c r="J839" s="33" t="s">
        <v>820</v>
      </c>
      <c r="K839" s="33" t="s">
        <v>2749</v>
      </c>
      <c r="L839"/>
      <c r="M839"/>
      <c r="N839" t="s">
        <v>2754</v>
      </c>
      <c r="O839" s="34" t="str">
        <f>HYPERLINK("https://b2b.kobi.pl/pl/product/9872,kinkiet-globe-elegance-gold-k-1xg9-kobi-design?currency=PLN")</f>
        <v>https://b2b.kobi.pl/pl/product/9872,kinkiet-globe-elegance-gold-k-1xg9-kobi-design?currency=PLN</v>
      </c>
      <c r="P839" t="s">
        <v>3</v>
      </c>
      <c r="Q839"/>
    </row>
    <row r="840" spans="1:17" ht="14.4" x14ac:dyDescent="0.3">
      <c r="A840" t="s">
        <v>11</v>
      </c>
      <c r="B840" t="s">
        <v>2449</v>
      </c>
      <c r="C840" t="s">
        <v>1875</v>
      </c>
      <c r="D840" t="s">
        <v>2531</v>
      </c>
      <c r="E840" t="s">
        <v>2532</v>
      </c>
      <c r="F840" t="s">
        <v>849</v>
      </c>
      <c r="G840" s="35">
        <v>22.79</v>
      </c>
      <c r="H840" s="36">
        <f>G840*(1-IFERROR(VLOOKUP(F840,'enter the discount'!$D$10:$E$40,2,FALSE),0))</f>
        <v>22.79</v>
      </c>
      <c r="I840" t="s">
        <v>2609</v>
      </c>
      <c r="J840" s="33" t="s">
        <v>826</v>
      </c>
      <c r="K840" s="33" t="s">
        <v>2749</v>
      </c>
      <c r="L840"/>
      <c r="M840"/>
      <c r="N840" t="s">
        <v>2754</v>
      </c>
      <c r="O840" s="34" t="str">
        <f>HYPERLINK("https://b2b.kobi.pl/pl/product/9873,kinkiet-globe-elegance-bl-gold-k-1xg9-kobi-design?currency=PLN")</f>
        <v>https://b2b.kobi.pl/pl/product/9873,kinkiet-globe-elegance-bl-gold-k-1xg9-kobi-design?currency=PLN</v>
      </c>
      <c r="P840" t="s">
        <v>3</v>
      </c>
      <c r="Q840"/>
    </row>
    <row r="841" spans="1:17" ht="14.4" x14ac:dyDescent="0.3">
      <c r="A841" t="s">
        <v>11</v>
      </c>
      <c r="B841" t="s">
        <v>2449</v>
      </c>
      <c r="C841" t="s">
        <v>1875</v>
      </c>
      <c r="D841" t="s">
        <v>2533</v>
      </c>
      <c r="E841" t="s">
        <v>2534</v>
      </c>
      <c r="F841" t="s">
        <v>849</v>
      </c>
      <c r="G841" s="35">
        <v>25.91</v>
      </c>
      <c r="H841" s="37">
        <f>G841*(1-IFERROR(VLOOKUP(F841,'enter the discount'!$D$10:$E$40,2,FALSE),0))</f>
        <v>25.91</v>
      </c>
      <c r="I841" t="s">
        <v>2609</v>
      </c>
      <c r="J841" s="33" t="s">
        <v>821</v>
      </c>
      <c r="K841" s="33" t="s">
        <v>2749</v>
      </c>
      <c r="L841"/>
      <c r="M841"/>
      <c r="N841" t="s">
        <v>2754</v>
      </c>
      <c r="O841" s="34" t="str">
        <f>HYPERLINK("https://b2b.kobi.pl/pl/product/9874,lampa-wiszaca-globe-elegance-gold-s-1xg9-kobi-design?currency=PLN")</f>
        <v>https://b2b.kobi.pl/pl/product/9874,lampa-wiszaca-globe-elegance-gold-s-1xg9-kobi-design?currency=PLN</v>
      </c>
      <c r="P841" t="s">
        <v>3</v>
      </c>
      <c r="Q841"/>
    </row>
    <row r="842" spans="1:17" ht="14.4" x14ac:dyDescent="0.3">
      <c r="A842" t="s">
        <v>11</v>
      </c>
      <c r="B842" t="s">
        <v>2449</v>
      </c>
      <c r="C842" t="s">
        <v>1875</v>
      </c>
      <c r="D842" t="s">
        <v>2535</v>
      </c>
      <c r="E842" t="s">
        <v>2536</v>
      </c>
      <c r="F842" t="s">
        <v>849</v>
      </c>
      <c r="G842" s="35">
        <v>47.88</v>
      </c>
      <c r="H842" s="36">
        <f>G842*(1-IFERROR(VLOOKUP(F842,'enter the discount'!$D$10:$E$40,2,FALSE),0))</f>
        <v>47.88</v>
      </c>
      <c r="I842" t="s">
        <v>2609</v>
      </c>
      <c r="J842" s="33" t="s">
        <v>822</v>
      </c>
      <c r="K842" s="33" t="s">
        <v>2749</v>
      </c>
      <c r="L842"/>
      <c r="M842"/>
      <c r="N842" t="s">
        <v>2754</v>
      </c>
      <c r="O842" s="34" t="str">
        <f>HYPERLINK("https://b2b.kobi.pl/pl/product/9875,lampa-wiszaca-globe-elegance-gold-s2-2xg9-kobi-design?currency=PLN")</f>
        <v>https://b2b.kobi.pl/pl/product/9875,lampa-wiszaca-globe-elegance-gold-s2-2xg9-kobi-design?currency=PLN</v>
      </c>
      <c r="P842" t="s">
        <v>3</v>
      </c>
      <c r="Q842"/>
    </row>
    <row r="843" spans="1:17" ht="14.4" x14ac:dyDescent="0.3">
      <c r="A843" t="s">
        <v>11</v>
      </c>
      <c r="B843" t="s">
        <v>2449</v>
      </c>
      <c r="C843" t="s">
        <v>1875</v>
      </c>
      <c r="D843" t="s">
        <v>2537</v>
      </c>
      <c r="E843" t="s">
        <v>2538</v>
      </c>
      <c r="F843" t="s">
        <v>853</v>
      </c>
      <c r="G843" s="35">
        <v>33.32</v>
      </c>
      <c r="H843" s="36">
        <f>G843*(1-IFERROR(VLOOKUP(F843,'enter the discount'!$D$10:$E$40,2,FALSE),0))</f>
        <v>33.32</v>
      </c>
      <c r="I843" t="s">
        <v>2609</v>
      </c>
      <c r="J843" s="33" t="s">
        <v>825</v>
      </c>
      <c r="K843" s="33" t="s">
        <v>2749</v>
      </c>
      <c r="L843"/>
      <c r="M843"/>
      <c r="N843" t="s">
        <v>2754</v>
      </c>
      <c r="O843" s="34" t="str">
        <f>HYPERLINK("https://b2b.kobi.pl/pl/product/9876,lampka-biurkowa-globe-elegance-gold-st-mini-1xg9-kobi-design?currency=PLN")</f>
        <v>https://b2b.kobi.pl/pl/product/9876,lampka-biurkowa-globe-elegance-gold-st-mini-1xg9-kobi-design?currency=PLN</v>
      </c>
      <c r="P843" t="s">
        <v>3</v>
      </c>
      <c r="Q843"/>
    </row>
    <row r="844" spans="1:17" ht="14.4" x14ac:dyDescent="0.3">
      <c r="A844" t="s">
        <v>11</v>
      </c>
      <c r="B844" t="s">
        <v>2449</v>
      </c>
      <c r="C844" t="s">
        <v>1875</v>
      </c>
      <c r="D844" t="s">
        <v>2539</v>
      </c>
      <c r="E844" t="s">
        <v>2540</v>
      </c>
      <c r="F844" t="s">
        <v>849</v>
      </c>
      <c r="G844" s="35">
        <v>24.62</v>
      </c>
      <c r="H844" s="36">
        <f>G844*(1-IFERROR(VLOOKUP(F844,'enter the discount'!$D$10:$E$40,2,FALSE),0))</f>
        <v>24.62</v>
      </c>
      <c r="I844" t="s">
        <v>2609</v>
      </c>
      <c r="J844" s="33" t="s">
        <v>811</v>
      </c>
      <c r="K844" s="33" t="s">
        <v>2749</v>
      </c>
      <c r="L844"/>
      <c r="M844"/>
      <c r="N844" t="s">
        <v>2754</v>
      </c>
      <c r="O844" s="34" t="str">
        <f>HYPERLINK("https://b2b.kobi.pl/pl/product/9877,lampa-wiszaca-elipse-elegance-s-1xg9-kobi-design?currency=PLN")</f>
        <v>https://b2b.kobi.pl/pl/product/9877,lampa-wiszaca-elipse-elegance-s-1xg9-kobi-design?currency=PLN</v>
      </c>
      <c r="P844" t="s">
        <v>3</v>
      </c>
      <c r="Q844"/>
    </row>
    <row r="845" spans="1:17" ht="14.4" x14ac:dyDescent="0.3">
      <c r="A845" t="s">
        <v>11</v>
      </c>
      <c r="B845" t="s">
        <v>2449</v>
      </c>
      <c r="C845" t="s">
        <v>1875</v>
      </c>
      <c r="D845" t="s">
        <v>2541</v>
      </c>
      <c r="E845" t="s">
        <v>2542</v>
      </c>
      <c r="F845" t="s">
        <v>849</v>
      </c>
      <c r="G845" s="35">
        <v>33.270000000000003</v>
      </c>
      <c r="H845" s="36">
        <f>G845*(1-IFERROR(VLOOKUP(F845,'enter the discount'!$D$10:$E$40,2,FALSE),0))</f>
        <v>33.270000000000003</v>
      </c>
      <c r="I845" t="s">
        <v>2609</v>
      </c>
      <c r="J845" s="33" t="s">
        <v>810</v>
      </c>
      <c r="K845" s="33" t="s">
        <v>2749</v>
      </c>
      <c r="L845"/>
      <c r="M845"/>
      <c r="N845" t="s">
        <v>2754</v>
      </c>
      <c r="O845" s="34" t="str">
        <f>HYPERLINK("https://b2b.kobi.pl/pl/product/9878,kinkiet-elipse-elegance-k-2xg9-kobi-design?currency=PLN")</f>
        <v>https://b2b.kobi.pl/pl/product/9878,kinkiet-elipse-elegance-k-2xg9-kobi-design?currency=PLN</v>
      </c>
      <c r="P845" t="s">
        <v>3</v>
      </c>
      <c r="Q845"/>
    </row>
    <row r="846" spans="1:17" ht="14.4" x14ac:dyDescent="0.3">
      <c r="A846" t="s">
        <v>11</v>
      </c>
      <c r="B846" t="s">
        <v>2449</v>
      </c>
      <c r="C846" t="s">
        <v>1875</v>
      </c>
      <c r="D846" t="s">
        <v>2543</v>
      </c>
      <c r="E846" t="s">
        <v>2544</v>
      </c>
      <c r="F846" t="s">
        <v>849</v>
      </c>
      <c r="G846" s="35">
        <v>59.28</v>
      </c>
      <c r="H846" s="36">
        <f>G846*(1-IFERROR(VLOOKUP(F846,'enter the discount'!$D$10:$E$40,2,FALSE),0))</f>
        <v>59.28</v>
      </c>
      <c r="I846" t="s">
        <v>2609</v>
      </c>
      <c r="J846" s="33" t="s">
        <v>812</v>
      </c>
      <c r="K846" s="33" t="s">
        <v>2749</v>
      </c>
      <c r="L846"/>
      <c r="M846"/>
      <c r="N846" t="s">
        <v>2754</v>
      </c>
      <c r="O846" s="34" t="str">
        <f>HYPERLINK("https://b2b.kobi.pl/pl/product/9879,lampa-sufitowa-elipse-elegance-s3-3xg9-kobi-design?currency=PLN")</f>
        <v>https://b2b.kobi.pl/pl/product/9879,lampa-sufitowa-elipse-elegance-s3-3xg9-kobi-design?currency=PLN</v>
      </c>
      <c r="P846" t="s">
        <v>3</v>
      </c>
      <c r="Q846"/>
    </row>
    <row r="847" spans="1:17" ht="14.4" x14ac:dyDescent="0.3">
      <c r="A847" t="s">
        <v>10</v>
      </c>
      <c r="B847" t="s">
        <v>2449</v>
      </c>
      <c r="C847" t="s">
        <v>910</v>
      </c>
      <c r="D847" t="s">
        <v>2545</v>
      </c>
      <c r="E847" t="s">
        <v>2546</v>
      </c>
      <c r="F847" t="s">
        <v>856</v>
      </c>
      <c r="G847" s="35">
        <v>21.45</v>
      </c>
      <c r="H847" s="36">
        <f>G847*(1-IFERROR(VLOOKUP(F847,'enter the discount'!$D$10:$E$40,2,FALSE),0))</f>
        <v>21.45</v>
      </c>
      <c r="I847" t="s">
        <v>2609</v>
      </c>
      <c r="J847" s="33" t="s">
        <v>2738</v>
      </c>
      <c r="K847" s="33" t="s">
        <v>2749</v>
      </c>
      <c r="L847"/>
      <c r="M847"/>
      <c r="N847" t="s">
        <v>2754</v>
      </c>
      <c r="O847" s="34" t="str">
        <f>HYPERLINK("https://b2b.kobi.pl/pl/product/12117,oslona-do-led-anica-100w-kobi?currency=PLN")</f>
        <v>https://b2b.kobi.pl/pl/product/12117,oslona-do-led-anica-100w-kobi?currency=PLN</v>
      </c>
      <c r="P847" t="s">
        <v>3</v>
      </c>
      <c r="Q847"/>
    </row>
    <row r="848" spans="1:17" ht="14.4" x14ac:dyDescent="0.3">
      <c r="A848" t="s">
        <v>11</v>
      </c>
      <c r="B848" t="s">
        <v>2449</v>
      </c>
      <c r="C848" t="s">
        <v>910</v>
      </c>
      <c r="D848" t="s">
        <v>2547</v>
      </c>
      <c r="E848" t="s">
        <v>2548</v>
      </c>
      <c r="F848" t="s">
        <v>856</v>
      </c>
      <c r="G848" s="35">
        <v>22.41</v>
      </c>
      <c r="H848" s="37">
        <f>G848*(1-IFERROR(VLOOKUP(F848,'enter the discount'!$D$10:$E$40,2,FALSE),0))</f>
        <v>22.41</v>
      </c>
      <c r="I848" t="s">
        <v>2609</v>
      </c>
      <c r="J848" s="33" t="s">
        <v>2739</v>
      </c>
      <c r="K848" s="33" t="s">
        <v>2749</v>
      </c>
      <c r="L848"/>
      <c r="M848"/>
      <c r="N848" t="s">
        <v>2754</v>
      </c>
      <c r="O848" s="34" t="str">
        <f>HYPERLINK("https://b2b.kobi.pl/pl/product/12118,oslona-do-led-anica-150w-kobi?currency=PLN")</f>
        <v>https://b2b.kobi.pl/pl/product/12118,oslona-do-led-anica-150w-kobi?currency=PLN</v>
      </c>
      <c r="P848" t="s">
        <v>3</v>
      </c>
      <c r="Q848"/>
    </row>
    <row r="849" spans="1:17" ht="14.4" x14ac:dyDescent="0.3">
      <c r="A849" t="s">
        <v>10</v>
      </c>
      <c r="B849" t="s">
        <v>2449</v>
      </c>
      <c r="C849" t="s">
        <v>910</v>
      </c>
      <c r="D849" t="s">
        <v>2549</v>
      </c>
      <c r="E849" t="s">
        <v>2550</v>
      </c>
      <c r="F849" t="s">
        <v>856</v>
      </c>
      <c r="G849" s="35">
        <v>25.3</v>
      </c>
      <c r="H849" s="37">
        <f>G849*(1-IFERROR(VLOOKUP(F849,'enter the discount'!$D$10:$E$40,2,FALSE),0))</f>
        <v>25.3</v>
      </c>
      <c r="I849" t="s">
        <v>2609</v>
      </c>
      <c r="J849" s="33" t="s">
        <v>2740</v>
      </c>
      <c r="K849" s="33" t="s">
        <v>2749</v>
      </c>
      <c r="L849"/>
      <c r="M849"/>
      <c r="N849" t="s">
        <v>2754</v>
      </c>
      <c r="O849" s="34" t="str">
        <f>HYPERLINK("https://b2b.kobi.pl/pl/product/12119,oslona-do-led-anica-200w-kobi?currency=PLN")</f>
        <v>https://b2b.kobi.pl/pl/product/12119,oslona-do-led-anica-200w-kobi?currency=PLN</v>
      </c>
      <c r="P849" t="s">
        <v>3</v>
      </c>
      <c r="Q849"/>
    </row>
    <row r="850" spans="1:17" ht="14.4" x14ac:dyDescent="0.3">
      <c r="A850" t="s">
        <v>2056</v>
      </c>
      <c r="B850" t="s">
        <v>19</v>
      </c>
      <c r="C850" t="s">
        <v>910</v>
      </c>
      <c r="D850" t="s">
        <v>2551</v>
      </c>
      <c r="E850" t="s">
        <v>2552</v>
      </c>
      <c r="F850" t="s">
        <v>856</v>
      </c>
      <c r="G850" s="35">
        <v>11.2</v>
      </c>
      <c r="H850" s="36">
        <f>G850*(1-IFERROR(VLOOKUP(F850,'enter the discount'!$D$10:$E$40,2,FALSE),0))</f>
        <v>11.2</v>
      </c>
      <c r="I850" t="s">
        <v>2609</v>
      </c>
      <c r="J850" s="33" t="s">
        <v>310</v>
      </c>
      <c r="K850" s="33" t="s">
        <v>2749</v>
      </c>
      <c r="L850">
        <v>48</v>
      </c>
      <c r="M850"/>
      <c r="N850" t="s">
        <v>2754</v>
      </c>
      <c r="O850" s="34" t="str">
        <f>HYPERLINK("https://b2b.kobi.pl/pl/product/10687,programator-pc24-kobi?currency=PLN")</f>
        <v>https://b2b.kobi.pl/pl/product/10687,programator-pc24-kobi?currency=PLN</v>
      </c>
      <c r="P850" t="s">
        <v>3</v>
      </c>
      <c r="Q850"/>
    </row>
    <row r="851" spans="1:17" ht="14.4" x14ac:dyDescent="0.3">
      <c r="A851"/>
      <c r="B851"/>
      <c r="C851" t="s">
        <v>30</v>
      </c>
      <c r="D851" t="s">
        <v>2553</v>
      </c>
      <c r="E851" t="s">
        <v>2554</v>
      </c>
      <c r="F851" t="s">
        <v>850</v>
      </c>
      <c r="G851" s="35">
        <v>23.19</v>
      </c>
      <c r="H851" s="36">
        <f>G851*(1-IFERROR(VLOOKUP(F851,'enter the discount'!$D$10:$E$40,2,FALSE),0))</f>
        <v>23.19</v>
      </c>
      <c r="I851" t="s">
        <v>2609</v>
      </c>
      <c r="J851" s="33" t="s">
        <v>2741</v>
      </c>
      <c r="K851" s="33" t="s">
        <v>2749</v>
      </c>
      <c r="L851">
        <v>20</v>
      </c>
      <c r="M851"/>
      <c r="N851" t="s">
        <v>2754</v>
      </c>
      <c r="O851" s="34" t="str">
        <f>HYPERLINK("https://b2b.kobi.pl/pl/product/12145,kinkiet-ogrodowy-led-querk-2x3w-3000k-ip54-czarny-led2b?currency=PLN")</f>
        <v>https://b2b.kobi.pl/pl/product/12145,kinkiet-ogrodowy-led-querk-2x3w-3000k-ip54-czarny-led2b?currency=PLN</v>
      </c>
      <c r="P851" s="34" t="str">
        <f>HYPERLINK("https://eprel.ec.europa.eu/qr/2176619")</f>
        <v>https://eprel.ec.europa.eu/qr/2176619</v>
      </c>
      <c r="Q851"/>
    </row>
    <row r="852" spans="1:17" ht="14.4" x14ac:dyDescent="0.3">
      <c r="A852" t="s">
        <v>10</v>
      </c>
      <c r="B852" t="s">
        <v>27</v>
      </c>
      <c r="C852" t="s">
        <v>885</v>
      </c>
      <c r="D852" t="s">
        <v>2555</v>
      </c>
      <c r="E852" t="s">
        <v>2556</v>
      </c>
      <c r="F852" t="s">
        <v>835</v>
      </c>
      <c r="G852" s="35">
        <v>121.45</v>
      </c>
      <c r="H852" s="36">
        <f>G852*(1-IFERROR(VLOOKUP(F852,'enter the discount'!$D$10:$E$40,2,FALSE),0))</f>
        <v>121.45</v>
      </c>
      <c r="I852" t="s">
        <v>2609</v>
      </c>
      <c r="J852" s="33" t="s">
        <v>801</v>
      </c>
      <c r="K852" s="33" t="s">
        <v>2749</v>
      </c>
      <c r="L852">
        <v>8</v>
      </c>
      <c r="M852"/>
      <c r="N852" t="s">
        <v>2755</v>
      </c>
      <c r="O852" s="34" t="str">
        <f>HYPERLINK("https://b2b.kobi.pl/pl/product/12107,naswietlacz-z-czujnikiem-ruchu-solar-led-mhcs-30w-2cct-ip65-kobi-premium?currency=PLN")</f>
        <v>https://b2b.kobi.pl/pl/product/12107,naswietlacz-z-czujnikiem-ruchu-solar-led-mhcs-30w-2cct-ip65-kobi-premium?currency=PLN</v>
      </c>
      <c r="P852" t="s">
        <v>3</v>
      </c>
      <c r="Q852"/>
    </row>
    <row r="853" spans="1:17" ht="14.4" x14ac:dyDescent="0.3">
      <c r="A853" t="s">
        <v>10</v>
      </c>
      <c r="B853" t="s">
        <v>565</v>
      </c>
      <c r="C853" t="s">
        <v>910</v>
      </c>
      <c r="D853" t="s">
        <v>339</v>
      </c>
      <c r="E853" t="s">
        <v>2561</v>
      </c>
      <c r="F853" t="s">
        <v>845</v>
      </c>
      <c r="G853" s="35">
        <v>15.42</v>
      </c>
      <c r="H853" s="36">
        <f>G853*(1-IFERROR(VLOOKUP(F853,'enter the discount'!$D$10:$E$40,2,FALSE),0))</f>
        <v>15.42</v>
      </c>
      <c r="I853" t="s">
        <v>2609</v>
      </c>
      <c r="J853" s="33" t="s">
        <v>167</v>
      </c>
      <c r="K853" s="33" t="s">
        <v>2749</v>
      </c>
      <c r="L853">
        <v>5</v>
      </c>
      <c r="M853">
        <v>180</v>
      </c>
      <c r="N853" t="s">
        <v>2754</v>
      </c>
      <c r="O853" s="34" t="str">
        <f>HYPERLINK("https://b2b.kobi.pl/pl/product/10280,plafon-ruto-1xe27-bialy-kobi?currency=PLN")</f>
        <v>https://b2b.kobi.pl/pl/product/10280,plafon-ruto-1xe27-bialy-kobi?currency=PLN</v>
      </c>
      <c r="P853" t="s">
        <v>3</v>
      </c>
      <c r="Q853"/>
    </row>
    <row r="854" spans="1:17" ht="14.4" x14ac:dyDescent="0.3">
      <c r="A854" t="s">
        <v>10</v>
      </c>
      <c r="B854" t="s">
        <v>565</v>
      </c>
      <c r="C854" t="s">
        <v>910</v>
      </c>
      <c r="D854" t="s">
        <v>645</v>
      </c>
      <c r="E854" t="s">
        <v>2559</v>
      </c>
      <c r="F854" t="s">
        <v>845</v>
      </c>
      <c r="G854" s="35">
        <v>9.52</v>
      </c>
      <c r="H854" s="36">
        <f>G854*(1-IFERROR(VLOOKUP(F854,'enter the discount'!$D$10:$E$40,2,FALSE),0))</f>
        <v>9.52</v>
      </c>
      <c r="I854" t="s">
        <v>2609</v>
      </c>
      <c r="J854" s="33" t="s">
        <v>459</v>
      </c>
      <c r="K854" s="33" t="s">
        <v>2749</v>
      </c>
      <c r="L854">
        <v>10</v>
      </c>
      <c r="M854"/>
      <c r="N854" t="s">
        <v>2754</v>
      </c>
      <c r="O854" s="34" t="str">
        <f>HYPERLINK("https://b2b.kobi.pl/pl/product/10282,oprawa-kanalowa-soma-pc-1xe27-100-siatka-metal-kobi?currency=PLN")</f>
        <v>https://b2b.kobi.pl/pl/product/10282,oprawa-kanalowa-soma-pc-1xe27-100-siatka-metal-kobi?currency=PLN</v>
      </c>
      <c r="P854" t="s">
        <v>3</v>
      </c>
      <c r="Q854"/>
    </row>
    <row r="855" spans="1:17" ht="14.4" x14ac:dyDescent="0.3">
      <c r="A855" t="s">
        <v>10</v>
      </c>
      <c r="B855" t="s">
        <v>565</v>
      </c>
      <c r="C855" t="s">
        <v>910</v>
      </c>
      <c r="D855" t="s">
        <v>644</v>
      </c>
      <c r="E855" t="s">
        <v>2560</v>
      </c>
      <c r="F855" t="s">
        <v>845</v>
      </c>
      <c r="G855" s="35">
        <v>8.07</v>
      </c>
      <c r="H855" s="36">
        <f>G855*(1-IFERROR(VLOOKUP(F855,'enter the discount'!$D$10:$E$40,2,FALSE),0))</f>
        <v>8.07</v>
      </c>
      <c r="I855" t="s">
        <v>2609</v>
      </c>
      <c r="J855" s="33" t="s">
        <v>453</v>
      </c>
      <c r="K855" s="33" t="s">
        <v>2749</v>
      </c>
      <c r="L855">
        <v>10</v>
      </c>
      <c r="M855"/>
      <c r="N855" t="s">
        <v>2754</v>
      </c>
      <c r="O855" s="34" t="str">
        <f>HYPERLINK("https://b2b.kobi.pl/pl/product/10283,oprawa-kanalowa-soma-pc-1xe27-100-siatka-plastik-kobi?currency=PLN")</f>
        <v>https://b2b.kobi.pl/pl/product/10283,oprawa-kanalowa-soma-pc-1xe27-100-siatka-plastik-kobi?currency=PLN</v>
      </c>
      <c r="P855" t="s">
        <v>3</v>
      </c>
      <c r="Q855"/>
    </row>
    <row r="856" spans="1:17" ht="14.4" x14ac:dyDescent="0.3">
      <c r="A856" t="s">
        <v>10</v>
      </c>
      <c r="B856" t="s">
        <v>565</v>
      </c>
      <c r="C856" t="s">
        <v>910</v>
      </c>
      <c r="D856" t="s">
        <v>646</v>
      </c>
      <c r="E856" t="s">
        <v>2557</v>
      </c>
      <c r="F856" t="s">
        <v>845</v>
      </c>
      <c r="G856" s="35">
        <v>7.71</v>
      </c>
      <c r="H856" s="36">
        <f>G856*(1-IFERROR(VLOOKUP(F856,'enter the discount'!$D$10:$E$40,2,FALSE),0))</f>
        <v>7.71</v>
      </c>
      <c r="I856" t="s">
        <v>2609</v>
      </c>
      <c r="J856" s="33" t="s">
        <v>460</v>
      </c>
      <c r="K856" s="33" t="s">
        <v>2749</v>
      </c>
      <c r="L856">
        <v>12</v>
      </c>
      <c r="M856"/>
      <c r="N856" t="s">
        <v>2754</v>
      </c>
      <c r="O856" s="34" t="str">
        <f>HYPERLINK("https://b2b.kobi.pl/pl/product/10284,oprawa-kanalowa-soma-pc-1xe27-60-siatka-metal-kobi?currency=PLN")</f>
        <v>https://b2b.kobi.pl/pl/product/10284,oprawa-kanalowa-soma-pc-1xe27-60-siatka-metal-kobi?currency=PLN</v>
      </c>
      <c r="P856" t="s">
        <v>3</v>
      </c>
      <c r="Q856"/>
    </row>
    <row r="857" spans="1:17" ht="14.4" x14ac:dyDescent="0.3">
      <c r="A857" t="s">
        <v>10</v>
      </c>
      <c r="B857" t="s">
        <v>565</v>
      </c>
      <c r="C857" t="s">
        <v>910</v>
      </c>
      <c r="D857" t="s">
        <v>647</v>
      </c>
      <c r="E857" t="s">
        <v>2558</v>
      </c>
      <c r="F857" t="s">
        <v>845</v>
      </c>
      <c r="G857" s="35">
        <v>6.87</v>
      </c>
      <c r="H857" s="36">
        <f>G857*(1-IFERROR(VLOOKUP(F857,'enter the discount'!$D$10:$E$40,2,FALSE),0))</f>
        <v>6.87</v>
      </c>
      <c r="I857" t="s">
        <v>2609</v>
      </c>
      <c r="J857" s="33" t="s">
        <v>461</v>
      </c>
      <c r="K857" s="33" t="s">
        <v>2749</v>
      </c>
      <c r="L857">
        <v>12</v>
      </c>
      <c r="M857"/>
      <c r="N857" t="s">
        <v>2754</v>
      </c>
      <c r="O857" s="34" t="str">
        <f>HYPERLINK("https://b2b.kobi.pl/pl/product/10285,oprawa-kanalowa-soma-pc-1xe27-60-siatka-plastik-kobi?currency=PLN")</f>
        <v>https://b2b.kobi.pl/pl/product/10285,oprawa-kanalowa-soma-pc-1xe27-60-siatka-plastik-kobi?currency=PLN</v>
      </c>
      <c r="P857" t="s">
        <v>3</v>
      </c>
      <c r="Q857"/>
    </row>
    <row r="858" spans="1:17" ht="14.4" x14ac:dyDescent="0.3">
      <c r="A858" t="s">
        <v>10</v>
      </c>
      <c r="B858" t="s">
        <v>565</v>
      </c>
      <c r="C858" t="s">
        <v>910</v>
      </c>
      <c r="D858" t="s">
        <v>622</v>
      </c>
      <c r="E858" t="s">
        <v>2562</v>
      </c>
      <c r="F858" t="s">
        <v>845</v>
      </c>
      <c r="G858" s="35">
        <v>10.119999999999999</v>
      </c>
      <c r="H858" s="36">
        <f>G858*(1-IFERROR(VLOOKUP(F858,'enter the discount'!$D$10:$E$40,2,FALSE),0))</f>
        <v>10.119999999999999</v>
      </c>
      <c r="I858" t="s">
        <v>2609</v>
      </c>
      <c r="J858" s="33" t="s">
        <v>166</v>
      </c>
      <c r="K858" s="33" t="s">
        <v>2749</v>
      </c>
      <c r="L858">
        <v>5</v>
      </c>
      <c r="M858">
        <v>200</v>
      </c>
      <c r="N858" t="s">
        <v>2754</v>
      </c>
      <c r="O858" s="34" t="str">
        <f>HYPERLINK("https://b2b.kobi.pl/pl/product/10290,plafon-wega-pc-1xe27-biala-kobi?currency=PLN")</f>
        <v>https://b2b.kobi.pl/pl/product/10290,plafon-wega-pc-1xe27-biala-kobi?currency=PLN</v>
      </c>
      <c r="P858" t="s">
        <v>3</v>
      </c>
      <c r="Q858"/>
    </row>
    <row r="859" spans="1:17" ht="14.4" x14ac:dyDescent="0.3">
      <c r="A859" t="s">
        <v>2056</v>
      </c>
      <c r="B859" t="s">
        <v>2563</v>
      </c>
      <c r="C859" t="s">
        <v>910</v>
      </c>
      <c r="D859" t="s">
        <v>2564</v>
      </c>
      <c r="E859" t="s">
        <v>2565</v>
      </c>
      <c r="F859" t="s">
        <v>856</v>
      </c>
      <c r="G859" s="35">
        <v>18.690000000000001</v>
      </c>
      <c r="H859" s="36">
        <f>G859*(1-IFERROR(VLOOKUP(F859,'enter the discount'!$D$10:$E$40,2,FALSE),0))</f>
        <v>18.690000000000001</v>
      </c>
      <c r="I859" t="s">
        <v>2609</v>
      </c>
      <c r="J859" s="33" t="s">
        <v>300</v>
      </c>
      <c r="K859" s="33" t="s">
        <v>2749</v>
      </c>
      <c r="L859">
        <v>50</v>
      </c>
      <c r="M859">
        <v>2000</v>
      </c>
      <c r="N859" t="s">
        <v>2754</v>
      </c>
      <c r="O859" s="34" t="str">
        <f>HYPERLINK("https://b2b.kobi.pl/pl/product/10692,programator-smart-socket-16a-wifi-kobi?currency=PLN")</f>
        <v>https://b2b.kobi.pl/pl/product/10692,programator-smart-socket-16a-wifi-kobi?currency=PLN</v>
      </c>
      <c r="P859" t="s">
        <v>3</v>
      </c>
      <c r="Q859" t="s">
        <v>2775</v>
      </c>
    </row>
    <row r="860" spans="1:17" ht="14.4" x14ac:dyDescent="0.3">
      <c r="A860" t="s">
        <v>2056</v>
      </c>
      <c r="B860" t="s">
        <v>20</v>
      </c>
      <c r="C860" t="s">
        <v>910</v>
      </c>
      <c r="D860" t="s">
        <v>654</v>
      </c>
      <c r="E860" t="s">
        <v>2566</v>
      </c>
      <c r="F860" t="s">
        <v>856</v>
      </c>
      <c r="G860" s="35">
        <v>12.53</v>
      </c>
      <c r="H860" s="36">
        <f>G860*(1-IFERROR(VLOOKUP(F860,'enter the discount'!$D$10:$E$40,2,FALSE),0))</f>
        <v>12.53</v>
      </c>
      <c r="I860" t="s">
        <v>2609</v>
      </c>
      <c r="J860" s="33" t="s">
        <v>311</v>
      </c>
      <c r="K860" s="33" t="s">
        <v>2749</v>
      </c>
      <c r="L860">
        <v>1</v>
      </c>
      <c r="M860"/>
      <c r="N860" t="s">
        <v>2754</v>
      </c>
      <c r="O860" s="34" t="str">
        <f>HYPERLINK("https://b2b.kobi.pl/pl/product/10742,zasilacz-desktop-12v-24w-2-0a?currency=PLN")</f>
        <v>https://b2b.kobi.pl/pl/product/10742,zasilacz-desktop-12v-24w-2-0a?currency=PLN</v>
      </c>
      <c r="P860" t="s">
        <v>3</v>
      </c>
      <c r="Q860"/>
    </row>
    <row r="861" spans="1:17" ht="14.4" x14ac:dyDescent="0.3">
      <c r="A861" t="s">
        <v>2056</v>
      </c>
      <c r="B861" t="s">
        <v>20</v>
      </c>
      <c r="C861" t="s">
        <v>910</v>
      </c>
      <c r="D861" t="s">
        <v>656</v>
      </c>
      <c r="E861" t="s">
        <v>2567</v>
      </c>
      <c r="F861" t="s">
        <v>856</v>
      </c>
      <c r="G861" s="35">
        <v>14.34</v>
      </c>
      <c r="H861" s="36">
        <f>G861*(1-IFERROR(VLOOKUP(F861,'enter the discount'!$D$10:$E$40,2,FALSE),0))</f>
        <v>14.34</v>
      </c>
      <c r="I861" t="s">
        <v>2609</v>
      </c>
      <c r="J861" s="33" t="s">
        <v>313</v>
      </c>
      <c r="K861" s="33" t="s">
        <v>2749</v>
      </c>
      <c r="L861">
        <v>1</v>
      </c>
      <c r="M861"/>
      <c r="N861" t="s">
        <v>2754</v>
      </c>
      <c r="O861" s="34" t="str">
        <f>HYPERLINK("https://b2b.kobi.pl/pl/product/10747,zasilacz-desktop-12v-36w-3-0a?currency=PLN")</f>
        <v>https://b2b.kobi.pl/pl/product/10747,zasilacz-desktop-12v-36w-3-0a?currency=PLN</v>
      </c>
      <c r="P861" t="s">
        <v>3</v>
      </c>
      <c r="Q861"/>
    </row>
    <row r="862" spans="1:17" ht="14.4" x14ac:dyDescent="0.3">
      <c r="A862" t="s">
        <v>2056</v>
      </c>
      <c r="B862" t="s">
        <v>20</v>
      </c>
      <c r="C862" t="s">
        <v>910</v>
      </c>
      <c r="D862" t="s">
        <v>657</v>
      </c>
      <c r="E862" t="s">
        <v>2568</v>
      </c>
      <c r="F862" t="s">
        <v>856</v>
      </c>
      <c r="G862" s="35">
        <v>15.06</v>
      </c>
      <c r="H862" s="36">
        <f>G862*(1-IFERROR(VLOOKUP(F862,'enter the discount'!$D$10:$E$40,2,FALSE),0))</f>
        <v>15.06</v>
      </c>
      <c r="I862" t="s">
        <v>2609</v>
      </c>
      <c r="J862" s="33" t="s">
        <v>314</v>
      </c>
      <c r="K862" s="33" t="s">
        <v>2749</v>
      </c>
      <c r="L862">
        <v>1</v>
      </c>
      <c r="M862"/>
      <c r="N862" t="s">
        <v>2754</v>
      </c>
      <c r="O862" s="34" t="str">
        <f>HYPERLINK("https://b2b.kobi.pl/pl/product/10748,zasilacz-desktop-12v-42w-3-5a?currency=PLN")</f>
        <v>https://b2b.kobi.pl/pl/product/10748,zasilacz-desktop-12v-42w-3-5a?currency=PLN</v>
      </c>
      <c r="P862" t="s">
        <v>3</v>
      </c>
      <c r="Q862"/>
    </row>
    <row r="863" spans="1:17" ht="14.4" x14ac:dyDescent="0.3">
      <c r="A863" t="s">
        <v>2056</v>
      </c>
      <c r="B863" t="s">
        <v>20</v>
      </c>
      <c r="C863" t="s">
        <v>910</v>
      </c>
      <c r="D863" t="s">
        <v>658</v>
      </c>
      <c r="E863" t="s">
        <v>2569</v>
      </c>
      <c r="F863" t="s">
        <v>856</v>
      </c>
      <c r="G863" s="35">
        <v>18.670000000000002</v>
      </c>
      <c r="H863" s="36">
        <f>G863*(1-IFERROR(VLOOKUP(F863,'enter the discount'!$D$10:$E$40,2,FALSE),0))</f>
        <v>18.670000000000002</v>
      </c>
      <c r="I863" t="s">
        <v>2609</v>
      </c>
      <c r="J863" s="33" t="s">
        <v>315</v>
      </c>
      <c r="K863" s="33" t="s">
        <v>2749</v>
      </c>
      <c r="L863">
        <v>1</v>
      </c>
      <c r="M863"/>
      <c r="N863" t="s">
        <v>2754</v>
      </c>
      <c r="O863" s="34" t="str">
        <f>HYPERLINK("https://b2b.kobi.pl/pl/product/10750,zasilacz-desktop-12v-60w-5-0a?currency=PLN")</f>
        <v>https://b2b.kobi.pl/pl/product/10750,zasilacz-desktop-12v-60w-5-0a?currency=PLN</v>
      </c>
      <c r="P863" t="s">
        <v>3</v>
      </c>
      <c r="Q863"/>
    </row>
    <row r="864" spans="1:17" ht="14.4" x14ac:dyDescent="0.3">
      <c r="A864" t="s">
        <v>2056</v>
      </c>
      <c r="B864" t="s">
        <v>20</v>
      </c>
      <c r="C864" t="s">
        <v>910</v>
      </c>
      <c r="D864" t="s">
        <v>659</v>
      </c>
      <c r="E864" t="s">
        <v>2570</v>
      </c>
      <c r="F864" t="s">
        <v>856</v>
      </c>
      <c r="G864" s="35">
        <v>23.37</v>
      </c>
      <c r="H864" s="36">
        <f>G864*(1-IFERROR(VLOOKUP(F864,'enter the discount'!$D$10:$E$40,2,FALSE),0))</f>
        <v>23.37</v>
      </c>
      <c r="I864" t="s">
        <v>2609</v>
      </c>
      <c r="J864" s="33" t="s">
        <v>316</v>
      </c>
      <c r="K864" s="33" t="s">
        <v>2749</v>
      </c>
      <c r="L864">
        <v>1</v>
      </c>
      <c r="M864"/>
      <c r="N864" t="s">
        <v>2754</v>
      </c>
      <c r="O864" s="34" t="str">
        <f>HYPERLINK("https://b2b.kobi.pl/pl/product/10735,zasilacz-desktop-12v-72w-6-0a?currency=PLN")</f>
        <v>https://b2b.kobi.pl/pl/product/10735,zasilacz-desktop-12v-72w-6-0a?currency=PLN</v>
      </c>
      <c r="P864" t="s">
        <v>3</v>
      </c>
      <c r="Q864"/>
    </row>
    <row r="865" spans="1:17" ht="14.4" x14ac:dyDescent="0.3">
      <c r="A865" t="s">
        <v>2056</v>
      </c>
      <c r="B865" t="s">
        <v>20</v>
      </c>
      <c r="C865" t="s">
        <v>910</v>
      </c>
      <c r="D865" t="s">
        <v>660</v>
      </c>
      <c r="E865" t="s">
        <v>2571</v>
      </c>
      <c r="F865" t="s">
        <v>856</v>
      </c>
      <c r="G865" s="35">
        <v>43.13</v>
      </c>
      <c r="H865" s="36">
        <f>G865*(1-IFERROR(VLOOKUP(F865,'enter the discount'!$D$10:$E$40,2,FALSE),0))</f>
        <v>43.13</v>
      </c>
      <c r="I865" t="s">
        <v>2609</v>
      </c>
      <c r="J865" s="33" t="s">
        <v>317</v>
      </c>
      <c r="K865" s="33" t="s">
        <v>2749</v>
      </c>
      <c r="L865">
        <v>1</v>
      </c>
      <c r="M865"/>
      <c r="N865" t="s">
        <v>2754</v>
      </c>
      <c r="O865" s="34" t="str">
        <f>HYPERLINK("https://b2b.kobi.pl/pl/product/10736,zasilacz-desktop-12v-90w-7-5a?currency=PLN")</f>
        <v>https://b2b.kobi.pl/pl/product/10736,zasilacz-desktop-12v-90w-7-5a?currency=PLN</v>
      </c>
      <c r="P865" t="s">
        <v>3</v>
      </c>
      <c r="Q865"/>
    </row>
    <row r="866" spans="1:17" ht="14.4" x14ac:dyDescent="0.3">
      <c r="A866" t="s">
        <v>2056</v>
      </c>
      <c r="B866" t="s">
        <v>20</v>
      </c>
      <c r="C866" t="s">
        <v>910</v>
      </c>
      <c r="D866" t="s">
        <v>655</v>
      </c>
      <c r="E866" t="s">
        <v>2572</v>
      </c>
      <c r="F866" t="s">
        <v>856</v>
      </c>
      <c r="G866" s="35">
        <v>13.73</v>
      </c>
      <c r="H866" s="36">
        <f>G866*(1-IFERROR(VLOOKUP(F866,'enter the discount'!$D$10:$E$40,2,FALSE),0))</f>
        <v>13.73</v>
      </c>
      <c r="I866" t="s">
        <v>2609</v>
      </c>
      <c r="J866" s="33" t="s">
        <v>312</v>
      </c>
      <c r="K866" s="33" t="s">
        <v>2749</v>
      </c>
      <c r="L866">
        <v>1</v>
      </c>
      <c r="M866"/>
      <c r="N866" t="s">
        <v>2754</v>
      </c>
      <c r="O866" s="34" t="str">
        <f>HYPERLINK("https://b2b.kobi.pl/pl/product/10746,zasilacz-desktop-12v-30w-2-5a?currency=PLN")</f>
        <v>https://b2b.kobi.pl/pl/product/10746,zasilacz-desktop-12v-30w-2-5a?currency=PLN</v>
      </c>
      <c r="P866" t="s">
        <v>3</v>
      </c>
      <c r="Q866"/>
    </row>
    <row r="867" spans="1:17" ht="14.4" x14ac:dyDescent="0.3">
      <c r="A867" t="s">
        <v>2056</v>
      </c>
      <c r="B867" t="s">
        <v>20</v>
      </c>
      <c r="C867" t="s">
        <v>910</v>
      </c>
      <c r="D867" t="s">
        <v>661</v>
      </c>
      <c r="E867" t="s">
        <v>2573</v>
      </c>
      <c r="F867" t="s">
        <v>856</v>
      </c>
      <c r="G867" s="35">
        <v>51.08</v>
      </c>
      <c r="H867" s="36">
        <f>G867*(1-IFERROR(VLOOKUP(F867,'enter the discount'!$D$10:$E$40,2,FALSE),0))</f>
        <v>51.08</v>
      </c>
      <c r="I867" t="s">
        <v>2609</v>
      </c>
      <c r="J867" s="33" t="s">
        <v>318</v>
      </c>
      <c r="K867" s="33" t="s">
        <v>2749</v>
      </c>
      <c r="L867">
        <v>1</v>
      </c>
      <c r="M867"/>
      <c r="N867" t="s">
        <v>2754</v>
      </c>
      <c r="O867" s="34" t="str">
        <f>HYPERLINK("https://b2b.kobi.pl/pl/product/10727,zasilacz-desktop-12v-120w-10-0a?currency=PLN")</f>
        <v>https://b2b.kobi.pl/pl/product/10727,zasilacz-desktop-12v-120w-10-0a?currency=PLN</v>
      </c>
      <c r="P867" t="s">
        <v>3</v>
      </c>
      <c r="Q867"/>
    </row>
    <row r="868" spans="1:17" ht="14.4" x14ac:dyDescent="0.3">
      <c r="A868" t="s">
        <v>2056</v>
      </c>
      <c r="B868" t="s">
        <v>20</v>
      </c>
      <c r="C868" t="s">
        <v>910</v>
      </c>
      <c r="D868" t="s">
        <v>662</v>
      </c>
      <c r="E868" t="s">
        <v>2574</v>
      </c>
      <c r="F868" t="s">
        <v>856</v>
      </c>
      <c r="G868" s="35">
        <v>14.1</v>
      </c>
      <c r="H868" s="36">
        <f>G868*(1-IFERROR(VLOOKUP(F868,'enter the discount'!$D$10:$E$40,2,FALSE),0))</f>
        <v>14.1</v>
      </c>
      <c r="I868" t="s">
        <v>2609</v>
      </c>
      <c r="J868" s="33" t="s">
        <v>342</v>
      </c>
      <c r="K868" s="33" t="s">
        <v>2749</v>
      </c>
      <c r="L868">
        <v>1</v>
      </c>
      <c r="M868"/>
      <c r="N868" t="s">
        <v>2754</v>
      </c>
      <c r="O868" s="34" t="str">
        <f>HYPERLINK("https://b2b.kobi.pl/pl/product/10751,zasilacz-hermetyczny-ip67-12v-10w-0-83a?currency=PLN")</f>
        <v>https://b2b.kobi.pl/pl/product/10751,zasilacz-hermetyczny-ip67-12v-10w-0-83a?currency=PLN</v>
      </c>
      <c r="P868" t="s">
        <v>3</v>
      </c>
      <c r="Q868"/>
    </row>
    <row r="869" spans="1:17" ht="14.4" x14ac:dyDescent="0.3">
      <c r="A869" t="s">
        <v>2056</v>
      </c>
      <c r="B869" t="s">
        <v>20</v>
      </c>
      <c r="C869" t="s">
        <v>910</v>
      </c>
      <c r="D869" t="s">
        <v>663</v>
      </c>
      <c r="E869" t="s">
        <v>2575</v>
      </c>
      <c r="F869" t="s">
        <v>856</v>
      </c>
      <c r="G869" s="35">
        <v>15.18</v>
      </c>
      <c r="H869" s="36">
        <f>G869*(1-IFERROR(VLOOKUP(F869,'enter the discount'!$D$10:$E$40,2,FALSE),0))</f>
        <v>15.18</v>
      </c>
      <c r="I869" t="s">
        <v>2609</v>
      </c>
      <c r="J869" s="33" t="s">
        <v>319</v>
      </c>
      <c r="K869" s="33" t="s">
        <v>2749</v>
      </c>
      <c r="L869">
        <v>1</v>
      </c>
      <c r="M869"/>
      <c r="N869" t="s">
        <v>2754</v>
      </c>
      <c r="O869" s="34" t="str">
        <f>HYPERLINK("https://b2b.kobi.pl/pl/product/10721,zasilacz-instalacyjn-12v-20w-1-67a-ip67?currency=PLN")</f>
        <v>https://b2b.kobi.pl/pl/product/10721,zasilacz-instalacyjn-12v-20w-1-67a-ip67?currency=PLN</v>
      </c>
      <c r="P869" t="s">
        <v>3</v>
      </c>
      <c r="Q869"/>
    </row>
    <row r="870" spans="1:17" ht="14.4" x14ac:dyDescent="0.3">
      <c r="A870" t="s">
        <v>2056</v>
      </c>
      <c r="B870" t="s">
        <v>20</v>
      </c>
      <c r="C870" t="s">
        <v>910</v>
      </c>
      <c r="D870" t="s">
        <v>664</v>
      </c>
      <c r="E870" t="s">
        <v>2576</v>
      </c>
      <c r="F870" t="s">
        <v>856</v>
      </c>
      <c r="G870" s="35">
        <v>18.55</v>
      </c>
      <c r="H870" s="36">
        <f>G870*(1-IFERROR(VLOOKUP(F870,'enter the discount'!$D$10:$E$40,2,FALSE),0))</f>
        <v>18.55</v>
      </c>
      <c r="I870" t="s">
        <v>2609</v>
      </c>
      <c r="J870" s="33" t="s">
        <v>320</v>
      </c>
      <c r="K870" s="33" t="s">
        <v>2749</v>
      </c>
      <c r="L870">
        <v>1</v>
      </c>
      <c r="M870"/>
      <c r="N870" t="s">
        <v>2754</v>
      </c>
      <c r="O870" s="34" t="str">
        <f>HYPERLINK("https://b2b.kobi.pl/pl/product/10719,zasilacz-instalacyjn-12v-30w-2-5a-ip67?currency=PLN")</f>
        <v>https://b2b.kobi.pl/pl/product/10719,zasilacz-instalacyjn-12v-30w-2-5a-ip67?currency=PLN</v>
      </c>
      <c r="P870" t="s">
        <v>3</v>
      </c>
      <c r="Q870"/>
    </row>
    <row r="871" spans="1:17" ht="14.4" x14ac:dyDescent="0.3">
      <c r="A871" t="s">
        <v>2056</v>
      </c>
      <c r="B871" t="s">
        <v>20</v>
      </c>
      <c r="C871" t="s">
        <v>910</v>
      </c>
      <c r="D871" t="s">
        <v>665</v>
      </c>
      <c r="E871" t="s">
        <v>2577</v>
      </c>
      <c r="F871" t="s">
        <v>856</v>
      </c>
      <c r="G871" s="35">
        <v>26.63</v>
      </c>
      <c r="H871" s="36">
        <f>G871*(1-IFERROR(VLOOKUP(F871,'enter the discount'!$D$10:$E$40,2,FALSE),0))</f>
        <v>26.63</v>
      </c>
      <c r="I871" t="s">
        <v>2609</v>
      </c>
      <c r="J871" s="33" t="s">
        <v>321</v>
      </c>
      <c r="K871" s="33" t="s">
        <v>2749</v>
      </c>
      <c r="L871">
        <v>1</v>
      </c>
      <c r="M871"/>
      <c r="N871" t="s">
        <v>2754</v>
      </c>
      <c r="O871" s="34" t="str">
        <f>HYPERLINK("https://b2b.kobi.pl/pl/product/10714,zasilacz-instalacyjn-12v-50w-4-16a-ip67?currency=PLN")</f>
        <v>https://b2b.kobi.pl/pl/product/10714,zasilacz-instalacyjn-12v-50w-4-16a-ip67?currency=PLN</v>
      </c>
      <c r="P871" t="s">
        <v>3</v>
      </c>
      <c r="Q871"/>
    </row>
    <row r="872" spans="1:17" ht="14.4" x14ac:dyDescent="0.3">
      <c r="A872" t="s">
        <v>2056</v>
      </c>
      <c r="B872" t="s">
        <v>20</v>
      </c>
      <c r="C872" t="s">
        <v>910</v>
      </c>
      <c r="D872" t="s">
        <v>667</v>
      </c>
      <c r="E872" t="s">
        <v>2578</v>
      </c>
      <c r="F872" t="s">
        <v>856</v>
      </c>
      <c r="G872" s="35">
        <v>44.46</v>
      </c>
      <c r="H872" s="36">
        <f>G872*(1-IFERROR(VLOOKUP(F872,'enter the discount'!$D$10:$E$40,2,FALSE),0))</f>
        <v>44.46</v>
      </c>
      <c r="I872" t="s">
        <v>2609</v>
      </c>
      <c r="J872" s="33" t="s">
        <v>322</v>
      </c>
      <c r="K872" s="33" t="s">
        <v>2749</v>
      </c>
      <c r="L872">
        <v>1</v>
      </c>
      <c r="M872"/>
      <c r="N872" t="s">
        <v>2754</v>
      </c>
      <c r="O872" s="34" t="str">
        <f>HYPERLINK("https://b2b.kobi.pl/pl/product/10715,zasilacz-instalacyjn-12v-80w-6-67a-ip67?currency=PLN")</f>
        <v>https://b2b.kobi.pl/pl/product/10715,zasilacz-instalacyjn-12v-80w-6-67a-ip67?currency=PLN</v>
      </c>
      <c r="P872" t="s">
        <v>3</v>
      </c>
      <c r="Q872"/>
    </row>
    <row r="873" spans="1:17" ht="14.4" x14ac:dyDescent="0.3">
      <c r="A873" t="s">
        <v>2056</v>
      </c>
      <c r="B873" t="s">
        <v>20</v>
      </c>
      <c r="C873" t="s">
        <v>910</v>
      </c>
      <c r="D873" t="s">
        <v>669</v>
      </c>
      <c r="E873" t="s">
        <v>2579</v>
      </c>
      <c r="F873" t="s">
        <v>856</v>
      </c>
      <c r="G873" s="35">
        <v>65.06</v>
      </c>
      <c r="H873" s="36">
        <f>G873*(1-IFERROR(VLOOKUP(F873,'enter the discount'!$D$10:$E$40,2,FALSE),0))</f>
        <v>65.06</v>
      </c>
      <c r="I873" t="s">
        <v>2609</v>
      </c>
      <c r="J873" s="33" t="s">
        <v>324</v>
      </c>
      <c r="K873" s="33" t="s">
        <v>2749</v>
      </c>
      <c r="L873">
        <v>1</v>
      </c>
      <c r="M873"/>
      <c r="N873" t="s">
        <v>2754</v>
      </c>
      <c r="O873" s="34" t="str">
        <f>HYPERLINK("https://b2b.kobi.pl/pl/product/10716,zasilacz-instalacyjn-12v-120w-10-0a-ip67?currency=PLN")</f>
        <v>https://b2b.kobi.pl/pl/product/10716,zasilacz-instalacyjn-12v-120w-10-0a-ip67?currency=PLN</v>
      </c>
      <c r="P873" t="s">
        <v>3</v>
      </c>
      <c r="Q873"/>
    </row>
    <row r="874" spans="1:17" ht="14.4" x14ac:dyDescent="0.3">
      <c r="A874" t="s">
        <v>2056</v>
      </c>
      <c r="B874" t="s">
        <v>20</v>
      </c>
      <c r="C874" t="s">
        <v>910</v>
      </c>
      <c r="D874" t="s">
        <v>340</v>
      </c>
      <c r="E874" t="s">
        <v>2580</v>
      </c>
      <c r="F874" t="s">
        <v>856</v>
      </c>
      <c r="G874" s="35">
        <v>81.45</v>
      </c>
      <c r="H874" s="36">
        <f>G874*(1-IFERROR(VLOOKUP(F874,'enter the discount'!$D$10:$E$40,2,FALSE),0))</f>
        <v>81.45</v>
      </c>
      <c r="I874" t="s">
        <v>2609</v>
      </c>
      <c r="J874" s="33" t="s">
        <v>325</v>
      </c>
      <c r="K874" s="33" t="s">
        <v>2749</v>
      </c>
      <c r="L874">
        <v>1</v>
      </c>
      <c r="M874"/>
      <c r="N874" t="s">
        <v>2754</v>
      </c>
      <c r="O874" s="34" t="str">
        <f>HYPERLINK("https://b2b.kobi.pl/pl/product/10718,zasilacz-instalacyjn-12v-150w-12-5a-ip67?currency=PLN")</f>
        <v>https://b2b.kobi.pl/pl/product/10718,zasilacz-instalacyjn-12v-150w-12-5a-ip67?currency=PLN</v>
      </c>
      <c r="P874" t="s">
        <v>3</v>
      </c>
      <c r="Q874"/>
    </row>
    <row r="875" spans="1:17" ht="14.4" x14ac:dyDescent="0.3">
      <c r="A875" t="s">
        <v>2056</v>
      </c>
      <c r="B875" t="s">
        <v>20</v>
      </c>
      <c r="C875" t="s">
        <v>910</v>
      </c>
      <c r="D875" t="s">
        <v>670</v>
      </c>
      <c r="E875" t="s">
        <v>2581</v>
      </c>
      <c r="F875" t="s">
        <v>856</v>
      </c>
      <c r="G875" s="35">
        <v>96.14</v>
      </c>
      <c r="H875" s="36">
        <f>G875*(1-IFERROR(VLOOKUP(F875,'enter the discount'!$D$10:$E$40,2,FALSE),0))</f>
        <v>96.14</v>
      </c>
      <c r="I875" t="s">
        <v>2609</v>
      </c>
      <c r="J875" s="33" t="s">
        <v>326</v>
      </c>
      <c r="K875" s="33" t="s">
        <v>2749</v>
      </c>
      <c r="L875">
        <v>1</v>
      </c>
      <c r="M875"/>
      <c r="N875" t="s">
        <v>2754</v>
      </c>
      <c r="O875" s="34" t="str">
        <f>HYPERLINK("https://b2b.kobi.pl/pl/product/9756,zasilacz-instalacyjn-12v-200w-16-7a-ip67?currency=PLN")</f>
        <v>https://b2b.kobi.pl/pl/product/9756,zasilacz-instalacyjn-12v-200w-16-7a-ip67?currency=PLN</v>
      </c>
      <c r="P875" t="s">
        <v>3</v>
      </c>
      <c r="Q875"/>
    </row>
    <row r="876" spans="1:17" ht="14.4" x14ac:dyDescent="0.3">
      <c r="A876" t="s">
        <v>2056</v>
      </c>
      <c r="B876" t="s">
        <v>20</v>
      </c>
      <c r="C876" t="s">
        <v>910</v>
      </c>
      <c r="D876" t="s">
        <v>666</v>
      </c>
      <c r="E876" t="s">
        <v>2582</v>
      </c>
      <c r="F876" t="s">
        <v>856</v>
      </c>
      <c r="G876" s="35">
        <v>33.01</v>
      </c>
      <c r="H876" s="36">
        <f>G876*(1-IFERROR(VLOOKUP(F876,'enter the discount'!$D$10:$E$40,2,FALSE),0))</f>
        <v>33.01</v>
      </c>
      <c r="I876" t="s">
        <v>2609</v>
      </c>
      <c r="J876" s="33" t="s">
        <v>343</v>
      </c>
      <c r="K876" s="33" t="s">
        <v>2749</v>
      </c>
      <c r="L876">
        <v>1</v>
      </c>
      <c r="M876"/>
      <c r="N876" t="s">
        <v>2754</v>
      </c>
      <c r="O876" s="34" t="str">
        <f>HYPERLINK("https://b2b.kobi.pl/pl/product/10752,zasilacz-instalacyjny-12v-60w-5-0a-ip67?currency=PLN")</f>
        <v>https://b2b.kobi.pl/pl/product/10752,zasilacz-instalacyjny-12v-60w-5-0a-ip67?currency=PLN</v>
      </c>
      <c r="P876" t="s">
        <v>3</v>
      </c>
      <c r="Q876"/>
    </row>
    <row r="877" spans="1:17" ht="14.4" x14ac:dyDescent="0.3">
      <c r="A877" t="s">
        <v>2056</v>
      </c>
      <c r="B877" t="s">
        <v>20</v>
      </c>
      <c r="C877" t="s">
        <v>910</v>
      </c>
      <c r="D877" t="s">
        <v>671</v>
      </c>
      <c r="E877" t="s">
        <v>2583</v>
      </c>
      <c r="F877" t="s">
        <v>856</v>
      </c>
      <c r="G877" s="35">
        <v>10.72</v>
      </c>
      <c r="H877" s="36">
        <f>G877*(1-IFERROR(VLOOKUP(F877,'enter the discount'!$D$10:$E$40,2,FALSE),0))</f>
        <v>10.72</v>
      </c>
      <c r="I877" t="s">
        <v>2609</v>
      </c>
      <c r="J877" s="33" t="s">
        <v>327</v>
      </c>
      <c r="K877" s="33" t="s">
        <v>2749</v>
      </c>
      <c r="L877">
        <v>1</v>
      </c>
      <c r="M877"/>
      <c r="N877" t="s">
        <v>2754</v>
      </c>
      <c r="O877" s="34" t="str">
        <f>HYPERLINK("https://b2b.kobi.pl/pl/product/10734,zasilacz-montazowy-12v-6w-0-5a?currency=PLN")</f>
        <v>https://b2b.kobi.pl/pl/product/10734,zasilacz-montazowy-12v-6w-0-5a?currency=PLN</v>
      </c>
      <c r="P877" t="s">
        <v>3</v>
      </c>
      <c r="Q877"/>
    </row>
    <row r="878" spans="1:17" ht="14.4" x14ac:dyDescent="0.3">
      <c r="A878" t="s">
        <v>2056</v>
      </c>
      <c r="B878" t="s">
        <v>20</v>
      </c>
      <c r="C878" t="s">
        <v>910</v>
      </c>
      <c r="D878" t="s">
        <v>672</v>
      </c>
      <c r="E878" t="s">
        <v>2584</v>
      </c>
      <c r="F878" t="s">
        <v>856</v>
      </c>
      <c r="G878" s="35">
        <v>13.01</v>
      </c>
      <c r="H878" s="36">
        <f>G878*(1-IFERROR(VLOOKUP(F878,'enter the discount'!$D$10:$E$40,2,FALSE),0))</f>
        <v>13.01</v>
      </c>
      <c r="I878" t="s">
        <v>2609</v>
      </c>
      <c r="J878" s="33" t="s">
        <v>328</v>
      </c>
      <c r="K878" s="33" t="s">
        <v>2749</v>
      </c>
      <c r="L878">
        <v>1</v>
      </c>
      <c r="M878"/>
      <c r="N878" t="s">
        <v>2754</v>
      </c>
      <c r="O878" s="34" t="str">
        <f>HYPERLINK("https://b2b.kobi.pl/pl/product/10730,zasilacz-montazowy-12v-25w-2-1a?currency=PLN")</f>
        <v>https://b2b.kobi.pl/pl/product/10730,zasilacz-montazowy-12v-25w-2-1a?currency=PLN</v>
      </c>
      <c r="P878" t="s">
        <v>3</v>
      </c>
      <c r="Q878"/>
    </row>
    <row r="879" spans="1:17" ht="14.4" x14ac:dyDescent="0.3">
      <c r="A879" t="s">
        <v>2056</v>
      </c>
      <c r="B879" t="s">
        <v>20</v>
      </c>
      <c r="C879" t="s">
        <v>910</v>
      </c>
      <c r="D879" t="s">
        <v>673</v>
      </c>
      <c r="E879" t="s">
        <v>2585</v>
      </c>
      <c r="F879" t="s">
        <v>856</v>
      </c>
      <c r="G879" s="35">
        <v>13.73</v>
      </c>
      <c r="H879" s="36">
        <f>G879*(1-IFERROR(VLOOKUP(F879,'enter the discount'!$D$10:$E$40,2,FALSE),0))</f>
        <v>13.73</v>
      </c>
      <c r="I879" t="s">
        <v>2609</v>
      </c>
      <c r="J879" s="33" t="s">
        <v>329</v>
      </c>
      <c r="K879" s="33" t="s">
        <v>2749</v>
      </c>
      <c r="L879">
        <v>1</v>
      </c>
      <c r="M879"/>
      <c r="N879" t="s">
        <v>2754</v>
      </c>
      <c r="O879" s="34" t="str">
        <f>HYPERLINK("https://b2b.kobi.pl/pl/product/10732,zasilacz-montazowy-12v-35w-2-9a?currency=PLN")</f>
        <v>https://b2b.kobi.pl/pl/product/10732,zasilacz-montazowy-12v-35w-2-9a?currency=PLN</v>
      </c>
      <c r="P879" t="s">
        <v>3</v>
      </c>
      <c r="Q879"/>
    </row>
    <row r="880" spans="1:17" ht="14.4" x14ac:dyDescent="0.3">
      <c r="A880" t="s">
        <v>2056</v>
      </c>
      <c r="B880" t="s">
        <v>20</v>
      </c>
      <c r="C880" t="s">
        <v>910</v>
      </c>
      <c r="D880" t="s">
        <v>674</v>
      </c>
      <c r="E880" t="s">
        <v>2586</v>
      </c>
      <c r="F880" t="s">
        <v>856</v>
      </c>
      <c r="G880" s="35">
        <v>16.39</v>
      </c>
      <c r="H880" s="36">
        <f>G880*(1-IFERROR(VLOOKUP(F880,'enter the discount'!$D$10:$E$40,2,FALSE),0))</f>
        <v>16.39</v>
      </c>
      <c r="I880" t="s">
        <v>2609</v>
      </c>
      <c r="J880" s="33" t="s">
        <v>330</v>
      </c>
      <c r="K880" s="33" t="s">
        <v>2749</v>
      </c>
      <c r="L880">
        <v>1</v>
      </c>
      <c r="M880"/>
      <c r="N880" t="s">
        <v>2754</v>
      </c>
      <c r="O880" s="34" t="str">
        <f>HYPERLINK("https://b2b.kobi.pl/pl/product/10733,zasilacz-montazowy-12v-60w-5-0a?currency=PLN")</f>
        <v>https://b2b.kobi.pl/pl/product/10733,zasilacz-montazowy-12v-60w-5-0a?currency=PLN</v>
      </c>
      <c r="P880" t="s">
        <v>3</v>
      </c>
      <c r="Q880"/>
    </row>
    <row r="881" spans="1:17" ht="14.4" x14ac:dyDescent="0.3">
      <c r="A881" t="s">
        <v>2056</v>
      </c>
      <c r="B881" t="s">
        <v>20</v>
      </c>
      <c r="C881" t="s">
        <v>910</v>
      </c>
      <c r="D881" t="s">
        <v>675</v>
      </c>
      <c r="E881" t="s">
        <v>2587</v>
      </c>
      <c r="F881" t="s">
        <v>856</v>
      </c>
      <c r="G881" s="35">
        <v>30.12</v>
      </c>
      <c r="H881" s="36">
        <f>G881*(1-IFERROR(VLOOKUP(F881,'enter the discount'!$D$10:$E$40,2,FALSE),0))</f>
        <v>30.12</v>
      </c>
      <c r="I881" t="s">
        <v>2609</v>
      </c>
      <c r="J881" s="33" t="s">
        <v>331</v>
      </c>
      <c r="K881" s="33" t="s">
        <v>2749</v>
      </c>
      <c r="L881">
        <v>1</v>
      </c>
      <c r="M881"/>
      <c r="N881" t="s">
        <v>2754</v>
      </c>
      <c r="O881" s="34" t="str">
        <f>HYPERLINK("https://b2b.kobi.pl/pl/product/10725,zasilacz-montazowy-12v-100w-8-3a?currency=PLN")</f>
        <v>https://b2b.kobi.pl/pl/product/10725,zasilacz-montazowy-12v-100w-8-3a?currency=PLN</v>
      </c>
      <c r="P881" t="s">
        <v>3</v>
      </c>
      <c r="Q881"/>
    </row>
    <row r="882" spans="1:17" ht="14.4" x14ac:dyDescent="0.3">
      <c r="A882" t="s">
        <v>2056</v>
      </c>
      <c r="B882" t="s">
        <v>20</v>
      </c>
      <c r="C882" t="s">
        <v>910</v>
      </c>
      <c r="D882" t="s">
        <v>676</v>
      </c>
      <c r="E882" t="s">
        <v>2588</v>
      </c>
      <c r="F882" t="s">
        <v>856</v>
      </c>
      <c r="G882" s="35">
        <v>37.35</v>
      </c>
      <c r="H882" s="36">
        <f>G882*(1-IFERROR(VLOOKUP(F882,'enter the discount'!$D$10:$E$40,2,FALSE),0))</f>
        <v>37.35</v>
      </c>
      <c r="I882" t="s">
        <v>2609</v>
      </c>
      <c r="J882" s="33" t="s">
        <v>332</v>
      </c>
      <c r="K882" s="33" t="s">
        <v>2749</v>
      </c>
      <c r="L882">
        <v>1</v>
      </c>
      <c r="M882"/>
      <c r="N882" t="s">
        <v>2754</v>
      </c>
      <c r="O882" s="34" t="str">
        <f>HYPERLINK("https://b2b.kobi.pl/pl/product/10728,zasilacz-montazowy-12v-150w-12-5a?currency=PLN")</f>
        <v>https://b2b.kobi.pl/pl/product/10728,zasilacz-montazowy-12v-150w-12-5a?currency=PLN</v>
      </c>
      <c r="P882" t="s">
        <v>3</v>
      </c>
      <c r="Q882"/>
    </row>
    <row r="883" spans="1:17" ht="14.4" x14ac:dyDescent="0.3">
      <c r="A883" t="s">
        <v>2056</v>
      </c>
      <c r="B883" t="s">
        <v>20</v>
      </c>
      <c r="C883" t="s">
        <v>910</v>
      </c>
      <c r="D883" t="s">
        <v>677</v>
      </c>
      <c r="E883" t="s">
        <v>2589</v>
      </c>
      <c r="F883" t="s">
        <v>856</v>
      </c>
      <c r="G883" s="35">
        <v>43.13</v>
      </c>
      <c r="H883" s="36">
        <f>G883*(1-IFERROR(VLOOKUP(F883,'enter the discount'!$D$10:$E$40,2,FALSE),0))</f>
        <v>43.13</v>
      </c>
      <c r="I883" t="s">
        <v>2609</v>
      </c>
      <c r="J883" s="33" t="s">
        <v>333</v>
      </c>
      <c r="K883" s="33" t="s">
        <v>2749</v>
      </c>
      <c r="L883">
        <v>1</v>
      </c>
      <c r="M883"/>
      <c r="N883" t="s">
        <v>2754</v>
      </c>
      <c r="O883" s="34" t="str">
        <f>HYPERLINK("https://b2b.kobi.pl/pl/product/10720,zasilacz-montazowy-12v-200w-16-6a?currency=PLN")</f>
        <v>https://b2b.kobi.pl/pl/product/10720,zasilacz-montazowy-12v-200w-16-6a?currency=PLN</v>
      </c>
      <c r="P883" t="s">
        <v>3</v>
      </c>
      <c r="Q883"/>
    </row>
    <row r="884" spans="1:17" ht="14.4" x14ac:dyDescent="0.3">
      <c r="A884" t="s">
        <v>2056</v>
      </c>
      <c r="B884" t="s">
        <v>20</v>
      </c>
      <c r="C884" t="s">
        <v>910</v>
      </c>
      <c r="D884" t="s">
        <v>678</v>
      </c>
      <c r="E884" t="s">
        <v>2590</v>
      </c>
      <c r="F884" t="s">
        <v>856</v>
      </c>
      <c r="G884" s="35">
        <v>50.6</v>
      </c>
      <c r="H884" s="36">
        <f>G884*(1-IFERROR(VLOOKUP(F884,'enter the discount'!$D$10:$E$40,2,FALSE),0))</f>
        <v>50.6</v>
      </c>
      <c r="I884" t="s">
        <v>2609</v>
      </c>
      <c r="J884" s="33" t="s">
        <v>334</v>
      </c>
      <c r="K884" s="33" t="s">
        <v>2749</v>
      </c>
      <c r="L884">
        <v>1</v>
      </c>
      <c r="M884"/>
      <c r="N884" t="s">
        <v>2754</v>
      </c>
      <c r="O884" s="34" t="str">
        <f>HYPERLINK("https://b2b.kobi.pl/pl/product/10729,zasilacz-montazowy-12v-250w-20-8a?currency=PLN")</f>
        <v>https://b2b.kobi.pl/pl/product/10729,zasilacz-montazowy-12v-250w-20-8a?currency=PLN</v>
      </c>
      <c r="P884" t="s">
        <v>3</v>
      </c>
      <c r="Q884"/>
    </row>
    <row r="885" spans="1:17" ht="14.4" x14ac:dyDescent="0.3">
      <c r="A885" t="s">
        <v>2056</v>
      </c>
      <c r="B885" t="s">
        <v>20</v>
      </c>
      <c r="C885" t="s">
        <v>910</v>
      </c>
      <c r="D885" t="s">
        <v>679</v>
      </c>
      <c r="E885" t="s">
        <v>2591</v>
      </c>
      <c r="F885" t="s">
        <v>856</v>
      </c>
      <c r="G885" s="35">
        <v>53.98</v>
      </c>
      <c r="H885" s="36">
        <f>G885*(1-IFERROR(VLOOKUP(F885,'enter the discount'!$D$10:$E$40,2,FALSE),0))</f>
        <v>53.98</v>
      </c>
      <c r="I885" t="s">
        <v>2609</v>
      </c>
      <c r="J885" s="33" t="s">
        <v>335</v>
      </c>
      <c r="K885" s="33" t="s">
        <v>2749</v>
      </c>
      <c r="L885">
        <v>1</v>
      </c>
      <c r="M885"/>
      <c r="N885" t="s">
        <v>2754</v>
      </c>
      <c r="O885" s="34" t="str">
        <f>HYPERLINK("https://b2b.kobi.pl/pl/product/10731,zasilacz-montazowy-12v-350w-29-0a?currency=PLN")</f>
        <v>https://b2b.kobi.pl/pl/product/10731,zasilacz-montazowy-12v-350w-29-0a?currency=PLN</v>
      </c>
      <c r="P885" t="s">
        <v>3</v>
      </c>
      <c r="Q885"/>
    </row>
    <row r="886" spans="1:17" ht="14.4" x14ac:dyDescent="0.3">
      <c r="A886" t="s">
        <v>2056</v>
      </c>
      <c r="B886" t="s">
        <v>20</v>
      </c>
      <c r="C886" t="s">
        <v>910</v>
      </c>
      <c r="D886" t="s">
        <v>668</v>
      </c>
      <c r="E886" t="s">
        <v>2592</v>
      </c>
      <c r="F886" t="s">
        <v>856</v>
      </c>
      <c r="G886" s="35">
        <v>50.84</v>
      </c>
      <c r="H886" s="36">
        <f>G886*(1-IFERROR(VLOOKUP(F886,'enter the discount'!$D$10:$E$40,2,FALSE),0))</f>
        <v>50.84</v>
      </c>
      <c r="I886" t="s">
        <v>2609</v>
      </c>
      <c r="J886" s="33" t="s">
        <v>323</v>
      </c>
      <c r="K886" s="33" t="s">
        <v>2749</v>
      </c>
      <c r="L886">
        <v>1</v>
      </c>
      <c r="M886"/>
      <c r="N886" t="s">
        <v>2754</v>
      </c>
      <c r="O886"/>
      <c r="P886" t="s">
        <v>3</v>
      </c>
      <c r="Q886"/>
    </row>
    <row r="887" spans="1:17" ht="14.4" x14ac:dyDescent="0.3">
      <c r="A887" t="s">
        <v>10</v>
      </c>
      <c r="B887" t="s">
        <v>25</v>
      </c>
      <c r="C887" t="s">
        <v>910</v>
      </c>
      <c r="D887" t="s">
        <v>2765</v>
      </c>
      <c r="E887" t="s">
        <v>2766</v>
      </c>
      <c r="F887" t="s">
        <v>833</v>
      </c>
      <c r="G887" s="35">
        <v>26.24</v>
      </c>
      <c r="H887" s="36">
        <f>G887*(1-IFERROR(VLOOKUP(F887,'enter the discount'!$D$10:$E$40,2,FALSE),0))</f>
        <v>26.24</v>
      </c>
      <c r="I887" t="s">
        <v>3</v>
      </c>
      <c r="J887" s="33" t="s">
        <v>2771</v>
      </c>
      <c r="K887" s="33" t="s">
        <v>2749</v>
      </c>
      <c r="L887"/>
      <c r="M887"/>
      <c r="N887" t="s">
        <v>2755</v>
      </c>
      <c r="O887" s="34" t="str">
        <f>HYPERLINK("https://b2b.kobi.pl/pl/product/12269,panel-led-davro-40w-60x60-4000k-kobi?currency=PLN")</f>
        <v>https://b2b.kobi.pl/pl/product/12269,panel-led-davro-40w-60x60-4000k-kobi?currency=PLN</v>
      </c>
      <c r="P887" s="34" t="str">
        <f>HYPERLINK("https://eprel.ec.europa.eu/qr/2206632")</f>
        <v>https://eprel.ec.europa.eu/qr/2206632</v>
      </c>
      <c r="Q887"/>
    </row>
    <row r="888" spans="1:17" ht="14.4" x14ac:dyDescent="0.3">
      <c r="A888" t="s">
        <v>10</v>
      </c>
      <c r="B888" t="s">
        <v>25</v>
      </c>
      <c r="C888" t="s">
        <v>1258</v>
      </c>
      <c r="D888" t="s">
        <v>2767</v>
      </c>
      <c r="E888" t="s">
        <v>2768</v>
      </c>
      <c r="F888" t="s">
        <v>833</v>
      </c>
      <c r="G888" s="35">
        <v>47.95</v>
      </c>
      <c r="H888" s="36">
        <f>G888*(1-IFERROR(VLOOKUP(F888,'enter the discount'!$D$10:$E$40,2,FALSE),0))</f>
        <v>47.95</v>
      </c>
      <c r="I888" t="s">
        <v>3</v>
      </c>
      <c r="J888" s="33" t="s">
        <v>2772</v>
      </c>
      <c r="K888" s="33" t="s">
        <v>2749</v>
      </c>
      <c r="L888"/>
      <c r="M888"/>
      <c r="N888" t="s">
        <v>2756</v>
      </c>
      <c r="O888"/>
      <c r="P888" s="34" t="str">
        <f>HYPERLINK("https://eprel.ec.europa.eu/qr/2206653")</f>
        <v>https://eprel.ec.europa.eu/qr/2206653</v>
      </c>
      <c r="Q888"/>
    </row>
    <row r="889" spans="1:17" ht="14.4" x14ac:dyDescent="0.3">
      <c r="A889" t="s">
        <v>10</v>
      </c>
      <c r="B889" t="s">
        <v>25</v>
      </c>
      <c r="C889" t="s">
        <v>1258</v>
      </c>
      <c r="D889" t="s">
        <v>2769</v>
      </c>
      <c r="E889" t="s">
        <v>2770</v>
      </c>
      <c r="F889" t="s">
        <v>833</v>
      </c>
      <c r="G889" s="35">
        <v>36.94</v>
      </c>
      <c r="H889" s="36">
        <f>G889*(1-IFERROR(VLOOKUP(F889,'enter the discount'!$D$10:$E$40,2,FALSE),0))</f>
        <v>36.94</v>
      </c>
      <c r="I889" t="s">
        <v>3</v>
      </c>
      <c r="J889" s="33" t="s">
        <v>2773</v>
      </c>
      <c r="K889" s="33" t="s">
        <v>2749</v>
      </c>
      <c r="L889"/>
      <c r="M889"/>
      <c r="N889" t="s">
        <v>2756</v>
      </c>
      <c r="O889"/>
      <c r="P889" s="34" t="str">
        <f>HYPERLINK("https://eprel.ec.europa.eu/qr/2206669")</f>
        <v>https://eprel.ec.europa.eu/qr/2206669</v>
      </c>
      <c r="Q889"/>
    </row>
    <row r="890" spans="1:17" ht="14.4" x14ac:dyDescent="0.3">
      <c r="A890"/>
      <c r="B890"/>
      <c r="C890"/>
      <c r="D890"/>
      <c r="E890"/>
      <c r="F890"/>
      <c r="G890" s="35"/>
      <c r="H890" s="36"/>
      <c r="I890"/>
      <c r="J890" s="33"/>
      <c r="K890" s="33"/>
      <c r="L890"/>
      <c r="M890"/>
      <c r="N890"/>
      <c r="O890" s="34"/>
      <c r="P890"/>
    </row>
    <row r="891" spans="1:17" ht="14.4" x14ac:dyDescent="0.3">
      <c r="A891"/>
      <c r="B891"/>
      <c r="C891"/>
      <c r="D891"/>
      <c r="E891"/>
      <c r="F891"/>
      <c r="G891" s="35"/>
      <c r="H891" s="36"/>
      <c r="I891"/>
      <c r="J891" s="33"/>
      <c r="K891" s="33"/>
      <c r="L891"/>
      <c r="M891"/>
      <c r="N891"/>
      <c r="O891" s="34"/>
      <c r="P891"/>
    </row>
    <row r="892" spans="1:17" ht="14.4" x14ac:dyDescent="0.3">
      <c r="A892"/>
      <c r="B892"/>
      <c r="C892"/>
      <c r="D892"/>
      <c r="E892"/>
      <c r="F892"/>
      <c r="G892" s="35"/>
      <c r="H892" s="36"/>
      <c r="I892"/>
      <c r="J892" s="33"/>
      <c r="K892" s="33"/>
      <c r="L892"/>
      <c r="M892"/>
      <c r="N892"/>
      <c r="O892" s="34"/>
      <c r="P892"/>
    </row>
    <row r="893" spans="1:17" ht="14.4" x14ac:dyDescent="0.3">
      <c r="A893"/>
      <c r="B893"/>
      <c r="C893"/>
      <c r="D893"/>
      <c r="E893"/>
      <c r="F893"/>
      <c r="G893" s="35"/>
      <c r="H893" s="36"/>
      <c r="I893"/>
      <c r="J893" s="33"/>
      <c r="K893" s="33"/>
      <c r="L893"/>
      <c r="M893"/>
      <c r="N893"/>
      <c r="O893" s="34"/>
      <c r="P893"/>
    </row>
    <row r="894" spans="1:17" ht="14.4" x14ac:dyDescent="0.3">
      <c r="A894"/>
      <c r="B894"/>
      <c r="C894"/>
      <c r="D894"/>
      <c r="E894"/>
      <c r="F894"/>
      <c r="G894" s="35"/>
      <c r="H894" s="36"/>
      <c r="I894"/>
      <c r="J894" s="33"/>
      <c r="K894" s="33"/>
      <c r="L894"/>
      <c r="M894"/>
      <c r="N894"/>
      <c r="O894" s="34"/>
      <c r="P894"/>
    </row>
    <row r="895" spans="1:17" ht="14.4" x14ac:dyDescent="0.3">
      <c r="A895"/>
      <c r="B895"/>
      <c r="C895"/>
      <c r="D895"/>
      <c r="E895"/>
      <c r="F895"/>
      <c r="G895" s="35"/>
      <c r="H895" s="36"/>
      <c r="I895"/>
      <c r="J895" s="33"/>
      <c r="K895" s="33"/>
      <c r="L895"/>
      <c r="M895"/>
      <c r="N895"/>
      <c r="O895" s="34"/>
      <c r="P895"/>
    </row>
    <row r="896" spans="1:17" ht="14.4" x14ac:dyDescent="0.3">
      <c r="A896"/>
      <c r="B896"/>
      <c r="C896"/>
      <c r="D896"/>
      <c r="E896"/>
      <c r="F896"/>
      <c r="G896" s="35"/>
      <c r="H896" s="36"/>
      <c r="I896"/>
      <c r="J896" s="33"/>
      <c r="K896" s="33"/>
      <c r="L896"/>
      <c r="M896"/>
      <c r="N896"/>
      <c r="O896" s="34"/>
      <c r="P896"/>
    </row>
    <row r="897" spans="1:16" ht="14.4" x14ac:dyDescent="0.3">
      <c r="A897"/>
      <c r="B897"/>
      <c r="C897"/>
      <c r="D897"/>
      <c r="E897"/>
      <c r="F897"/>
      <c r="G897" s="35"/>
      <c r="H897" s="36"/>
      <c r="I897"/>
      <c r="J897" s="33"/>
      <c r="K897" s="33"/>
      <c r="L897"/>
      <c r="M897"/>
      <c r="N897"/>
      <c r="O897"/>
      <c r="P897"/>
    </row>
    <row r="898" spans="1:16" ht="14.4" x14ac:dyDescent="0.3">
      <c r="A898"/>
      <c r="B898"/>
      <c r="C898"/>
      <c r="D898"/>
      <c r="E898"/>
      <c r="F898"/>
      <c r="G898"/>
      <c r="H898" s="29"/>
      <c r="I898"/>
      <c r="J898" s="33"/>
      <c r="K898" s="33"/>
      <c r="L898"/>
      <c r="M898"/>
      <c r="N898"/>
      <c r="O898"/>
      <c r="P898"/>
    </row>
    <row r="899" spans="1:16" ht="14.4" x14ac:dyDescent="0.3">
      <c r="A899" s="27"/>
      <c r="B899" s="27"/>
      <c r="C899" s="27"/>
      <c r="D899" s="27"/>
      <c r="E899" s="27"/>
      <c r="F899" s="27"/>
      <c r="G899" s="29"/>
      <c r="H899" s="29"/>
      <c r="I899" s="27"/>
      <c r="J899" s="27"/>
      <c r="K899" s="27"/>
      <c r="L899" s="27"/>
      <c r="M899" s="27"/>
      <c r="N899" s="27"/>
      <c r="O899" s="27"/>
      <c r="P899" s="27"/>
    </row>
    <row r="900" spans="1:16" ht="14.4" x14ac:dyDescent="0.3">
      <c r="A900" s="27"/>
      <c r="B900" s="27"/>
      <c r="C900" s="27"/>
      <c r="D900" s="27"/>
      <c r="E900" s="27"/>
      <c r="F900" s="27"/>
      <c r="G900" s="29"/>
      <c r="H900" s="29"/>
      <c r="I900" s="27"/>
      <c r="J900" s="27"/>
      <c r="K900" s="27"/>
      <c r="L900" s="27"/>
      <c r="M900" s="27"/>
      <c r="N900" s="27"/>
      <c r="O900" s="27"/>
      <c r="P900" s="27"/>
    </row>
    <row r="901" spans="1:16" ht="14.4" x14ac:dyDescent="0.3">
      <c r="A901" s="27"/>
      <c r="B901" s="27"/>
      <c r="C901" s="27"/>
      <c r="D901" s="27"/>
      <c r="E901" s="27"/>
      <c r="F901" s="27"/>
      <c r="G901" s="29"/>
      <c r="H901" s="29"/>
      <c r="I901" s="27"/>
      <c r="J901" s="27"/>
      <c r="K901" s="27"/>
      <c r="L901" s="27"/>
      <c r="M901" s="27"/>
      <c r="N901" s="27"/>
      <c r="O901" s="27"/>
      <c r="P901" s="27"/>
    </row>
    <row r="902" spans="1:16" ht="14.4" x14ac:dyDescent="0.3">
      <c r="A902" s="27"/>
      <c r="B902" s="27"/>
      <c r="C902" s="27"/>
      <c r="D902" s="27"/>
      <c r="E902" s="27"/>
      <c r="F902" s="27"/>
      <c r="G902" s="29"/>
      <c r="H902" s="29"/>
      <c r="I902" s="27"/>
      <c r="J902" s="27"/>
      <c r="K902" s="27"/>
      <c r="L902" s="27"/>
      <c r="M902" s="27"/>
      <c r="N902" s="27"/>
      <c r="O902" s="27"/>
      <c r="P902" s="27"/>
    </row>
    <row r="903" spans="1:16" ht="14.4" x14ac:dyDescent="0.3">
      <c r="A903" s="27"/>
      <c r="B903" s="27"/>
      <c r="C903" s="27"/>
      <c r="D903" s="27"/>
      <c r="E903" s="27"/>
      <c r="F903" s="27"/>
      <c r="G903" s="29"/>
      <c r="H903" s="29"/>
      <c r="I903" s="27"/>
      <c r="J903" s="27"/>
      <c r="K903" s="27"/>
      <c r="L903" s="27"/>
      <c r="M903" s="27"/>
      <c r="N903" s="27"/>
      <c r="O903" s="27"/>
      <c r="P903" s="27"/>
    </row>
    <row r="904" spans="1:16" ht="14.4" x14ac:dyDescent="0.3">
      <c r="A904" s="27"/>
      <c r="B904" s="27"/>
      <c r="C904" s="27"/>
      <c r="D904" s="27"/>
      <c r="E904" s="27"/>
      <c r="F904" s="27"/>
      <c r="G904" s="29"/>
      <c r="H904" s="29"/>
      <c r="I904" s="27"/>
      <c r="J904" s="27"/>
      <c r="K904" s="27"/>
      <c r="L904" s="27"/>
      <c r="M904" s="27"/>
      <c r="N904" s="27"/>
      <c r="O904" s="27"/>
      <c r="P904" s="27"/>
    </row>
    <row r="905" spans="1:16" ht="14.4" x14ac:dyDescent="0.3">
      <c r="A905" s="28"/>
      <c r="B905" s="28"/>
      <c r="C905" s="28"/>
      <c r="D905" s="28"/>
      <c r="E905" s="28"/>
      <c r="F905" s="28"/>
      <c r="G905" s="30"/>
      <c r="H905" s="30"/>
      <c r="I905" s="28"/>
      <c r="J905" s="28"/>
      <c r="K905" s="28"/>
      <c r="L905" s="28"/>
      <c r="M905" s="28"/>
      <c r="N905" s="28"/>
      <c r="O905" s="28"/>
      <c r="P905" s="28"/>
    </row>
    <row r="906" spans="1:16" ht="14.4" x14ac:dyDescent="0.3">
      <c r="A906" s="28"/>
      <c r="B906" s="28"/>
      <c r="C906" s="28"/>
      <c r="D906" s="28"/>
      <c r="E906" s="28"/>
      <c r="F906" s="28"/>
      <c r="G906" s="30"/>
      <c r="H906" s="30"/>
      <c r="I906" s="28"/>
      <c r="J906" s="28"/>
      <c r="K906" s="28"/>
      <c r="L906" s="28"/>
      <c r="M906" s="28"/>
      <c r="N906" s="28"/>
      <c r="O906" s="31"/>
      <c r="P906" s="31"/>
    </row>
    <row r="907" spans="1:16" x14ac:dyDescent="0.3">
      <c r="A907" s="25"/>
      <c r="B907" s="25"/>
      <c r="C907" s="25"/>
      <c r="D907" s="26"/>
      <c r="E907" s="26"/>
      <c r="F907" s="26"/>
      <c r="G907" s="26"/>
      <c r="H907" s="26"/>
      <c r="I907" s="25"/>
      <c r="J907" s="25"/>
      <c r="K907" s="25"/>
      <c r="L907" s="25"/>
      <c r="M907" s="25"/>
      <c r="N907" s="25"/>
      <c r="O907" s="25"/>
      <c r="P907" s="25"/>
    </row>
    <row r="908" spans="1:16" x14ac:dyDescent="0.3">
      <c r="A908" s="25"/>
      <c r="B908" s="25"/>
      <c r="C908" s="25"/>
      <c r="D908" s="26"/>
      <c r="E908" s="26"/>
      <c r="F908" s="26"/>
      <c r="G908" s="26"/>
      <c r="H908" s="26"/>
      <c r="I908" s="25"/>
      <c r="J908" s="25"/>
      <c r="K908" s="25"/>
      <c r="L908" s="25"/>
      <c r="M908" s="25"/>
      <c r="N908" s="25"/>
      <c r="O908" s="25"/>
      <c r="P908" s="25"/>
    </row>
    <row r="909" spans="1:16" x14ac:dyDescent="0.3">
      <c r="A909" s="25"/>
      <c r="B909" s="25"/>
      <c r="C909" s="25"/>
      <c r="D909" s="26"/>
      <c r="E909" s="26"/>
      <c r="F909" s="26"/>
      <c r="G909" s="26"/>
      <c r="H909" s="26"/>
      <c r="I909" s="25"/>
      <c r="J909" s="25"/>
      <c r="K909" s="25"/>
      <c r="L909" s="25"/>
      <c r="M909" s="25"/>
      <c r="N909" s="25"/>
      <c r="O909" s="25"/>
      <c r="P909" s="25"/>
    </row>
    <row r="910" spans="1:16" x14ac:dyDescent="0.3">
      <c r="A910" s="25"/>
      <c r="B910" s="25"/>
      <c r="C910" s="25"/>
      <c r="D910" s="26"/>
      <c r="E910" s="26"/>
      <c r="F910" s="26"/>
      <c r="G910" s="26"/>
      <c r="H910" s="26"/>
      <c r="I910" s="25"/>
      <c r="J910" s="25"/>
      <c r="K910" s="25"/>
      <c r="L910" s="25"/>
      <c r="M910" s="25"/>
      <c r="N910" s="25"/>
      <c r="O910" s="25"/>
      <c r="P910" s="25"/>
    </row>
    <row r="911" spans="1:16" x14ac:dyDescent="0.3">
      <c r="A911" s="25"/>
      <c r="B911" s="25"/>
      <c r="C911" s="25"/>
      <c r="D911" s="26"/>
      <c r="E911" s="26"/>
      <c r="F911" s="26"/>
      <c r="G911" s="26"/>
      <c r="H911" s="26"/>
      <c r="I911" s="25"/>
      <c r="J911" s="25"/>
      <c r="K911" s="25"/>
      <c r="L911" s="25"/>
      <c r="M911" s="25"/>
      <c r="N911" s="25"/>
      <c r="O911" s="25"/>
      <c r="P911" s="25"/>
    </row>
    <row r="912" spans="1:16" x14ac:dyDescent="0.3">
      <c r="A912" s="25"/>
      <c r="B912" s="25"/>
      <c r="C912" s="25"/>
      <c r="D912" s="26"/>
      <c r="E912" s="26"/>
      <c r="F912" s="26"/>
      <c r="G912" s="26"/>
      <c r="H912" s="26"/>
      <c r="I912" s="25"/>
      <c r="J912" s="25"/>
      <c r="K912" s="25"/>
      <c r="L912" s="25"/>
      <c r="M912" s="25"/>
      <c r="N912" s="25"/>
      <c r="O912" s="25"/>
      <c r="P912" s="25"/>
    </row>
    <row r="913" spans="1:16" x14ac:dyDescent="0.3">
      <c r="A913" s="25"/>
      <c r="B913" s="25"/>
      <c r="C913" s="25"/>
      <c r="D913" s="26"/>
      <c r="E913" s="26"/>
      <c r="F913" s="26"/>
      <c r="G913" s="26"/>
      <c r="H913" s="26"/>
      <c r="I913" s="25"/>
      <c r="J913" s="25"/>
      <c r="K913" s="25"/>
      <c r="L913" s="25"/>
      <c r="M913" s="25"/>
      <c r="N913" s="25"/>
      <c r="O913" s="25"/>
      <c r="P913" s="25"/>
    </row>
    <row r="914" spans="1:16" x14ac:dyDescent="0.3">
      <c r="A914" s="25"/>
      <c r="B914" s="25"/>
      <c r="C914" s="25"/>
      <c r="D914" s="26"/>
      <c r="E914" s="26"/>
      <c r="F914" s="26"/>
      <c r="G914" s="26"/>
      <c r="H914" s="26"/>
      <c r="I914" s="25"/>
      <c r="J914" s="25"/>
      <c r="K914" s="25"/>
      <c r="L914" s="25"/>
      <c r="M914" s="25"/>
      <c r="N914" s="25"/>
      <c r="O914" s="25"/>
      <c r="P914" s="25"/>
    </row>
    <row r="915" spans="1:16" x14ac:dyDescent="0.3">
      <c r="A915" s="25"/>
      <c r="B915" s="25"/>
      <c r="C915" s="25"/>
      <c r="D915" s="26"/>
      <c r="E915" s="26"/>
      <c r="F915" s="26"/>
      <c r="G915" s="26"/>
      <c r="H915" s="26"/>
      <c r="I915" s="25"/>
      <c r="J915" s="25"/>
      <c r="K915" s="25"/>
      <c r="L915" s="25"/>
      <c r="M915" s="25"/>
      <c r="N915" s="25"/>
      <c r="O915" s="25"/>
      <c r="P915" s="25"/>
    </row>
    <row r="916" spans="1:16" x14ac:dyDescent="0.3">
      <c r="A916" s="25"/>
      <c r="B916" s="25"/>
      <c r="C916" s="25"/>
      <c r="D916" s="26"/>
      <c r="E916" s="26"/>
      <c r="F916" s="26"/>
      <c r="G916" s="26"/>
      <c r="H916" s="26"/>
      <c r="I916" s="25"/>
      <c r="J916" s="25"/>
      <c r="K916" s="25"/>
      <c r="L916" s="25"/>
      <c r="M916" s="25"/>
      <c r="N916" s="25"/>
      <c r="O916" s="25"/>
      <c r="P916" s="25"/>
    </row>
    <row r="917" spans="1:16" x14ac:dyDescent="0.3">
      <c r="A917" s="25"/>
      <c r="B917" s="25"/>
      <c r="C917" s="25"/>
      <c r="D917" s="26"/>
      <c r="E917" s="26"/>
      <c r="F917" s="26"/>
      <c r="G917" s="26"/>
      <c r="H917" s="26"/>
      <c r="I917" s="25"/>
      <c r="J917" s="25"/>
      <c r="K917" s="25"/>
      <c r="L917" s="25"/>
      <c r="M917" s="25"/>
      <c r="N917" s="25"/>
      <c r="O917" s="25"/>
      <c r="P917" s="25"/>
    </row>
    <row r="918" spans="1:16" x14ac:dyDescent="0.3">
      <c r="A918" s="25"/>
      <c r="B918" s="25"/>
      <c r="C918" s="25"/>
      <c r="D918" s="26"/>
      <c r="E918" s="26"/>
      <c r="F918" s="26"/>
      <c r="G918" s="26"/>
      <c r="H918" s="26"/>
      <c r="I918" s="25"/>
      <c r="J918" s="25"/>
      <c r="K918" s="25"/>
      <c r="L918" s="25"/>
      <c r="M918" s="25"/>
      <c r="N918" s="25"/>
      <c r="O918" s="25"/>
      <c r="P918" s="25"/>
    </row>
    <row r="919" spans="1:16" x14ac:dyDescent="0.3">
      <c r="A919" s="25"/>
      <c r="B919" s="25"/>
      <c r="C919" s="25"/>
      <c r="D919" s="26"/>
      <c r="E919" s="26"/>
      <c r="F919" s="26"/>
      <c r="G919" s="26"/>
      <c r="H919" s="26"/>
      <c r="I919" s="25"/>
      <c r="J919" s="25"/>
      <c r="K919" s="25"/>
      <c r="L919" s="25"/>
      <c r="M919" s="25"/>
      <c r="N919" s="25"/>
      <c r="O919" s="25"/>
      <c r="P919" s="25"/>
    </row>
    <row r="920" spans="1:16" x14ac:dyDescent="0.3">
      <c r="A920" s="25"/>
      <c r="B920" s="25"/>
      <c r="C920" s="25"/>
      <c r="D920" s="26"/>
      <c r="E920" s="26"/>
      <c r="F920" s="26"/>
      <c r="G920" s="26"/>
      <c r="H920" s="26"/>
      <c r="I920" s="25"/>
      <c r="J920" s="25"/>
      <c r="K920" s="25"/>
      <c r="L920" s="25"/>
      <c r="M920" s="25"/>
      <c r="N920" s="25"/>
      <c r="O920" s="25"/>
      <c r="P920" s="25"/>
    </row>
    <row r="921" spans="1:16" x14ac:dyDescent="0.3">
      <c r="A921" s="25"/>
      <c r="B921" s="25"/>
      <c r="C921" s="25"/>
      <c r="D921" s="26"/>
      <c r="E921" s="26"/>
      <c r="F921" s="26"/>
      <c r="G921" s="26"/>
      <c r="H921" s="26"/>
      <c r="I921" s="25"/>
      <c r="J921" s="25"/>
      <c r="K921" s="25"/>
      <c r="L921" s="25"/>
      <c r="M921" s="25"/>
      <c r="N921" s="25"/>
      <c r="O921" s="25"/>
      <c r="P921" s="25"/>
    </row>
    <row r="922" spans="1:16" x14ac:dyDescent="0.3">
      <c r="A922" s="25"/>
      <c r="B922" s="25"/>
      <c r="C922" s="25"/>
      <c r="D922" s="26"/>
      <c r="E922" s="26"/>
      <c r="F922" s="26"/>
      <c r="G922" s="26"/>
      <c r="H922" s="26"/>
      <c r="I922" s="25"/>
      <c r="J922" s="25"/>
      <c r="K922" s="25"/>
      <c r="L922" s="25"/>
      <c r="M922" s="25"/>
      <c r="N922" s="25"/>
      <c r="O922" s="25"/>
      <c r="P922" s="25"/>
    </row>
    <row r="923" spans="1:16" x14ac:dyDescent="0.3">
      <c r="A923" s="25"/>
      <c r="B923" s="25"/>
      <c r="C923" s="25"/>
      <c r="D923" s="26"/>
      <c r="E923" s="26"/>
      <c r="F923" s="26"/>
      <c r="G923" s="26"/>
      <c r="H923" s="26"/>
      <c r="I923" s="25"/>
      <c r="J923" s="25"/>
      <c r="K923" s="25"/>
      <c r="L923" s="25"/>
      <c r="M923" s="25"/>
      <c r="N923" s="25"/>
      <c r="O923" s="25"/>
      <c r="P923" s="25"/>
    </row>
    <row r="924" spans="1:16" x14ac:dyDescent="0.3">
      <c r="A924" s="25"/>
      <c r="B924" s="25"/>
      <c r="C924" s="25"/>
      <c r="D924" s="26"/>
      <c r="E924" s="26"/>
      <c r="F924" s="26"/>
      <c r="G924" s="26"/>
      <c r="H924" s="26"/>
      <c r="I924" s="25"/>
      <c r="J924" s="25"/>
      <c r="K924" s="25"/>
      <c r="L924" s="25"/>
      <c r="M924" s="25"/>
      <c r="N924" s="25"/>
      <c r="O924" s="25"/>
      <c r="P924" s="25"/>
    </row>
    <row r="925" spans="1:16" x14ac:dyDescent="0.3">
      <c r="A925" s="25"/>
      <c r="B925" s="25"/>
      <c r="C925" s="25"/>
      <c r="D925" s="26"/>
      <c r="E925" s="26"/>
      <c r="F925" s="26"/>
      <c r="G925" s="26"/>
      <c r="H925" s="26"/>
      <c r="I925" s="25"/>
      <c r="J925" s="25"/>
      <c r="K925" s="25"/>
      <c r="L925" s="25"/>
      <c r="M925" s="25"/>
      <c r="N925" s="25"/>
      <c r="O925" s="25"/>
      <c r="P925" s="25"/>
    </row>
    <row r="926" spans="1:16" x14ac:dyDescent="0.3">
      <c r="A926" s="25"/>
      <c r="B926" s="25"/>
      <c r="C926" s="25"/>
      <c r="D926" s="26"/>
      <c r="E926" s="26"/>
      <c r="F926" s="26"/>
      <c r="G926" s="26"/>
      <c r="H926" s="26"/>
      <c r="I926" s="25"/>
      <c r="J926" s="25"/>
      <c r="K926" s="25"/>
      <c r="L926" s="25"/>
      <c r="M926" s="25"/>
      <c r="N926" s="25"/>
      <c r="O926" s="25"/>
      <c r="P926" s="25"/>
    </row>
    <row r="927" spans="1:16" x14ac:dyDescent="0.3">
      <c r="A927" s="25"/>
      <c r="B927" s="25"/>
      <c r="C927" s="25"/>
      <c r="D927" s="26"/>
      <c r="E927" s="26"/>
      <c r="F927" s="26"/>
      <c r="G927" s="26"/>
      <c r="H927" s="26"/>
      <c r="I927" s="25"/>
      <c r="J927" s="25"/>
      <c r="K927" s="25"/>
      <c r="L927" s="25"/>
      <c r="M927" s="25"/>
      <c r="N927" s="25"/>
      <c r="O927" s="25"/>
      <c r="P927" s="25"/>
    </row>
    <row r="928" spans="1:16" x14ac:dyDescent="0.3">
      <c r="A928" s="25"/>
      <c r="B928" s="25"/>
      <c r="C928" s="25"/>
      <c r="D928" s="26"/>
      <c r="E928" s="26"/>
      <c r="F928" s="26"/>
      <c r="G928" s="26"/>
      <c r="H928" s="26"/>
      <c r="I928" s="25"/>
      <c r="J928" s="25"/>
      <c r="K928" s="25"/>
      <c r="L928" s="25"/>
      <c r="M928" s="25"/>
      <c r="N928" s="25"/>
      <c r="O928" s="25"/>
      <c r="P928" s="25"/>
    </row>
    <row r="929" spans="1:16" x14ac:dyDescent="0.3">
      <c r="A929" s="25"/>
      <c r="B929" s="25"/>
      <c r="C929" s="25"/>
      <c r="D929" s="26"/>
      <c r="E929" s="26"/>
      <c r="F929" s="26"/>
      <c r="G929" s="26"/>
      <c r="H929" s="26"/>
      <c r="I929" s="25"/>
      <c r="J929" s="25"/>
      <c r="K929" s="25"/>
      <c r="L929" s="25"/>
      <c r="M929" s="25"/>
      <c r="N929" s="25"/>
      <c r="O929" s="25"/>
      <c r="P929" s="25"/>
    </row>
    <row r="930" spans="1:16" x14ac:dyDescent="0.3">
      <c r="A930" s="25"/>
      <c r="B930" s="25"/>
      <c r="C930" s="25"/>
      <c r="D930" s="26"/>
      <c r="E930" s="26"/>
      <c r="F930" s="26"/>
      <c r="G930" s="26"/>
      <c r="H930" s="26"/>
      <c r="I930" s="25"/>
      <c r="J930" s="25"/>
      <c r="K930" s="25"/>
      <c r="L930" s="25"/>
      <c r="M930" s="25"/>
      <c r="N930" s="25"/>
      <c r="O930" s="25"/>
      <c r="P930" s="25"/>
    </row>
    <row r="931" spans="1:16" x14ac:dyDescent="0.3">
      <c r="A931" s="25"/>
      <c r="B931" s="25"/>
      <c r="C931" s="25"/>
      <c r="D931" s="26"/>
      <c r="E931" s="26"/>
      <c r="F931" s="26"/>
      <c r="G931" s="26"/>
      <c r="H931" s="26"/>
      <c r="I931" s="25"/>
      <c r="J931" s="25"/>
      <c r="K931" s="25"/>
      <c r="L931" s="25"/>
      <c r="M931" s="25"/>
      <c r="N931" s="25"/>
      <c r="O931" s="25"/>
      <c r="P931" s="25"/>
    </row>
    <row r="932" spans="1:16" x14ac:dyDescent="0.3">
      <c r="A932" s="25"/>
      <c r="B932" s="25"/>
      <c r="C932" s="25"/>
      <c r="D932" s="26"/>
      <c r="E932" s="26"/>
      <c r="F932" s="26"/>
      <c r="G932" s="26"/>
      <c r="H932" s="26"/>
      <c r="I932" s="25"/>
      <c r="J932" s="25"/>
      <c r="K932" s="25"/>
      <c r="L932" s="25"/>
      <c r="M932" s="25"/>
      <c r="N932" s="25"/>
      <c r="O932" s="25"/>
      <c r="P932" s="25"/>
    </row>
    <row r="933" spans="1:16" x14ac:dyDescent="0.3">
      <c r="A933" s="25"/>
      <c r="B933" s="25"/>
      <c r="C933" s="25"/>
      <c r="D933" s="26"/>
      <c r="E933" s="26"/>
      <c r="F933" s="26"/>
      <c r="G933" s="26"/>
      <c r="H933" s="26"/>
      <c r="I933" s="25"/>
      <c r="J933" s="25"/>
      <c r="K933" s="25"/>
      <c r="L933" s="25"/>
      <c r="M933" s="25"/>
      <c r="N933" s="25"/>
      <c r="O933" s="25"/>
      <c r="P933" s="25"/>
    </row>
    <row r="934" spans="1:16" x14ac:dyDescent="0.3">
      <c r="A934" s="25"/>
      <c r="B934" s="25"/>
      <c r="C934" s="25"/>
      <c r="D934" s="26"/>
      <c r="E934" s="26"/>
      <c r="F934" s="26"/>
      <c r="G934" s="26"/>
      <c r="H934" s="26"/>
      <c r="I934" s="25"/>
      <c r="J934" s="25"/>
      <c r="K934" s="25"/>
      <c r="L934" s="25"/>
      <c r="M934" s="25"/>
      <c r="N934" s="25"/>
      <c r="O934" s="25"/>
      <c r="P934" s="25"/>
    </row>
    <row r="935" spans="1:16" x14ac:dyDescent="0.3">
      <c r="A935" s="25"/>
      <c r="B935" s="25"/>
      <c r="C935" s="25"/>
      <c r="D935" s="26"/>
      <c r="E935" s="26"/>
      <c r="F935" s="26"/>
      <c r="G935" s="26"/>
      <c r="H935" s="26"/>
      <c r="I935" s="25"/>
      <c r="J935" s="25"/>
      <c r="K935" s="25"/>
      <c r="L935" s="25"/>
      <c r="M935" s="25"/>
      <c r="N935" s="25"/>
      <c r="O935" s="25"/>
      <c r="P935" s="25"/>
    </row>
    <row r="936" spans="1:16" x14ac:dyDescent="0.3">
      <c r="A936" s="25"/>
      <c r="B936" s="25"/>
      <c r="C936" s="25"/>
      <c r="D936" s="26"/>
      <c r="E936" s="26"/>
      <c r="F936" s="26"/>
      <c r="G936" s="26"/>
      <c r="H936" s="26"/>
      <c r="I936" s="25"/>
      <c r="J936" s="25"/>
      <c r="K936" s="25"/>
      <c r="L936" s="25"/>
      <c r="M936" s="25"/>
      <c r="N936" s="25"/>
      <c r="O936" s="25"/>
      <c r="P936" s="25"/>
    </row>
    <row r="937" spans="1:16" x14ac:dyDescent="0.3">
      <c r="A937" s="25"/>
      <c r="B937" s="25"/>
      <c r="C937" s="25"/>
      <c r="D937" s="26"/>
      <c r="E937" s="26"/>
      <c r="F937" s="26"/>
      <c r="G937" s="26"/>
      <c r="H937" s="26"/>
      <c r="I937" s="25"/>
      <c r="J937" s="25"/>
      <c r="K937" s="25"/>
      <c r="L937" s="25"/>
      <c r="M937" s="25"/>
      <c r="N937" s="25"/>
      <c r="O937" s="25"/>
      <c r="P937" s="25"/>
    </row>
    <row r="938" spans="1:16" x14ac:dyDescent="0.3">
      <c r="A938" s="25"/>
      <c r="B938" s="25"/>
      <c r="C938" s="25"/>
      <c r="D938" s="26"/>
      <c r="E938" s="26"/>
      <c r="F938" s="26"/>
      <c r="G938" s="26"/>
      <c r="H938" s="26"/>
      <c r="I938" s="25"/>
      <c r="J938" s="25"/>
      <c r="K938" s="25"/>
      <c r="L938" s="25"/>
      <c r="M938" s="25"/>
      <c r="N938" s="25"/>
      <c r="O938" s="25"/>
      <c r="P938" s="25"/>
    </row>
    <row r="939" spans="1:16" x14ac:dyDescent="0.3">
      <c r="A939" s="25"/>
      <c r="B939" s="25"/>
      <c r="C939" s="25"/>
      <c r="D939" s="26"/>
      <c r="E939" s="26"/>
      <c r="F939" s="26"/>
      <c r="G939" s="26"/>
      <c r="H939" s="26"/>
      <c r="I939" s="25"/>
      <c r="J939" s="25"/>
      <c r="K939" s="25"/>
      <c r="L939" s="25"/>
      <c r="M939" s="25"/>
      <c r="N939" s="25"/>
      <c r="O939" s="25"/>
      <c r="P939" s="25"/>
    </row>
    <row r="940" spans="1:16" x14ac:dyDescent="0.3">
      <c r="A940" s="25"/>
      <c r="B940" s="25"/>
      <c r="C940" s="25"/>
      <c r="D940" s="26"/>
      <c r="E940" s="26"/>
      <c r="F940" s="26"/>
      <c r="G940" s="26"/>
      <c r="H940" s="26"/>
      <c r="I940" s="25"/>
      <c r="J940" s="25"/>
      <c r="K940" s="25"/>
      <c r="L940" s="25"/>
      <c r="M940" s="25"/>
      <c r="N940" s="25"/>
      <c r="O940" s="25"/>
      <c r="P940" s="25"/>
    </row>
    <row r="941" spans="1:16" x14ac:dyDescent="0.3">
      <c r="A941" s="25"/>
      <c r="B941" s="25"/>
      <c r="C941" s="25"/>
      <c r="D941" s="26"/>
      <c r="E941" s="26"/>
      <c r="F941" s="26"/>
      <c r="G941" s="26"/>
      <c r="H941" s="26"/>
      <c r="I941" s="25"/>
      <c r="J941" s="25"/>
      <c r="K941" s="25"/>
      <c r="L941" s="25"/>
      <c r="M941" s="25"/>
      <c r="N941" s="25"/>
      <c r="O941" s="25"/>
      <c r="P941" s="25"/>
    </row>
    <row r="942" spans="1:16" x14ac:dyDescent="0.3">
      <c r="A942" s="25"/>
      <c r="B942" s="25"/>
      <c r="C942" s="25"/>
      <c r="D942" s="26"/>
      <c r="E942" s="26"/>
      <c r="F942" s="26"/>
      <c r="G942" s="26"/>
      <c r="H942" s="26"/>
      <c r="I942" s="25"/>
      <c r="J942" s="25"/>
      <c r="K942" s="25"/>
      <c r="L942" s="25"/>
      <c r="M942" s="25"/>
      <c r="N942" s="25"/>
      <c r="O942" s="25"/>
      <c r="P942" s="25"/>
    </row>
    <row r="943" spans="1:16" x14ac:dyDescent="0.3">
      <c r="A943" s="25"/>
      <c r="B943" s="25"/>
      <c r="C943" s="25"/>
      <c r="D943" s="26"/>
      <c r="E943" s="26"/>
      <c r="F943" s="26"/>
      <c r="G943" s="26"/>
      <c r="H943" s="26"/>
      <c r="I943" s="25"/>
      <c r="J943" s="25"/>
      <c r="K943" s="25"/>
      <c r="L943" s="25"/>
      <c r="M943" s="25"/>
      <c r="N943" s="25"/>
      <c r="O943" s="25"/>
      <c r="P943" s="25"/>
    </row>
    <row r="944" spans="1:16" x14ac:dyDescent="0.3">
      <c r="A944" s="25"/>
      <c r="B944" s="25"/>
      <c r="C944" s="25"/>
      <c r="D944" s="26"/>
      <c r="E944" s="26"/>
      <c r="F944" s="26"/>
      <c r="G944" s="26"/>
      <c r="H944" s="26"/>
      <c r="I944" s="25"/>
      <c r="J944" s="25"/>
      <c r="K944" s="25"/>
      <c r="L944" s="25"/>
      <c r="M944" s="25"/>
      <c r="N944" s="25"/>
      <c r="O944" s="25"/>
      <c r="P944" s="25"/>
    </row>
    <row r="945" spans="1:16" x14ac:dyDescent="0.3">
      <c r="A945" s="25"/>
      <c r="B945" s="25"/>
      <c r="C945" s="25"/>
      <c r="D945" s="26"/>
      <c r="E945" s="26"/>
      <c r="F945" s="26"/>
      <c r="G945" s="26"/>
      <c r="H945" s="26"/>
      <c r="I945" s="25"/>
      <c r="J945" s="25"/>
      <c r="K945" s="25"/>
      <c r="L945" s="25"/>
      <c r="M945" s="25"/>
      <c r="N945" s="25"/>
      <c r="O945" s="25"/>
      <c r="P945" s="25"/>
    </row>
    <row r="946" spans="1:16" x14ac:dyDescent="0.3">
      <c r="A946" s="25"/>
      <c r="B946" s="25"/>
      <c r="C946" s="25"/>
      <c r="D946" s="26"/>
      <c r="E946" s="26"/>
      <c r="F946" s="26"/>
      <c r="G946" s="26"/>
      <c r="H946" s="26"/>
      <c r="I946" s="25"/>
      <c r="J946" s="25"/>
      <c r="K946" s="25"/>
      <c r="L946" s="25"/>
      <c r="M946" s="25"/>
      <c r="N946" s="25"/>
      <c r="O946" s="25"/>
      <c r="P946" s="25"/>
    </row>
    <row r="947" spans="1:16" x14ac:dyDescent="0.3">
      <c r="A947" s="25"/>
      <c r="B947" s="25"/>
      <c r="C947" s="25"/>
      <c r="D947" s="26"/>
      <c r="E947" s="26"/>
      <c r="F947" s="26"/>
      <c r="G947" s="26"/>
      <c r="H947" s="26"/>
      <c r="I947" s="25"/>
      <c r="J947" s="25"/>
      <c r="K947" s="25"/>
      <c r="L947" s="25"/>
      <c r="M947" s="25"/>
      <c r="N947" s="25"/>
      <c r="O947" s="25"/>
      <c r="P947" s="25"/>
    </row>
    <row r="948" spans="1:16" x14ac:dyDescent="0.3">
      <c r="A948" s="25"/>
      <c r="B948" s="25"/>
      <c r="C948" s="25"/>
      <c r="D948" s="26"/>
      <c r="E948" s="26"/>
      <c r="F948" s="26"/>
      <c r="G948" s="26"/>
      <c r="H948" s="26"/>
      <c r="I948" s="25"/>
      <c r="J948" s="25"/>
      <c r="K948" s="25"/>
      <c r="L948" s="25"/>
      <c r="M948" s="25"/>
      <c r="N948" s="25"/>
      <c r="O948" s="25"/>
      <c r="P948" s="25"/>
    </row>
    <row r="949" spans="1:16" x14ac:dyDescent="0.3">
      <c r="A949" s="25"/>
      <c r="B949" s="25"/>
      <c r="C949" s="25"/>
      <c r="D949" s="26"/>
      <c r="E949" s="26"/>
      <c r="F949" s="26"/>
      <c r="G949" s="26"/>
      <c r="H949" s="26"/>
      <c r="I949" s="25"/>
      <c r="J949" s="25"/>
      <c r="K949" s="25"/>
      <c r="L949" s="25"/>
      <c r="M949" s="25"/>
      <c r="N949" s="25"/>
      <c r="O949" s="25"/>
      <c r="P949" s="25"/>
    </row>
    <row r="950" spans="1:16" x14ac:dyDescent="0.3">
      <c r="A950" s="25"/>
      <c r="B950" s="25"/>
      <c r="C950" s="25"/>
      <c r="D950" s="26"/>
      <c r="E950" s="26"/>
      <c r="F950" s="26"/>
      <c r="G950" s="26"/>
      <c r="H950" s="26"/>
      <c r="I950" s="25"/>
      <c r="J950" s="25"/>
      <c r="K950" s="25"/>
      <c r="L950" s="25"/>
      <c r="M950" s="25"/>
      <c r="N950" s="25"/>
      <c r="O950" s="25"/>
      <c r="P950" s="25"/>
    </row>
    <row r="951" spans="1:16" x14ac:dyDescent="0.3">
      <c r="A951" s="25"/>
      <c r="B951" s="25"/>
      <c r="C951" s="25"/>
      <c r="D951" s="26"/>
      <c r="E951" s="26"/>
      <c r="F951" s="26"/>
      <c r="G951" s="26"/>
      <c r="H951" s="26"/>
      <c r="I951" s="25"/>
      <c r="J951" s="25"/>
      <c r="K951" s="25"/>
      <c r="L951" s="25"/>
      <c r="M951" s="25"/>
      <c r="N951" s="25"/>
      <c r="O951" s="25"/>
      <c r="P951" s="25"/>
    </row>
    <row r="952" spans="1:16" x14ac:dyDescent="0.3">
      <c r="A952" s="25"/>
      <c r="B952" s="25"/>
      <c r="C952" s="25"/>
      <c r="D952" s="26"/>
      <c r="E952" s="26"/>
      <c r="F952" s="26"/>
      <c r="G952" s="26"/>
      <c r="H952" s="26"/>
      <c r="I952" s="25"/>
      <c r="J952" s="25"/>
      <c r="K952" s="25"/>
      <c r="L952" s="25"/>
      <c r="M952" s="25"/>
      <c r="N952" s="25"/>
      <c r="O952" s="25"/>
      <c r="P952" s="25"/>
    </row>
    <row r="953" spans="1:16" x14ac:dyDescent="0.3">
      <c r="A953" s="25"/>
      <c r="B953" s="25"/>
      <c r="C953" s="25"/>
      <c r="D953" s="26"/>
      <c r="E953" s="26"/>
      <c r="F953" s="26"/>
      <c r="G953" s="26"/>
      <c r="H953" s="26"/>
      <c r="I953" s="25"/>
      <c r="J953" s="25"/>
      <c r="K953" s="25"/>
      <c r="L953" s="25"/>
      <c r="M953" s="25"/>
      <c r="N953" s="25"/>
      <c r="O953" s="25"/>
      <c r="P953" s="25"/>
    </row>
    <row r="954" spans="1:16" x14ac:dyDescent="0.3">
      <c r="A954" s="25"/>
      <c r="B954" s="25"/>
      <c r="C954" s="25"/>
      <c r="D954" s="26"/>
      <c r="E954" s="26"/>
      <c r="F954" s="26"/>
      <c r="G954" s="26"/>
      <c r="H954" s="26"/>
      <c r="I954" s="25"/>
      <c r="J954" s="25"/>
      <c r="K954" s="25"/>
      <c r="L954" s="25"/>
      <c r="M954" s="25"/>
      <c r="N954" s="25"/>
      <c r="O954" s="25"/>
      <c r="P954" s="25"/>
    </row>
    <row r="955" spans="1:16" x14ac:dyDescent="0.3">
      <c r="A955" s="25"/>
      <c r="B955" s="25"/>
      <c r="C955" s="25"/>
      <c r="D955" s="26"/>
      <c r="E955" s="26"/>
      <c r="F955" s="26"/>
      <c r="G955" s="26"/>
      <c r="H955" s="26"/>
      <c r="I955" s="25"/>
      <c r="J955" s="25"/>
      <c r="K955" s="25"/>
      <c r="L955" s="25"/>
      <c r="M955" s="25"/>
      <c r="N955" s="25"/>
      <c r="O955" s="25"/>
      <c r="P955" s="25"/>
    </row>
    <row r="956" spans="1:16" x14ac:dyDescent="0.3">
      <c r="A956" s="25"/>
      <c r="B956" s="25"/>
      <c r="C956" s="25"/>
      <c r="D956" s="26"/>
      <c r="E956" s="26"/>
      <c r="F956" s="26"/>
      <c r="G956" s="26"/>
      <c r="H956" s="26"/>
      <c r="I956" s="25"/>
      <c r="J956" s="25"/>
      <c r="K956" s="25"/>
      <c r="L956" s="25"/>
      <c r="M956" s="25"/>
      <c r="N956" s="25"/>
      <c r="O956" s="25"/>
      <c r="P956" s="25"/>
    </row>
    <row r="957" spans="1:16" x14ac:dyDescent="0.3">
      <c r="A957" s="25"/>
      <c r="B957" s="25"/>
      <c r="C957" s="25"/>
      <c r="D957" s="26"/>
      <c r="E957" s="26"/>
      <c r="F957" s="26"/>
      <c r="G957" s="26"/>
      <c r="H957" s="26"/>
      <c r="I957" s="25"/>
      <c r="J957" s="25"/>
      <c r="K957" s="25"/>
      <c r="L957" s="25"/>
      <c r="M957" s="25"/>
      <c r="N957" s="25"/>
      <c r="O957" s="25"/>
      <c r="P957" s="25"/>
    </row>
    <row r="958" spans="1:16" x14ac:dyDescent="0.3">
      <c r="A958" s="25"/>
      <c r="B958" s="25"/>
      <c r="C958" s="25"/>
      <c r="D958" s="26"/>
      <c r="E958" s="26"/>
      <c r="F958" s="26"/>
      <c r="G958" s="26"/>
      <c r="H958" s="26"/>
      <c r="I958" s="25"/>
      <c r="J958" s="25"/>
      <c r="K958" s="25"/>
      <c r="L958" s="25"/>
      <c r="M958" s="25"/>
      <c r="N958" s="25"/>
      <c r="O958" s="25"/>
      <c r="P958" s="25"/>
    </row>
    <row r="959" spans="1:16" x14ac:dyDescent="0.3">
      <c r="A959" s="25"/>
      <c r="B959" s="25"/>
      <c r="C959" s="25"/>
      <c r="D959" s="26"/>
      <c r="E959" s="26"/>
      <c r="F959" s="26"/>
      <c r="G959" s="26"/>
      <c r="H959" s="26"/>
      <c r="I959" s="25"/>
      <c r="J959" s="25"/>
      <c r="K959" s="25"/>
      <c r="L959" s="25"/>
      <c r="M959" s="25"/>
      <c r="N959" s="25"/>
      <c r="O959" s="25"/>
      <c r="P959" s="25"/>
    </row>
    <row r="960" spans="1:16" x14ac:dyDescent="0.3">
      <c r="A960" s="25"/>
      <c r="B960" s="25"/>
      <c r="C960" s="25"/>
      <c r="D960" s="26"/>
      <c r="E960" s="26"/>
      <c r="F960" s="26"/>
      <c r="G960" s="26"/>
      <c r="H960" s="26"/>
      <c r="I960" s="25"/>
      <c r="J960" s="25"/>
      <c r="K960" s="25"/>
      <c r="L960" s="25"/>
      <c r="M960" s="25"/>
      <c r="N960" s="25"/>
      <c r="O960" s="25"/>
      <c r="P960" s="25"/>
    </row>
    <row r="961" spans="1:16" x14ac:dyDescent="0.3">
      <c r="A961" s="25"/>
      <c r="B961" s="25"/>
      <c r="C961" s="25"/>
      <c r="D961" s="26"/>
      <c r="E961" s="26"/>
      <c r="F961" s="26"/>
      <c r="G961" s="26"/>
      <c r="H961" s="26"/>
      <c r="I961" s="25"/>
      <c r="J961" s="25"/>
      <c r="K961" s="25"/>
      <c r="L961" s="25"/>
      <c r="M961" s="25"/>
      <c r="N961" s="25"/>
      <c r="O961" s="25"/>
      <c r="P961" s="25"/>
    </row>
    <row r="962" spans="1:16" x14ac:dyDescent="0.3">
      <c r="A962" s="25"/>
      <c r="B962" s="25"/>
      <c r="C962" s="25"/>
      <c r="D962" s="26"/>
      <c r="E962" s="26"/>
      <c r="F962" s="26"/>
      <c r="G962" s="26"/>
      <c r="H962" s="26"/>
      <c r="I962" s="25"/>
      <c r="J962" s="25"/>
      <c r="K962" s="25"/>
      <c r="L962" s="25"/>
      <c r="M962" s="25"/>
      <c r="N962" s="25"/>
      <c r="O962" s="25"/>
      <c r="P962" s="25"/>
    </row>
    <row r="963" spans="1:16" x14ac:dyDescent="0.3">
      <c r="A963" s="25"/>
      <c r="B963" s="25"/>
      <c r="C963" s="25"/>
      <c r="D963" s="26"/>
      <c r="E963" s="26"/>
      <c r="F963" s="26"/>
      <c r="G963" s="26"/>
      <c r="H963" s="26"/>
      <c r="I963" s="25"/>
      <c r="J963" s="25"/>
      <c r="K963" s="25"/>
      <c r="L963" s="25"/>
      <c r="M963" s="25"/>
      <c r="N963" s="25"/>
      <c r="O963" s="25"/>
      <c r="P963" s="25"/>
    </row>
    <row r="964" spans="1:16" x14ac:dyDescent="0.3">
      <c r="A964" s="25"/>
      <c r="B964" s="25"/>
      <c r="C964" s="25"/>
      <c r="D964" s="26"/>
      <c r="E964" s="26"/>
      <c r="F964" s="26"/>
      <c r="G964" s="26"/>
      <c r="H964" s="26"/>
      <c r="I964" s="25"/>
      <c r="J964" s="25"/>
      <c r="K964" s="25"/>
      <c r="L964" s="25"/>
      <c r="M964" s="25"/>
      <c r="N964" s="25"/>
      <c r="O964" s="25"/>
      <c r="P964" s="25"/>
    </row>
    <row r="965" spans="1:16" x14ac:dyDescent="0.3">
      <c r="A965" s="25"/>
      <c r="B965" s="25"/>
      <c r="C965" s="25"/>
      <c r="D965" s="26"/>
      <c r="E965" s="26"/>
      <c r="F965" s="26"/>
      <c r="G965" s="26"/>
      <c r="H965" s="26"/>
      <c r="I965" s="25"/>
      <c r="J965" s="25"/>
      <c r="K965" s="25"/>
      <c r="L965" s="25"/>
      <c r="M965" s="25"/>
      <c r="N965" s="25"/>
      <c r="O965" s="25"/>
      <c r="P965" s="25"/>
    </row>
    <row r="966" spans="1:16" x14ac:dyDescent="0.3">
      <c r="A966" s="25"/>
      <c r="B966" s="25"/>
      <c r="C966" s="25"/>
      <c r="D966" s="26"/>
      <c r="E966" s="26"/>
      <c r="F966" s="26"/>
      <c r="G966" s="26"/>
      <c r="H966" s="26"/>
      <c r="I966" s="25"/>
      <c r="J966" s="25"/>
      <c r="K966" s="25"/>
      <c r="L966" s="25"/>
      <c r="M966" s="25"/>
      <c r="N966" s="25"/>
      <c r="O966" s="25"/>
      <c r="P966" s="25"/>
    </row>
    <row r="967" spans="1:16" x14ac:dyDescent="0.3">
      <c r="A967" s="25"/>
      <c r="B967" s="25"/>
      <c r="C967" s="25"/>
      <c r="D967" s="26"/>
      <c r="E967" s="26"/>
      <c r="F967" s="26"/>
      <c r="G967" s="26"/>
      <c r="H967" s="26"/>
      <c r="I967" s="25"/>
      <c r="J967" s="25"/>
      <c r="K967" s="25"/>
      <c r="L967" s="25"/>
      <c r="M967" s="25"/>
      <c r="N967" s="25"/>
      <c r="O967" s="25"/>
      <c r="P967" s="25"/>
    </row>
    <row r="968" spans="1:16" x14ac:dyDescent="0.3">
      <c r="A968" s="25"/>
      <c r="B968" s="25"/>
      <c r="C968" s="25"/>
      <c r="D968" s="26"/>
      <c r="E968" s="26"/>
      <c r="F968" s="26"/>
      <c r="G968" s="26"/>
      <c r="H968" s="26"/>
      <c r="I968" s="25"/>
      <c r="J968" s="25"/>
      <c r="K968" s="25"/>
      <c r="L968" s="25"/>
      <c r="M968" s="25"/>
      <c r="N968" s="25"/>
      <c r="O968" s="25"/>
      <c r="P968" s="25"/>
    </row>
    <row r="969" spans="1:16" x14ac:dyDescent="0.3">
      <c r="A969" s="25"/>
      <c r="B969" s="25"/>
      <c r="C969" s="25"/>
      <c r="D969" s="26"/>
      <c r="E969" s="26"/>
      <c r="F969" s="26"/>
      <c r="G969" s="26"/>
      <c r="H969" s="26"/>
      <c r="I969" s="25"/>
      <c r="J969" s="25"/>
      <c r="K969" s="25"/>
      <c r="L969" s="25"/>
      <c r="M969" s="25"/>
      <c r="N969" s="25"/>
      <c r="O969" s="25"/>
      <c r="P969" s="25"/>
    </row>
    <row r="970" spans="1:16" x14ac:dyDescent="0.3">
      <c r="A970" s="25"/>
      <c r="B970" s="25"/>
      <c r="C970" s="25"/>
      <c r="D970" s="26"/>
      <c r="E970" s="26"/>
      <c r="F970" s="26"/>
      <c r="G970" s="26"/>
      <c r="H970" s="26"/>
      <c r="I970" s="25"/>
      <c r="J970" s="25"/>
      <c r="K970" s="25"/>
      <c r="L970" s="25"/>
      <c r="M970" s="25"/>
      <c r="N970" s="25"/>
      <c r="O970" s="25"/>
      <c r="P970" s="25"/>
    </row>
    <row r="971" spans="1:16" x14ac:dyDescent="0.3">
      <c r="A971" s="25"/>
      <c r="B971" s="25"/>
      <c r="C971" s="25"/>
      <c r="D971" s="26"/>
      <c r="E971" s="26"/>
      <c r="F971" s="26"/>
      <c r="G971" s="26"/>
      <c r="H971" s="26"/>
      <c r="I971" s="25"/>
      <c r="J971" s="25"/>
      <c r="K971" s="25"/>
      <c r="L971" s="25"/>
      <c r="M971" s="25"/>
      <c r="N971" s="25"/>
      <c r="O971" s="25"/>
      <c r="P971" s="25"/>
    </row>
    <row r="972" spans="1:16" x14ac:dyDescent="0.3">
      <c r="A972" s="25"/>
      <c r="B972" s="25"/>
      <c r="C972" s="25"/>
      <c r="D972" s="26"/>
      <c r="E972" s="26"/>
      <c r="F972" s="26"/>
      <c r="G972" s="26"/>
      <c r="H972" s="26"/>
      <c r="I972" s="25"/>
      <c r="J972" s="25"/>
      <c r="K972" s="25"/>
      <c r="L972" s="25"/>
      <c r="M972" s="25"/>
      <c r="N972" s="25"/>
      <c r="O972" s="25"/>
      <c r="P972" s="25"/>
    </row>
    <row r="973" spans="1:16" x14ac:dyDescent="0.3">
      <c r="A973" s="25"/>
      <c r="B973" s="25"/>
      <c r="C973" s="25"/>
      <c r="D973" s="26"/>
      <c r="E973" s="26"/>
      <c r="F973" s="26"/>
      <c r="G973" s="26"/>
      <c r="H973" s="26"/>
      <c r="I973" s="25"/>
      <c r="J973" s="25"/>
      <c r="K973" s="25"/>
      <c r="L973" s="25"/>
      <c r="M973" s="25"/>
      <c r="N973" s="25"/>
      <c r="O973" s="25"/>
      <c r="P973" s="25"/>
    </row>
    <row r="974" spans="1:16" x14ac:dyDescent="0.3">
      <c r="A974" s="25"/>
      <c r="B974" s="25"/>
      <c r="C974" s="25"/>
      <c r="D974" s="26"/>
      <c r="E974" s="26"/>
      <c r="F974" s="26"/>
      <c r="G974" s="26"/>
      <c r="H974" s="26"/>
      <c r="I974" s="25"/>
      <c r="J974" s="25"/>
      <c r="K974" s="25"/>
      <c r="L974" s="25"/>
      <c r="M974" s="25"/>
      <c r="N974" s="25"/>
      <c r="O974" s="25"/>
      <c r="P974" s="25"/>
    </row>
    <row r="975" spans="1:16" x14ac:dyDescent="0.3">
      <c r="A975" s="25"/>
      <c r="B975" s="25"/>
      <c r="C975" s="25"/>
      <c r="D975" s="26"/>
      <c r="E975" s="26"/>
      <c r="F975" s="26"/>
      <c r="G975" s="26"/>
      <c r="H975" s="26"/>
      <c r="I975" s="25"/>
      <c r="J975" s="25"/>
      <c r="K975" s="25"/>
      <c r="L975" s="25"/>
      <c r="M975" s="25"/>
      <c r="N975" s="25"/>
      <c r="O975" s="25"/>
      <c r="P975" s="25"/>
    </row>
    <row r="976" spans="1:16" x14ac:dyDescent="0.3">
      <c r="A976" s="25"/>
      <c r="B976" s="25"/>
      <c r="C976" s="25"/>
      <c r="D976" s="26"/>
      <c r="E976" s="26"/>
      <c r="F976" s="26"/>
      <c r="G976" s="26"/>
      <c r="H976" s="26"/>
      <c r="I976" s="25"/>
      <c r="J976" s="25"/>
      <c r="K976" s="25"/>
      <c r="L976" s="25"/>
      <c r="M976" s="25"/>
      <c r="N976" s="25"/>
      <c r="O976" s="25"/>
      <c r="P976" s="25"/>
    </row>
    <row r="977" spans="1:16" x14ac:dyDescent="0.3">
      <c r="A977" s="25"/>
      <c r="B977" s="25"/>
      <c r="C977" s="25"/>
      <c r="D977" s="26"/>
      <c r="E977" s="26"/>
      <c r="F977" s="26"/>
      <c r="G977" s="26"/>
      <c r="H977" s="26"/>
      <c r="I977" s="25"/>
      <c r="J977" s="25"/>
      <c r="K977" s="25"/>
      <c r="L977" s="25"/>
      <c r="M977" s="25"/>
      <c r="N977" s="25"/>
      <c r="O977" s="25"/>
      <c r="P977" s="25"/>
    </row>
    <row r="978" spans="1:16" x14ac:dyDescent="0.3">
      <c r="A978" s="25"/>
      <c r="B978" s="25"/>
      <c r="C978" s="25"/>
      <c r="D978" s="26"/>
      <c r="E978" s="26"/>
      <c r="F978" s="26"/>
      <c r="G978" s="26"/>
      <c r="H978" s="26"/>
      <c r="I978" s="25"/>
      <c r="J978" s="25"/>
      <c r="K978" s="25"/>
      <c r="L978" s="25"/>
      <c r="M978" s="25"/>
      <c r="N978" s="25"/>
      <c r="O978" s="25"/>
      <c r="P978" s="25"/>
    </row>
    <row r="979" spans="1:16" x14ac:dyDescent="0.3">
      <c r="A979" s="25"/>
      <c r="B979" s="25"/>
      <c r="C979" s="25"/>
      <c r="D979" s="26"/>
      <c r="E979" s="26"/>
      <c r="F979" s="26"/>
      <c r="G979" s="26"/>
      <c r="H979" s="26"/>
      <c r="I979" s="25"/>
      <c r="J979" s="25"/>
      <c r="K979" s="25"/>
      <c r="L979" s="25"/>
      <c r="M979" s="25"/>
      <c r="N979" s="25"/>
      <c r="O979" s="25"/>
      <c r="P979" s="25"/>
    </row>
    <row r="980" spans="1:16" x14ac:dyDescent="0.3">
      <c r="A980" s="25"/>
      <c r="B980" s="25"/>
      <c r="C980" s="25"/>
      <c r="D980" s="26"/>
      <c r="E980" s="26"/>
      <c r="F980" s="26"/>
      <c r="G980" s="26"/>
      <c r="H980" s="26"/>
      <c r="I980" s="25"/>
      <c r="J980" s="25"/>
      <c r="K980" s="25"/>
      <c r="L980" s="25"/>
      <c r="M980" s="25"/>
      <c r="N980" s="25"/>
      <c r="O980" s="25"/>
      <c r="P980" s="25"/>
    </row>
    <row r="981" spans="1:16" x14ac:dyDescent="0.3">
      <c r="A981" s="25"/>
      <c r="B981" s="25"/>
      <c r="C981" s="25"/>
      <c r="D981" s="26"/>
      <c r="E981" s="26"/>
      <c r="F981" s="26"/>
      <c r="G981" s="26"/>
      <c r="H981" s="26"/>
      <c r="I981" s="25"/>
      <c r="J981" s="25"/>
      <c r="K981" s="25"/>
      <c r="L981" s="25"/>
      <c r="M981" s="25"/>
      <c r="N981" s="25"/>
      <c r="O981" s="25"/>
      <c r="P981" s="25"/>
    </row>
    <row r="982" spans="1:16" x14ac:dyDescent="0.3">
      <c r="A982" s="25"/>
      <c r="B982" s="25"/>
      <c r="C982" s="25"/>
      <c r="D982" s="26"/>
      <c r="E982" s="26"/>
      <c r="F982" s="26"/>
      <c r="G982" s="26"/>
      <c r="H982" s="26"/>
      <c r="I982" s="25"/>
      <c r="J982" s="25"/>
      <c r="K982" s="25"/>
      <c r="L982" s="25"/>
      <c r="M982" s="25"/>
      <c r="N982" s="25"/>
      <c r="O982" s="25"/>
      <c r="P982" s="25"/>
    </row>
    <row r="983" spans="1:16" x14ac:dyDescent="0.3">
      <c r="A983" s="25"/>
      <c r="B983" s="25"/>
      <c r="C983" s="25"/>
      <c r="D983" s="26"/>
      <c r="E983" s="26"/>
      <c r="F983" s="26"/>
      <c r="G983" s="26"/>
      <c r="H983" s="26"/>
      <c r="I983" s="25"/>
      <c r="J983" s="25"/>
      <c r="K983" s="25"/>
      <c r="L983" s="25"/>
      <c r="M983" s="25"/>
      <c r="N983" s="25"/>
      <c r="O983" s="25"/>
      <c r="P983" s="25"/>
    </row>
    <row r="984" spans="1:16" x14ac:dyDescent="0.3">
      <c r="A984" s="25"/>
      <c r="B984" s="25"/>
      <c r="C984" s="25"/>
      <c r="D984" s="26"/>
      <c r="E984" s="26"/>
      <c r="F984" s="26"/>
      <c r="G984" s="26"/>
      <c r="H984" s="26"/>
      <c r="I984" s="25"/>
      <c r="J984" s="25"/>
      <c r="K984" s="25"/>
      <c r="L984" s="25"/>
      <c r="M984" s="25"/>
      <c r="N984" s="25"/>
      <c r="O984" s="25"/>
      <c r="P984" s="25"/>
    </row>
    <row r="985" spans="1:16" x14ac:dyDescent="0.3">
      <c r="A985" s="25"/>
      <c r="B985" s="25"/>
      <c r="C985" s="25"/>
      <c r="D985" s="26"/>
      <c r="E985" s="26"/>
      <c r="F985" s="26"/>
      <c r="G985" s="26"/>
      <c r="H985" s="26"/>
      <c r="I985" s="25"/>
      <c r="J985" s="25"/>
      <c r="K985" s="25"/>
      <c r="L985" s="25"/>
      <c r="M985" s="25"/>
      <c r="N985" s="25"/>
      <c r="O985" s="25"/>
      <c r="P985" s="25"/>
    </row>
    <row r="986" spans="1:16" x14ac:dyDescent="0.3">
      <c r="A986" s="25"/>
      <c r="B986" s="25"/>
      <c r="C986" s="25"/>
      <c r="D986" s="26"/>
      <c r="E986" s="26"/>
      <c r="F986" s="26"/>
      <c r="G986" s="26"/>
      <c r="H986" s="26"/>
      <c r="I986" s="25"/>
      <c r="J986" s="25"/>
      <c r="K986" s="25"/>
      <c r="L986" s="25"/>
      <c r="M986" s="25"/>
      <c r="N986" s="25"/>
      <c r="O986" s="25"/>
      <c r="P986" s="25"/>
    </row>
    <row r="987" spans="1:16" x14ac:dyDescent="0.3">
      <c r="A987" s="25"/>
      <c r="B987" s="25"/>
      <c r="C987" s="25"/>
      <c r="D987" s="26"/>
      <c r="E987" s="26"/>
      <c r="F987" s="26"/>
      <c r="G987" s="26"/>
      <c r="H987" s="26"/>
      <c r="I987" s="25"/>
      <c r="J987" s="25"/>
      <c r="K987" s="25"/>
      <c r="L987" s="25"/>
      <c r="M987" s="25"/>
      <c r="N987" s="25"/>
      <c r="O987" s="25"/>
      <c r="P987" s="25"/>
    </row>
    <row r="988" spans="1:16" x14ac:dyDescent="0.3">
      <c r="A988" s="25"/>
      <c r="B988" s="25"/>
      <c r="C988" s="25"/>
      <c r="D988" s="26"/>
      <c r="E988" s="26"/>
      <c r="F988" s="26"/>
      <c r="G988" s="26"/>
      <c r="H988" s="26"/>
      <c r="I988" s="25"/>
      <c r="J988" s="25"/>
      <c r="K988" s="25"/>
      <c r="L988" s="25"/>
      <c r="M988" s="25"/>
      <c r="N988" s="25"/>
      <c r="O988" s="25"/>
      <c r="P988" s="25"/>
    </row>
    <row r="989" spans="1:16" x14ac:dyDescent="0.3">
      <c r="A989" s="25"/>
      <c r="B989" s="25"/>
      <c r="C989" s="25"/>
      <c r="D989" s="26"/>
      <c r="E989" s="26"/>
      <c r="F989" s="26"/>
      <c r="G989" s="26"/>
      <c r="H989" s="26"/>
      <c r="I989" s="25"/>
      <c r="J989" s="25"/>
      <c r="K989" s="25"/>
      <c r="L989" s="25"/>
      <c r="M989" s="25"/>
      <c r="N989" s="25"/>
      <c r="O989" s="25"/>
      <c r="P989" s="25"/>
    </row>
    <row r="990" spans="1:16" x14ac:dyDescent="0.3">
      <c r="A990" s="25"/>
      <c r="B990" s="25"/>
      <c r="C990" s="25"/>
      <c r="D990" s="26"/>
      <c r="E990" s="26"/>
      <c r="F990" s="26"/>
      <c r="G990" s="26"/>
      <c r="H990" s="26"/>
      <c r="I990" s="25"/>
      <c r="J990" s="25"/>
      <c r="K990" s="25"/>
      <c r="L990" s="25"/>
      <c r="M990" s="25"/>
      <c r="N990" s="25"/>
      <c r="O990" s="25"/>
      <c r="P990" s="25"/>
    </row>
    <row r="991" spans="1:16" x14ac:dyDescent="0.3">
      <c r="A991" s="25"/>
      <c r="B991" s="25"/>
      <c r="C991" s="25"/>
      <c r="D991" s="26"/>
      <c r="E991" s="26"/>
      <c r="F991" s="26"/>
      <c r="G991" s="26"/>
      <c r="H991" s="26"/>
      <c r="I991" s="25"/>
      <c r="J991" s="25"/>
      <c r="K991" s="25"/>
      <c r="L991" s="25"/>
      <c r="M991" s="25"/>
      <c r="N991" s="25"/>
      <c r="O991" s="25"/>
      <c r="P991" s="25"/>
    </row>
    <row r="992" spans="1:16" x14ac:dyDescent="0.3">
      <c r="A992" s="25"/>
      <c r="B992" s="25"/>
      <c r="C992" s="25"/>
      <c r="D992" s="26"/>
      <c r="E992" s="26"/>
      <c r="F992" s="26"/>
      <c r="G992" s="26"/>
      <c r="H992" s="26"/>
      <c r="I992" s="25"/>
      <c r="J992" s="25"/>
      <c r="K992" s="25"/>
      <c r="L992" s="25"/>
      <c r="M992" s="25"/>
      <c r="N992" s="25"/>
      <c r="O992" s="25"/>
      <c r="P992" s="25"/>
    </row>
    <row r="993" spans="1:16" x14ac:dyDescent="0.3">
      <c r="A993" s="25"/>
      <c r="B993" s="25"/>
      <c r="C993" s="25"/>
      <c r="D993" s="26"/>
      <c r="E993" s="26"/>
      <c r="F993" s="26"/>
      <c r="G993" s="26"/>
      <c r="H993" s="26"/>
      <c r="I993" s="25"/>
      <c r="J993" s="25"/>
      <c r="K993" s="25"/>
      <c r="L993" s="25"/>
      <c r="M993" s="25"/>
      <c r="N993" s="25"/>
      <c r="O993" s="25"/>
      <c r="P993" s="25"/>
    </row>
    <row r="994" spans="1:16" x14ac:dyDescent="0.3">
      <c r="A994" s="25"/>
      <c r="B994" s="25"/>
      <c r="C994" s="25"/>
      <c r="D994" s="26"/>
      <c r="E994" s="26"/>
      <c r="F994" s="26"/>
      <c r="G994" s="26"/>
      <c r="H994" s="26"/>
      <c r="I994" s="25"/>
      <c r="J994" s="25"/>
      <c r="K994" s="25"/>
      <c r="L994" s="25"/>
      <c r="M994" s="25"/>
      <c r="N994" s="25"/>
      <c r="O994" s="25"/>
      <c r="P994" s="25"/>
    </row>
    <row r="995" spans="1:16" x14ac:dyDescent="0.3">
      <c r="A995" s="25"/>
      <c r="B995" s="25"/>
      <c r="C995" s="25"/>
      <c r="D995" s="26"/>
      <c r="E995" s="26"/>
      <c r="F995" s="26"/>
      <c r="G995" s="26"/>
      <c r="H995" s="26"/>
      <c r="I995" s="25"/>
      <c r="J995" s="25"/>
      <c r="K995" s="25"/>
      <c r="L995" s="25"/>
      <c r="M995" s="25"/>
      <c r="N995" s="25"/>
      <c r="O995" s="25"/>
      <c r="P995" s="25"/>
    </row>
    <row r="996" spans="1:16" x14ac:dyDescent="0.3">
      <c r="A996" s="25"/>
      <c r="B996" s="25"/>
      <c r="C996" s="25"/>
      <c r="D996" s="26"/>
      <c r="E996" s="26"/>
      <c r="F996" s="26"/>
      <c r="G996" s="26"/>
      <c r="H996" s="26"/>
      <c r="I996" s="25"/>
      <c r="J996" s="25"/>
      <c r="K996" s="25"/>
      <c r="L996" s="25"/>
      <c r="M996" s="25"/>
      <c r="N996" s="25"/>
      <c r="O996" s="25"/>
      <c r="P996" s="25"/>
    </row>
    <row r="997" spans="1:16" x14ac:dyDescent="0.3">
      <c r="A997" s="25"/>
      <c r="B997" s="25"/>
      <c r="C997" s="25"/>
      <c r="D997" s="26"/>
      <c r="E997" s="26"/>
      <c r="F997" s="26"/>
      <c r="G997" s="26"/>
      <c r="H997" s="26"/>
      <c r="I997" s="25"/>
      <c r="J997" s="25"/>
      <c r="K997" s="25"/>
      <c r="L997" s="25"/>
      <c r="M997" s="25"/>
      <c r="N997" s="25"/>
      <c r="O997" s="25"/>
      <c r="P997" s="25"/>
    </row>
    <row r="998" spans="1:16" x14ac:dyDescent="0.3">
      <c r="A998" s="25"/>
      <c r="B998" s="25"/>
      <c r="C998" s="25"/>
      <c r="D998" s="26"/>
      <c r="E998" s="26"/>
      <c r="F998" s="26"/>
      <c r="G998" s="26"/>
      <c r="H998" s="26"/>
      <c r="I998" s="25"/>
      <c r="J998" s="25"/>
      <c r="K998" s="25"/>
      <c r="L998" s="25"/>
      <c r="M998" s="25"/>
      <c r="N998" s="25"/>
      <c r="O998" s="25"/>
      <c r="P998" s="25"/>
    </row>
    <row r="999" spans="1:16" x14ac:dyDescent="0.3">
      <c r="A999" s="25"/>
      <c r="B999" s="25"/>
      <c r="C999" s="25"/>
      <c r="D999" s="26"/>
      <c r="E999" s="26"/>
      <c r="F999" s="26"/>
      <c r="G999" s="26"/>
      <c r="H999" s="26"/>
      <c r="I999" s="25"/>
      <c r="J999" s="25"/>
      <c r="K999" s="25"/>
      <c r="L999" s="25"/>
      <c r="M999" s="25"/>
      <c r="N999" s="25"/>
      <c r="O999" s="25"/>
      <c r="P999" s="25"/>
    </row>
    <row r="1000" spans="1:16" x14ac:dyDescent="0.3">
      <c r="A1000" s="25"/>
      <c r="B1000" s="25"/>
      <c r="C1000" s="25"/>
      <c r="D1000" s="26"/>
      <c r="E1000" s="26"/>
      <c r="F1000" s="26"/>
      <c r="G1000" s="26"/>
      <c r="H1000" s="26"/>
      <c r="I1000" s="25"/>
      <c r="J1000" s="25"/>
      <c r="K1000" s="25"/>
      <c r="L1000" s="25"/>
      <c r="M1000" s="25"/>
      <c r="N1000" s="25"/>
      <c r="O1000" s="25"/>
      <c r="P1000" s="25"/>
    </row>
    <row r="1001" spans="1:16" x14ac:dyDescent="0.3">
      <c r="A1001" s="25"/>
      <c r="B1001" s="25"/>
      <c r="C1001" s="25"/>
      <c r="D1001" s="26"/>
      <c r="E1001" s="26"/>
      <c r="F1001" s="26"/>
      <c r="G1001" s="26"/>
      <c r="H1001" s="26"/>
      <c r="I1001" s="25"/>
      <c r="J1001" s="25"/>
      <c r="K1001" s="25"/>
      <c r="L1001" s="25"/>
      <c r="M1001" s="25"/>
      <c r="N1001" s="25"/>
      <c r="O1001" s="25"/>
      <c r="P1001" s="25"/>
    </row>
    <row r="1002" spans="1:16" x14ac:dyDescent="0.3">
      <c r="A1002" s="25"/>
      <c r="B1002" s="25"/>
      <c r="C1002" s="25"/>
      <c r="D1002" s="26"/>
      <c r="E1002" s="26"/>
      <c r="F1002" s="26"/>
      <c r="G1002" s="26"/>
      <c r="H1002" s="26"/>
      <c r="I1002" s="25"/>
      <c r="J1002" s="25"/>
      <c r="K1002" s="25"/>
      <c r="L1002" s="25"/>
      <c r="M1002" s="25"/>
      <c r="N1002" s="25"/>
      <c r="O1002" s="25"/>
      <c r="P1002" s="25"/>
    </row>
    <row r="1003" spans="1:16" x14ac:dyDescent="0.3">
      <c r="A1003" s="25"/>
      <c r="B1003" s="25"/>
      <c r="C1003" s="25"/>
      <c r="D1003" s="26"/>
      <c r="E1003" s="26"/>
      <c r="F1003" s="26"/>
      <c r="G1003" s="26"/>
      <c r="H1003" s="26"/>
      <c r="I1003" s="25"/>
      <c r="J1003" s="25"/>
      <c r="K1003" s="25"/>
      <c r="L1003" s="25"/>
      <c r="M1003" s="25"/>
      <c r="N1003" s="25"/>
      <c r="O1003" s="25"/>
      <c r="P1003" s="25"/>
    </row>
    <row r="1004" spans="1:16" x14ac:dyDescent="0.3">
      <c r="A1004" s="25"/>
      <c r="B1004" s="25"/>
      <c r="C1004" s="25"/>
      <c r="D1004" s="26"/>
      <c r="E1004" s="26"/>
      <c r="F1004" s="26"/>
      <c r="G1004" s="26"/>
      <c r="H1004" s="26"/>
      <c r="I1004" s="25"/>
      <c r="J1004" s="25"/>
      <c r="K1004" s="25"/>
      <c r="L1004" s="25"/>
      <c r="M1004" s="25"/>
      <c r="N1004" s="25"/>
      <c r="O1004" s="25"/>
      <c r="P1004" s="25"/>
    </row>
    <row r="1005" spans="1:16" x14ac:dyDescent="0.3">
      <c r="A1005" s="25"/>
      <c r="B1005" s="25"/>
      <c r="C1005" s="25"/>
      <c r="D1005" s="26"/>
      <c r="E1005" s="26"/>
      <c r="F1005" s="26"/>
      <c r="G1005" s="26"/>
      <c r="H1005" s="26"/>
      <c r="I1005" s="25"/>
      <c r="J1005" s="25"/>
      <c r="K1005" s="25"/>
      <c r="L1005" s="25"/>
      <c r="M1005" s="25"/>
      <c r="N1005" s="25"/>
      <c r="O1005" s="25"/>
      <c r="P1005" s="25"/>
    </row>
    <row r="1006" spans="1:16" x14ac:dyDescent="0.3">
      <c r="A1006" s="25"/>
      <c r="B1006" s="25"/>
      <c r="C1006" s="25"/>
      <c r="D1006" s="26"/>
      <c r="E1006" s="26"/>
      <c r="F1006" s="26"/>
      <c r="G1006" s="26"/>
      <c r="H1006" s="26"/>
      <c r="I1006" s="25"/>
      <c r="J1006" s="25"/>
      <c r="K1006" s="25"/>
      <c r="L1006" s="25"/>
      <c r="M1006" s="25"/>
      <c r="N1006" s="25"/>
      <c r="O1006" s="25"/>
      <c r="P1006" s="25"/>
    </row>
    <row r="1007" spans="1:16" x14ac:dyDescent="0.3">
      <c r="A1007" s="25"/>
      <c r="B1007" s="25"/>
      <c r="C1007" s="25"/>
      <c r="D1007" s="26"/>
      <c r="E1007" s="26"/>
      <c r="F1007" s="26"/>
      <c r="G1007" s="26"/>
      <c r="H1007" s="26"/>
      <c r="I1007" s="25"/>
      <c r="J1007" s="25"/>
      <c r="K1007" s="25"/>
      <c r="L1007" s="25"/>
      <c r="M1007" s="25"/>
      <c r="N1007" s="25"/>
      <c r="O1007" s="25"/>
      <c r="P1007" s="25"/>
    </row>
    <row r="1008" spans="1:16" x14ac:dyDescent="0.3">
      <c r="A1008" s="25"/>
      <c r="B1008" s="25"/>
      <c r="C1008" s="25"/>
      <c r="D1008" s="26"/>
      <c r="E1008" s="26"/>
      <c r="F1008" s="26"/>
      <c r="G1008" s="26"/>
      <c r="H1008" s="26"/>
      <c r="I1008" s="25"/>
      <c r="J1008" s="25"/>
      <c r="K1008" s="25"/>
      <c r="L1008" s="25"/>
      <c r="M1008" s="25"/>
      <c r="N1008" s="25"/>
      <c r="O1008" s="25"/>
      <c r="P1008" s="25"/>
    </row>
    <row r="1009" spans="1:16" x14ac:dyDescent="0.3">
      <c r="A1009" s="25"/>
      <c r="B1009" s="25"/>
      <c r="C1009" s="25"/>
      <c r="D1009" s="26"/>
      <c r="E1009" s="26"/>
      <c r="F1009" s="26"/>
      <c r="G1009" s="26"/>
      <c r="H1009" s="26"/>
      <c r="I1009" s="25"/>
      <c r="J1009" s="25"/>
      <c r="K1009" s="25"/>
      <c r="L1009" s="25"/>
      <c r="M1009" s="25"/>
      <c r="N1009" s="25"/>
      <c r="O1009" s="25"/>
      <c r="P1009" s="25"/>
    </row>
    <row r="1010" spans="1:16" x14ac:dyDescent="0.3">
      <c r="A1010" s="25"/>
      <c r="B1010" s="25"/>
      <c r="C1010" s="25"/>
      <c r="D1010" s="26"/>
      <c r="E1010" s="26"/>
      <c r="F1010" s="26"/>
      <c r="G1010" s="26"/>
      <c r="H1010" s="26"/>
      <c r="I1010" s="25"/>
      <c r="J1010" s="25"/>
      <c r="K1010" s="25"/>
      <c r="L1010" s="25"/>
      <c r="M1010" s="25"/>
      <c r="N1010" s="25"/>
      <c r="O1010" s="25"/>
      <c r="P1010" s="25"/>
    </row>
    <row r="1011" spans="1:16" x14ac:dyDescent="0.3">
      <c r="A1011" s="25"/>
      <c r="B1011" s="25"/>
      <c r="C1011" s="25"/>
      <c r="D1011" s="26"/>
      <c r="E1011" s="26"/>
      <c r="F1011" s="26"/>
      <c r="G1011" s="26"/>
      <c r="H1011" s="26"/>
      <c r="I1011" s="25"/>
      <c r="J1011" s="25"/>
      <c r="K1011" s="25"/>
      <c r="L1011" s="25"/>
      <c r="M1011" s="25"/>
      <c r="N1011" s="25"/>
      <c r="O1011" s="25"/>
      <c r="P1011" s="25"/>
    </row>
    <row r="1012" spans="1:16" x14ac:dyDescent="0.3">
      <c r="A1012" s="25"/>
      <c r="B1012" s="25"/>
      <c r="C1012" s="25"/>
      <c r="D1012" s="26"/>
      <c r="E1012" s="26"/>
      <c r="F1012" s="26"/>
      <c r="G1012" s="26"/>
      <c r="H1012" s="26"/>
      <c r="I1012" s="25"/>
      <c r="J1012" s="25"/>
      <c r="K1012" s="25"/>
      <c r="L1012" s="25"/>
      <c r="M1012" s="25"/>
      <c r="N1012" s="25"/>
      <c r="O1012" s="25"/>
      <c r="P1012" s="25"/>
    </row>
    <row r="1013" spans="1:16" x14ac:dyDescent="0.3">
      <c r="A1013" s="25"/>
      <c r="B1013" s="25"/>
      <c r="C1013" s="25"/>
      <c r="D1013" s="26"/>
      <c r="E1013" s="26"/>
      <c r="F1013" s="26"/>
      <c r="G1013" s="26"/>
      <c r="H1013" s="26"/>
      <c r="I1013" s="25"/>
      <c r="J1013" s="25"/>
      <c r="K1013" s="25"/>
      <c r="L1013" s="25"/>
      <c r="M1013" s="25"/>
      <c r="N1013" s="25"/>
      <c r="O1013" s="25"/>
      <c r="P1013" s="25"/>
    </row>
    <row r="1014" spans="1:16" x14ac:dyDescent="0.3">
      <c r="A1014" s="25"/>
      <c r="B1014" s="25"/>
      <c r="C1014" s="25"/>
      <c r="D1014" s="26"/>
      <c r="E1014" s="26"/>
      <c r="F1014" s="26"/>
      <c r="G1014" s="26"/>
      <c r="H1014" s="26"/>
      <c r="I1014" s="25"/>
      <c r="J1014" s="25"/>
      <c r="K1014" s="25"/>
      <c r="L1014" s="25"/>
      <c r="M1014" s="25"/>
      <c r="N1014" s="25"/>
      <c r="O1014" s="25"/>
      <c r="P1014" s="25"/>
    </row>
    <row r="1015" spans="1:16" x14ac:dyDescent="0.3">
      <c r="A1015" s="25"/>
      <c r="B1015" s="25"/>
      <c r="C1015" s="25"/>
      <c r="D1015" s="26"/>
      <c r="E1015" s="26"/>
      <c r="F1015" s="26"/>
      <c r="G1015" s="26"/>
      <c r="H1015" s="26"/>
      <c r="I1015" s="25"/>
      <c r="J1015" s="25"/>
      <c r="K1015" s="25"/>
      <c r="L1015" s="25"/>
      <c r="M1015" s="25"/>
      <c r="N1015" s="25"/>
      <c r="O1015" s="25"/>
      <c r="P1015" s="25"/>
    </row>
    <row r="1016" spans="1:16" x14ac:dyDescent="0.3">
      <c r="A1016" s="25"/>
      <c r="B1016" s="25"/>
      <c r="C1016" s="25"/>
      <c r="D1016" s="26"/>
      <c r="E1016" s="26"/>
      <c r="F1016" s="26"/>
      <c r="G1016" s="26"/>
      <c r="H1016" s="26"/>
      <c r="I1016" s="25"/>
      <c r="J1016" s="25"/>
      <c r="K1016" s="25"/>
      <c r="L1016" s="25"/>
      <c r="M1016" s="25"/>
      <c r="N1016" s="25"/>
      <c r="O1016" s="25"/>
      <c r="P1016" s="25"/>
    </row>
    <row r="1017" spans="1:16" x14ac:dyDescent="0.3">
      <c r="A1017" s="25"/>
      <c r="B1017" s="25"/>
      <c r="C1017" s="25"/>
      <c r="D1017" s="26"/>
      <c r="E1017" s="26"/>
      <c r="F1017" s="26"/>
      <c r="G1017" s="26"/>
      <c r="H1017" s="26"/>
      <c r="I1017" s="25"/>
      <c r="J1017" s="25"/>
      <c r="K1017" s="25"/>
      <c r="L1017" s="25"/>
      <c r="M1017" s="25"/>
      <c r="N1017" s="25"/>
      <c r="O1017" s="25"/>
      <c r="P1017" s="25"/>
    </row>
    <row r="1018" spans="1:16" x14ac:dyDescent="0.3">
      <c r="A1018" s="25"/>
      <c r="B1018" s="25"/>
      <c r="C1018" s="25"/>
      <c r="D1018" s="26"/>
      <c r="E1018" s="26"/>
      <c r="F1018" s="26"/>
      <c r="G1018" s="26"/>
      <c r="H1018" s="26"/>
      <c r="I1018" s="25"/>
      <c r="J1018" s="25"/>
      <c r="K1018" s="25"/>
      <c r="L1018" s="25"/>
      <c r="M1018" s="25"/>
      <c r="N1018" s="25"/>
      <c r="O1018" s="25"/>
      <c r="P1018" s="25"/>
    </row>
    <row r="1019" spans="1:16" x14ac:dyDescent="0.3">
      <c r="A1019" s="25"/>
      <c r="B1019" s="25"/>
      <c r="C1019" s="25"/>
      <c r="D1019" s="26"/>
      <c r="E1019" s="26"/>
      <c r="F1019" s="26"/>
      <c r="G1019" s="26"/>
      <c r="H1019" s="26"/>
      <c r="I1019" s="25"/>
      <c r="J1019" s="25"/>
      <c r="K1019" s="25"/>
      <c r="L1019" s="25"/>
      <c r="M1019" s="25"/>
      <c r="N1019" s="25"/>
      <c r="O1019" s="25"/>
      <c r="P1019" s="25"/>
    </row>
    <row r="1020" spans="1:16" x14ac:dyDescent="0.3">
      <c r="A1020" s="25"/>
      <c r="B1020" s="25"/>
      <c r="C1020" s="25"/>
      <c r="D1020" s="26"/>
      <c r="E1020" s="26"/>
      <c r="F1020" s="26"/>
      <c r="G1020" s="26"/>
      <c r="H1020" s="26"/>
      <c r="I1020" s="25"/>
      <c r="J1020" s="25"/>
      <c r="K1020" s="25"/>
      <c r="L1020" s="25"/>
      <c r="M1020" s="25"/>
      <c r="N1020" s="25"/>
      <c r="O1020" s="25"/>
      <c r="P1020" s="25"/>
    </row>
    <row r="1021" spans="1:16" x14ac:dyDescent="0.3">
      <c r="A1021" s="25"/>
      <c r="B1021" s="25"/>
      <c r="C1021" s="25"/>
      <c r="D1021" s="26"/>
      <c r="E1021" s="26"/>
      <c r="F1021" s="26"/>
      <c r="G1021" s="26"/>
      <c r="H1021" s="26"/>
      <c r="I1021" s="25"/>
      <c r="J1021" s="25"/>
      <c r="K1021" s="25"/>
      <c r="L1021" s="25"/>
      <c r="M1021" s="25"/>
      <c r="N1021" s="25"/>
      <c r="O1021" s="25"/>
      <c r="P1021" s="25"/>
    </row>
    <row r="1022" spans="1:16" x14ac:dyDescent="0.3">
      <c r="A1022" s="25"/>
      <c r="B1022" s="25"/>
      <c r="C1022" s="25"/>
      <c r="D1022" s="26"/>
      <c r="E1022" s="26"/>
      <c r="F1022" s="26"/>
      <c r="G1022" s="26"/>
      <c r="H1022" s="26"/>
      <c r="I1022" s="25"/>
      <c r="J1022" s="25"/>
      <c r="K1022" s="25"/>
      <c r="L1022" s="25"/>
      <c r="M1022" s="25"/>
      <c r="N1022" s="25"/>
      <c r="O1022" s="25"/>
      <c r="P1022" s="25"/>
    </row>
    <row r="1023" spans="1:16" x14ac:dyDescent="0.3">
      <c r="A1023" s="25"/>
      <c r="B1023" s="25"/>
      <c r="C1023" s="25"/>
      <c r="D1023" s="26"/>
      <c r="E1023" s="26"/>
      <c r="F1023" s="26"/>
      <c r="G1023" s="26"/>
      <c r="H1023" s="26"/>
      <c r="I1023" s="25"/>
      <c r="J1023" s="25"/>
      <c r="K1023" s="25"/>
      <c r="L1023" s="25"/>
      <c r="M1023" s="25"/>
      <c r="N1023" s="25"/>
      <c r="O1023" s="25"/>
      <c r="P1023" s="25"/>
    </row>
    <row r="1024" spans="1:16" x14ac:dyDescent="0.3">
      <c r="A1024" s="25"/>
      <c r="B1024" s="25"/>
      <c r="C1024" s="25"/>
      <c r="D1024" s="26"/>
      <c r="E1024" s="26"/>
      <c r="F1024" s="26"/>
      <c r="G1024" s="26"/>
      <c r="H1024" s="26"/>
      <c r="I1024" s="25"/>
      <c r="J1024" s="25"/>
      <c r="K1024" s="25"/>
      <c r="L1024" s="25"/>
      <c r="M1024" s="25"/>
      <c r="N1024" s="25"/>
      <c r="O1024" s="25"/>
      <c r="P1024" s="25"/>
    </row>
    <row r="1025" spans="1:16" x14ac:dyDescent="0.3">
      <c r="A1025" s="25"/>
      <c r="B1025" s="25"/>
      <c r="C1025" s="25"/>
      <c r="D1025" s="26"/>
      <c r="E1025" s="26"/>
      <c r="F1025" s="26"/>
      <c r="G1025" s="26"/>
      <c r="H1025" s="26"/>
      <c r="I1025" s="25"/>
      <c r="J1025" s="25"/>
      <c r="K1025" s="25"/>
      <c r="L1025" s="25"/>
      <c r="M1025" s="25"/>
      <c r="N1025" s="25"/>
      <c r="O1025" s="25"/>
      <c r="P1025" s="25"/>
    </row>
    <row r="1026" spans="1:16" x14ac:dyDescent="0.3">
      <c r="A1026" s="25"/>
      <c r="B1026" s="25"/>
      <c r="C1026" s="25"/>
      <c r="D1026" s="26"/>
      <c r="E1026" s="26"/>
      <c r="F1026" s="26"/>
      <c r="G1026" s="26"/>
      <c r="H1026" s="26"/>
      <c r="I1026" s="25"/>
      <c r="J1026" s="25"/>
      <c r="K1026" s="25"/>
      <c r="L1026" s="25"/>
      <c r="M1026" s="25"/>
      <c r="N1026" s="25"/>
      <c r="O1026" s="25"/>
      <c r="P1026" s="25"/>
    </row>
    <row r="1027" spans="1:16" x14ac:dyDescent="0.3">
      <c r="A1027" s="25"/>
      <c r="B1027" s="25"/>
      <c r="C1027" s="25"/>
      <c r="D1027" s="26"/>
      <c r="E1027" s="26"/>
      <c r="F1027" s="26"/>
      <c r="G1027" s="26"/>
      <c r="H1027" s="26"/>
      <c r="I1027" s="25"/>
      <c r="J1027" s="25"/>
      <c r="K1027" s="25"/>
      <c r="L1027" s="25"/>
      <c r="M1027" s="25"/>
      <c r="N1027" s="25"/>
      <c r="O1027" s="25"/>
      <c r="P1027" s="25"/>
    </row>
    <row r="1028" spans="1:16" x14ac:dyDescent="0.3">
      <c r="A1028" s="25"/>
      <c r="B1028" s="25"/>
      <c r="C1028" s="25"/>
      <c r="D1028" s="26"/>
      <c r="E1028" s="26"/>
      <c r="F1028" s="26"/>
      <c r="G1028" s="26"/>
      <c r="H1028" s="26"/>
      <c r="I1028" s="25"/>
      <c r="J1028" s="25"/>
      <c r="K1028" s="25"/>
      <c r="L1028" s="25"/>
      <c r="M1028" s="25"/>
      <c r="N1028" s="25"/>
      <c r="O1028" s="25"/>
      <c r="P1028" s="25"/>
    </row>
    <row r="1029" spans="1:16" x14ac:dyDescent="0.3">
      <c r="A1029" s="25"/>
      <c r="B1029" s="25"/>
      <c r="C1029" s="25"/>
      <c r="D1029" s="26"/>
      <c r="E1029" s="26"/>
      <c r="F1029" s="26"/>
      <c r="G1029" s="26"/>
      <c r="H1029" s="26"/>
      <c r="I1029" s="25"/>
      <c r="J1029" s="25"/>
      <c r="K1029" s="25"/>
      <c r="L1029" s="25"/>
      <c r="M1029" s="25"/>
      <c r="N1029" s="25"/>
      <c r="O1029" s="25"/>
      <c r="P1029" s="25"/>
    </row>
    <row r="1030" spans="1:16" x14ac:dyDescent="0.3">
      <c r="A1030" s="25"/>
      <c r="B1030" s="25"/>
      <c r="C1030" s="25"/>
      <c r="D1030" s="26"/>
      <c r="E1030" s="26"/>
      <c r="F1030" s="26"/>
      <c r="G1030" s="26"/>
      <c r="H1030" s="26"/>
      <c r="I1030" s="25"/>
      <c r="J1030" s="25"/>
      <c r="K1030" s="25"/>
      <c r="L1030" s="25"/>
      <c r="M1030" s="25"/>
      <c r="N1030" s="25"/>
      <c r="O1030" s="25"/>
      <c r="P1030" s="25"/>
    </row>
    <row r="1031" spans="1:16" x14ac:dyDescent="0.3">
      <c r="A1031" s="25"/>
      <c r="B1031" s="25"/>
      <c r="C1031" s="25"/>
      <c r="D1031" s="26"/>
      <c r="E1031" s="26"/>
      <c r="F1031" s="26"/>
      <c r="G1031" s="26"/>
      <c r="H1031" s="26"/>
      <c r="I1031" s="25"/>
      <c r="J1031" s="25"/>
      <c r="K1031" s="25"/>
      <c r="L1031" s="25"/>
      <c r="M1031" s="25"/>
      <c r="N1031" s="25"/>
      <c r="O1031" s="25"/>
      <c r="P1031" s="25"/>
    </row>
    <row r="1032" spans="1:16" x14ac:dyDescent="0.3">
      <c r="A1032" s="25"/>
      <c r="B1032" s="25"/>
      <c r="C1032" s="25"/>
      <c r="D1032" s="26"/>
      <c r="E1032" s="26"/>
      <c r="F1032" s="26"/>
      <c r="G1032" s="26"/>
      <c r="H1032" s="26"/>
      <c r="I1032" s="25"/>
      <c r="J1032" s="25"/>
      <c r="K1032" s="25"/>
      <c r="L1032" s="25"/>
      <c r="M1032" s="25"/>
      <c r="N1032" s="25"/>
      <c r="O1032" s="25"/>
      <c r="P1032" s="25"/>
    </row>
    <row r="1033" spans="1:16" x14ac:dyDescent="0.3">
      <c r="A1033" s="25"/>
      <c r="B1033" s="25"/>
      <c r="C1033" s="25"/>
      <c r="D1033" s="26"/>
      <c r="E1033" s="26"/>
      <c r="F1033" s="26"/>
      <c r="G1033" s="26"/>
      <c r="H1033" s="26"/>
      <c r="I1033" s="25"/>
      <c r="J1033" s="25"/>
      <c r="K1033" s="25"/>
      <c r="L1033" s="25"/>
      <c r="M1033" s="25"/>
      <c r="N1033" s="25"/>
      <c r="O1033" s="25"/>
      <c r="P1033" s="25"/>
    </row>
    <row r="1034" spans="1:16" x14ac:dyDescent="0.3">
      <c r="A1034" s="25"/>
      <c r="B1034" s="25"/>
      <c r="C1034" s="25"/>
      <c r="D1034" s="26"/>
      <c r="E1034" s="26"/>
      <c r="F1034" s="26"/>
      <c r="G1034" s="26"/>
      <c r="H1034" s="26"/>
      <c r="I1034" s="25"/>
      <c r="J1034" s="25"/>
      <c r="K1034" s="25"/>
      <c r="L1034" s="25"/>
      <c r="M1034" s="25"/>
      <c r="N1034" s="25"/>
      <c r="O1034" s="25"/>
      <c r="P1034" s="25"/>
    </row>
    <row r="1035" spans="1:16" x14ac:dyDescent="0.3">
      <c r="A1035" s="25"/>
      <c r="B1035" s="25"/>
      <c r="C1035" s="25"/>
      <c r="D1035" s="26"/>
      <c r="E1035" s="26"/>
      <c r="F1035" s="26"/>
      <c r="G1035" s="26"/>
      <c r="H1035" s="26"/>
      <c r="I1035" s="25"/>
      <c r="J1035" s="25"/>
      <c r="K1035" s="25"/>
      <c r="L1035" s="25"/>
      <c r="M1035" s="25"/>
      <c r="N1035" s="25"/>
      <c r="O1035" s="25"/>
      <c r="P1035" s="25"/>
    </row>
    <row r="1036" spans="1:16" x14ac:dyDescent="0.3">
      <c r="A1036" s="25"/>
      <c r="B1036" s="25"/>
      <c r="C1036" s="25"/>
      <c r="D1036" s="26"/>
      <c r="E1036" s="26"/>
      <c r="F1036" s="26"/>
      <c r="G1036" s="26"/>
      <c r="H1036" s="26"/>
      <c r="I1036" s="25"/>
      <c r="J1036" s="25"/>
      <c r="K1036" s="25"/>
      <c r="L1036" s="25"/>
      <c r="M1036" s="25"/>
      <c r="N1036" s="25"/>
      <c r="O1036" s="25"/>
      <c r="P1036" s="25"/>
    </row>
    <row r="1037" spans="1:16" x14ac:dyDescent="0.3">
      <c r="A1037" s="25"/>
      <c r="B1037" s="25"/>
      <c r="C1037" s="25"/>
      <c r="D1037" s="26"/>
      <c r="E1037" s="26"/>
      <c r="F1037" s="26"/>
      <c r="G1037" s="26"/>
      <c r="H1037" s="26"/>
      <c r="I1037" s="25"/>
      <c r="J1037" s="25"/>
      <c r="K1037" s="25"/>
      <c r="L1037" s="25"/>
      <c r="M1037" s="25"/>
      <c r="N1037" s="25"/>
      <c r="O1037" s="25"/>
      <c r="P1037" s="25"/>
    </row>
    <row r="1038" spans="1:16" x14ac:dyDescent="0.3">
      <c r="A1038" s="25"/>
      <c r="B1038" s="25"/>
      <c r="C1038" s="25"/>
      <c r="D1038" s="26"/>
      <c r="E1038" s="26"/>
      <c r="F1038" s="26"/>
      <c r="G1038" s="26"/>
      <c r="H1038" s="26"/>
      <c r="I1038" s="25"/>
      <c r="J1038" s="25"/>
      <c r="K1038" s="25"/>
      <c r="L1038" s="25"/>
      <c r="M1038" s="25"/>
      <c r="N1038" s="25"/>
      <c r="O1038" s="25"/>
      <c r="P1038" s="25"/>
    </row>
    <row r="1039" spans="1:16" x14ac:dyDescent="0.3">
      <c r="A1039" s="25"/>
      <c r="B1039" s="25"/>
      <c r="C1039" s="25"/>
      <c r="D1039" s="26"/>
      <c r="E1039" s="26"/>
      <c r="F1039" s="26"/>
      <c r="G1039" s="26"/>
      <c r="H1039" s="26"/>
      <c r="I1039" s="25"/>
      <c r="J1039" s="25"/>
      <c r="K1039" s="25"/>
      <c r="L1039" s="25"/>
      <c r="M1039" s="25"/>
      <c r="N1039" s="25"/>
      <c r="O1039" s="25"/>
      <c r="P1039" s="25"/>
    </row>
    <row r="1040" spans="1:16" x14ac:dyDescent="0.3">
      <c r="A1040" s="25"/>
      <c r="B1040" s="25"/>
      <c r="C1040" s="25"/>
      <c r="D1040" s="26"/>
      <c r="E1040" s="26"/>
      <c r="F1040" s="26"/>
      <c r="G1040" s="26"/>
      <c r="H1040" s="26"/>
      <c r="I1040" s="25"/>
      <c r="J1040" s="25"/>
      <c r="K1040" s="25"/>
      <c r="L1040" s="25"/>
      <c r="M1040" s="25"/>
      <c r="N1040" s="25"/>
      <c r="O1040" s="25"/>
      <c r="P1040" s="25"/>
    </row>
    <row r="1041" spans="1:16" x14ac:dyDescent="0.3">
      <c r="A1041" s="25"/>
      <c r="B1041" s="25"/>
      <c r="C1041" s="25"/>
      <c r="D1041" s="26"/>
      <c r="E1041" s="26"/>
      <c r="F1041" s="26"/>
      <c r="G1041" s="26"/>
      <c r="H1041" s="26"/>
      <c r="I1041" s="25"/>
      <c r="J1041" s="25"/>
      <c r="K1041" s="25"/>
      <c r="L1041" s="25"/>
      <c r="M1041" s="25"/>
      <c r="N1041" s="25"/>
      <c r="O1041" s="25"/>
      <c r="P1041" s="25"/>
    </row>
    <row r="1042" spans="1:16" x14ac:dyDescent="0.3">
      <c r="A1042" s="25"/>
      <c r="B1042" s="25"/>
      <c r="C1042" s="25"/>
      <c r="D1042" s="26"/>
      <c r="E1042" s="26"/>
      <c r="F1042" s="26"/>
      <c r="G1042" s="26"/>
      <c r="H1042" s="26"/>
      <c r="I1042" s="25"/>
      <c r="J1042" s="25"/>
      <c r="K1042" s="25"/>
      <c r="L1042" s="25"/>
      <c r="M1042" s="25"/>
      <c r="N1042" s="25"/>
      <c r="O1042" s="25"/>
      <c r="P1042" s="25"/>
    </row>
    <row r="1043" spans="1:16" x14ac:dyDescent="0.3">
      <c r="A1043" s="25"/>
      <c r="B1043" s="25"/>
      <c r="C1043" s="25"/>
      <c r="D1043" s="26"/>
      <c r="E1043" s="26"/>
      <c r="F1043" s="26"/>
      <c r="G1043" s="26"/>
      <c r="H1043" s="26"/>
      <c r="I1043" s="25"/>
      <c r="J1043" s="25"/>
      <c r="K1043" s="25"/>
      <c r="L1043" s="25"/>
      <c r="M1043" s="25"/>
      <c r="N1043" s="25"/>
      <c r="O1043" s="25"/>
      <c r="P1043" s="25"/>
    </row>
    <row r="1044" spans="1:16" x14ac:dyDescent="0.3">
      <c r="A1044" s="25"/>
      <c r="B1044" s="25"/>
      <c r="C1044" s="25"/>
      <c r="D1044" s="26"/>
      <c r="E1044" s="26"/>
      <c r="F1044" s="26"/>
      <c r="G1044" s="26"/>
      <c r="H1044" s="26"/>
      <c r="I1044" s="25"/>
      <c r="J1044" s="25"/>
      <c r="K1044" s="25"/>
      <c r="L1044" s="25"/>
      <c r="M1044" s="25"/>
      <c r="N1044" s="25"/>
      <c r="O1044" s="25"/>
      <c r="P1044" s="25"/>
    </row>
    <row r="1045" spans="1:16" x14ac:dyDescent="0.3">
      <c r="A1045" s="25"/>
      <c r="B1045" s="25"/>
      <c r="C1045" s="25"/>
      <c r="D1045" s="26"/>
      <c r="E1045" s="26"/>
      <c r="F1045" s="26"/>
      <c r="G1045" s="26"/>
      <c r="H1045" s="26"/>
      <c r="I1045" s="25"/>
      <c r="J1045" s="25"/>
      <c r="K1045" s="25"/>
      <c r="L1045" s="25"/>
      <c r="M1045" s="25"/>
      <c r="N1045" s="25"/>
      <c r="O1045" s="25"/>
      <c r="P1045" s="25"/>
    </row>
    <row r="1046" spans="1:16" x14ac:dyDescent="0.3">
      <c r="A1046" s="25"/>
      <c r="B1046" s="25"/>
      <c r="C1046" s="25"/>
      <c r="D1046" s="26"/>
      <c r="E1046" s="26"/>
      <c r="F1046" s="26"/>
      <c r="G1046" s="26"/>
      <c r="H1046" s="26"/>
      <c r="I1046" s="25"/>
      <c r="J1046" s="25"/>
      <c r="K1046" s="25"/>
      <c r="L1046" s="25"/>
      <c r="M1046" s="25"/>
      <c r="N1046" s="25"/>
      <c r="O1046" s="25"/>
      <c r="P1046" s="25"/>
    </row>
    <row r="1047" spans="1:16" x14ac:dyDescent="0.3">
      <c r="A1047" s="25"/>
      <c r="B1047" s="25"/>
      <c r="C1047" s="25"/>
      <c r="D1047" s="26"/>
      <c r="E1047" s="26"/>
      <c r="F1047" s="26"/>
      <c r="G1047" s="26"/>
      <c r="H1047" s="26"/>
      <c r="I1047" s="25"/>
      <c r="J1047" s="25"/>
      <c r="K1047" s="25"/>
      <c r="L1047" s="25"/>
      <c r="M1047" s="25"/>
      <c r="N1047" s="25"/>
      <c r="O1047" s="25"/>
      <c r="P1047" s="25"/>
    </row>
    <row r="1048" spans="1:16" x14ac:dyDescent="0.3">
      <c r="A1048" s="25"/>
      <c r="B1048" s="25"/>
      <c r="C1048" s="25"/>
      <c r="D1048" s="26"/>
      <c r="E1048" s="26"/>
      <c r="F1048" s="26"/>
      <c r="G1048" s="26"/>
      <c r="H1048" s="26"/>
      <c r="I1048" s="25"/>
      <c r="J1048" s="25"/>
      <c r="K1048" s="25"/>
      <c r="L1048" s="25"/>
      <c r="M1048" s="25"/>
      <c r="N1048" s="25"/>
      <c r="O1048" s="25"/>
      <c r="P1048" s="25"/>
    </row>
    <row r="1049" spans="1:16" x14ac:dyDescent="0.3">
      <c r="A1049" s="25"/>
      <c r="B1049" s="25"/>
      <c r="C1049" s="25"/>
      <c r="D1049" s="26"/>
      <c r="E1049" s="26"/>
      <c r="F1049" s="26"/>
      <c r="G1049" s="26"/>
      <c r="H1049" s="26"/>
      <c r="I1049" s="25"/>
      <c r="J1049" s="25"/>
      <c r="K1049" s="25"/>
      <c r="L1049" s="25"/>
      <c r="M1049" s="25"/>
      <c r="N1049" s="25"/>
      <c r="O1049" s="25"/>
      <c r="P1049" s="25"/>
    </row>
    <row r="1050" spans="1:16" x14ac:dyDescent="0.3">
      <c r="A1050" s="25"/>
      <c r="B1050" s="25"/>
      <c r="C1050" s="25"/>
      <c r="D1050" s="26"/>
      <c r="E1050" s="26"/>
      <c r="F1050" s="26"/>
      <c r="G1050" s="26"/>
      <c r="H1050" s="26"/>
      <c r="I1050" s="25"/>
      <c r="J1050" s="25"/>
      <c r="K1050" s="25"/>
      <c r="L1050" s="25"/>
      <c r="M1050" s="25"/>
      <c r="N1050" s="25"/>
      <c r="O1050" s="25"/>
      <c r="P1050" s="25"/>
    </row>
    <row r="1051" spans="1:16" x14ac:dyDescent="0.3">
      <c r="A1051" s="25"/>
      <c r="B1051" s="25"/>
      <c r="C1051" s="25"/>
      <c r="D1051" s="26"/>
      <c r="E1051" s="26"/>
      <c r="F1051" s="26"/>
      <c r="G1051" s="26"/>
      <c r="H1051" s="26"/>
      <c r="I1051" s="25"/>
      <c r="J1051" s="25"/>
      <c r="K1051" s="25"/>
      <c r="L1051" s="25"/>
      <c r="M1051" s="25"/>
      <c r="N1051" s="25"/>
      <c r="O1051" s="25"/>
      <c r="P1051" s="25"/>
    </row>
    <row r="1052" spans="1:16" x14ac:dyDescent="0.3">
      <c r="A1052" s="25"/>
      <c r="B1052" s="25"/>
      <c r="C1052" s="25"/>
      <c r="D1052" s="26"/>
      <c r="E1052" s="26"/>
      <c r="F1052" s="26"/>
      <c r="G1052" s="26"/>
      <c r="H1052" s="26"/>
      <c r="I1052" s="25"/>
      <c r="J1052" s="25"/>
      <c r="K1052" s="25"/>
      <c r="L1052" s="25"/>
      <c r="M1052" s="25"/>
      <c r="N1052" s="25"/>
      <c r="O1052" s="25"/>
      <c r="P1052" s="25"/>
    </row>
    <row r="1053" spans="1:16" x14ac:dyDescent="0.3">
      <c r="A1053" s="25"/>
      <c r="B1053" s="25"/>
      <c r="C1053" s="25"/>
      <c r="D1053" s="26"/>
      <c r="E1053" s="26"/>
      <c r="F1053" s="26"/>
      <c r="G1053" s="26"/>
      <c r="H1053" s="26"/>
      <c r="I1053" s="25"/>
      <c r="J1053" s="25"/>
      <c r="K1053" s="25"/>
      <c r="L1053" s="25"/>
      <c r="M1053" s="25"/>
      <c r="N1053" s="25"/>
      <c r="O1053" s="25"/>
      <c r="P1053" s="25"/>
    </row>
    <row r="1054" spans="1:16" x14ac:dyDescent="0.3">
      <c r="A1054" s="25"/>
      <c r="B1054" s="25"/>
      <c r="C1054" s="25"/>
      <c r="D1054" s="26"/>
      <c r="E1054" s="26"/>
      <c r="F1054" s="26"/>
      <c r="G1054" s="26"/>
      <c r="H1054" s="26"/>
      <c r="I1054" s="25"/>
      <c r="J1054" s="25"/>
      <c r="K1054" s="25"/>
      <c r="L1054" s="25"/>
      <c r="M1054" s="25"/>
      <c r="N1054" s="25"/>
      <c r="O1054" s="25"/>
      <c r="P1054" s="25"/>
    </row>
    <row r="1055" spans="1:16" x14ac:dyDescent="0.3">
      <c r="A1055" s="25"/>
      <c r="B1055" s="25"/>
      <c r="C1055" s="25"/>
      <c r="D1055" s="26"/>
      <c r="E1055" s="26"/>
      <c r="F1055" s="26"/>
      <c r="G1055" s="26"/>
      <c r="H1055" s="26"/>
      <c r="I1055" s="25"/>
      <c r="J1055" s="25"/>
      <c r="K1055" s="25"/>
      <c r="L1055" s="25"/>
      <c r="M1055" s="25"/>
      <c r="N1055" s="25"/>
      <c r="O1055" s="25"/>
      <c r="P1055" s="25"/>
    </row>
    <row r="1056" spans="1:16" x14ac:dyDescent="0.3">
      <c r="A1056" s="25"/>
      <c r="B1056" s="25"/>
      <c r="C1056" s="25"/>
      <c r="D1056" s="26"/>
      <c r="E1056" s="26"/>
      <c r="F1056" s="26"/>
      <c r="G1056" s="26"/>
      <c r="H1056" s="26"/>
      <c r="I1056" s="25"/>
      <c r="J1056" s="25"/>
      <c r="K1056" s="25"/>
      <c r="L1056" s="25"/>
      <c r="M1056" s="25"/>
      <c r="N1056" s="25"/>
      <c r="O1056" s="25"/>
      <c r="P1056" s="25"/>
    </row>
    <row r="1057" spans="1:16" x14ac:dyDescent="0.3">
      <c r="A1057" s="25"/>
      <c r="B1057" s="25"/>
      <c r="C1057" s="25"/>
      <c r="D1057" s="26"/>
      <c r="E1057" s="26"/>
      <c r="F1057" s="26"/>
      <c r="G1057" s="26"/>
      <c r="H1057" s="26"/>
      <c r="I1057" s="25"/>
      <c r="J1057" s="25"/>
      <c r="K1057" s="25"/>
      <c r="L1057" s="25"/>
      <c r="M1057" s="25"/>
      <c r="N1057" s="25"/>
      <c r="O1057" s="25"/>
      <c r="P1057" s="25"/>
    </row>
    <row r="1058" spans="1:16" x14ac:dyDescent="0.3">
      <c r="A1058" s="25"/>
      <c r="B1058" s="25"/>
      <c r="C1058" s="25"/>
      <c r="D1058" s="26"/>
      <c r="E1058" s="26"/>
      <c r="F1058" s="26"/>
      <c r="G1058" s="26"/>
      <c r="H1058" s="26"/>
      <c r="I1058" s="25"/>
      <c r="J1058" s="25"/>
      <c r="K1058" s="25"/>
      <c r="L1058" s="25"/>
      <c r="M1058" s="25"/>
      <c r="N1058" s="25"/>
      <c r="O1058" s="25"/>
      <c r="P1058" s="25"/>
    </row>
    <row r="1059" spans="1:16" x14ac:dyDescent="0.3">
      <c r="A1059" s="25"/>
      <c r="B1059" s="25"/>
      <c r="C1059" s="25"/>
      <c r="D1059" s="26"/>
      <c r="E1059" s="26"/>
      <c r="F1059" s="26"/>
      <c r="G1059" s="26"/>
      <c r="H1059" s="26"/>
      <c r="I1059" s="25"/>
      <c r="J1059" s="25"/>
      <c r="K1059" s="25"/>
      <c r="L1059" s="25"/>
      <c r="M1059" s="25"/>
      <c r="N1059" s="25"/>
      <c r="O1059" s="25"/>
      <c r="P1059" s="25"/>
    </row>
    <row r="1060" spans="1:16" x14ac:dyDescent="0.3">
      <c r="A1060" s="25"/>
      <c r="B1060" s="25"/>
      <c r="C1060" s="25"/>
      <c r="D1060" s="26"/>
      <c r="E1060" s="26"/>
      <c r="F1060" s="26"/>
      <c r="G1060" s="26"/>
      <c r="H1060" s="26"/>
      <c r="I1060" s="25"/>
      <c r="J1060" s="25"/>
      <c r="K1060" s="25"/>
      <c r="L1060" s="25"/>
      <c r="M1060" s="25"/>
      <c r="N1060" s="25"/>
      <c r="O1060" s="25"/>
      <c r="P1060" s="25"/>
    </row>
    <row r="1061" spans="1:16" x14ac:dyDescent="0.3">
      <c r="A1061" s="25"/>
      <c r="B1061" s="25"/>
      <c r="C1061" s="25"/>
      <c r="D1061" s="26"/>
      <c r="E1061" s="26"/>
      <c r="F1061" s="26"/>
      <c r="G1061" s="26"/>
      <c r="H1061" s="26"/>
      <c r="I1061" s="25"/>
      <c r="J1061" s="25"/>
      <c r="K1061" s="25"/>
      <c r="L1061" s="25"/>
      <c r="M1061" s="25"/>
      <c r="N1061" s="25"/>
      <c r="O1061" s="25"/>
      <c r="P1061" s="25"/>
    </row>
    <row r="1062" spans="1:16" x14ac:dyDescent="0.3">
      <c r="A1062" s="25"/>
      <c r="B1062" s="25"/>
      <c r="C1062" s="25"/>
      <c r="D1062" s="26"/>
      <c r="E1062" s="26"/>
      <c r="F1062" s="26"/>
      <c r="G1062" s="26"/>
      <c r="H1062" s="26"/>
      <c r="I1062" s="25"/>
      <c r="J1062" s="25"/>
      <c r="K1062" s="25"/>
      <c r="L1062" s="25"/>
      <c r="M1062" s="25"/>
      <c r="N1062" s="25"/>
      <c r="O1062" s="25"/>
      <c r="P1062" s="25"/>
    </row>
    <row r="1063" spans="1:16" x14ac:dyDescent="0.3">
      <c r="A1063" s="25"/>
      <c r="B1063" s="25"/>
      <c r="C1063" s="25"/>
      <c r="D1063" s="26"/>
      <c r="E1063" s="26"/>
      <c r="F1063" s="26"/>
      <c r="G1063" s="26"/>
      <c r="H1063" s="26"/>
      <c r="I1063" s="25"/>
      <c r="J1063" s="25"/>
      <c r="K1063" s="25"/>
      <c r="L1063" s="25"/>
      <c r="M1063" s="25"/>
      <c r="N1063" s="25"/>
      <c r="O1063" s="25"/>
      <c r="P1063" s="25"/>
    </row>
    <row r="1064" spans="1:16" x14ac:dyDescent="0.3">
      <c r="A1064" s="25"/>
      <c r="B1064" s="25"/>
      <c r="C1064" s="25"/>
      <c r="D1064" s="26"/>
      <c r="E1064" s="26"/>
      <c r="F1064" s="26"/>
      <c r="G1064" s="26"/>
      <c r="H1064" s="26"/>
      <c r="I1064" s="25"/>
      <c r="J1064" s="25"/>
      <c r="K1064" s="25"/>
      <c r="L1064" s="25"/>
      <c r="M1064" s="25"/>
      <c r="N1064" s="25"/>
      <c r="O1064" s="25"/>
      <c r="P1064" s="25"/>
    </row>
    <row r="1065" spans="1:16" x14ac:dyDescent="0.3">
      <c r="A1065" s="25"/>
      <c r="B1065" s="25"/>
      <c r="C1065" s="25"/>
      <c r="D1065" s="26"/>
      <c r="E1065" s="26"/>
      <c r="F1065" s="26"/>
      <c r="G1065" s="26"/>
      <c r="H1065" s="26"/>
      <c r="I1065" s="25"/>
      <c r="J1065" s="25"/>
      <c r="K1065" s="25"/>
      <c r="L1065" s="25"/>
      <c r="M1065" s="25"/>
      <c r="N1065" s="25"/>
      <c r="O1065" s="25"/>
      <c r="P1065" s="25"/>
    </row>
    <row r="1066" spans="1:16" x14ac:dyDescent="0.3">
      <c r="A1066" s="25"/>
      <c r="B1066" s="25"/>
      <c r="C1066" s="25"/>
      <c r="D1066" s="26"/>
      <c r="E1066" s="26"/>
      <c r="F1066" s="26"/>
      <c r="G1066" s="26"/>
      <c r="H1066" s="26"/>
      <c r="I1066" s="25"/>
      <c r="J1066" s="25"/>
      <c r="K1066" s="25"/>
      <c r="L1066" s="25"/>
      <c r="M1066" s="25"/>
      <c r="N1066" s="25"/>
      <c r="O1066" s="25"/>
      <c r="P1066" s="25"/>
    </row>
    <row r="1067" spans="1:16" x14ac:dyDescent="0.3">
      <c r="A1067" s="25"/>
      <c r="B1067" s="25"/>
      <c r="C1067" s="25"/>
      <c r="D1067" s="26"/>
      <c r="E1067" s="26"/>
      <c r="F1067" s="26"/>
      <c r="G1067" s="26"/>
      <c r="H1067" s="26"/>
      <c r="I1067" s="25"/>
      <c r="J1067" s="25"/>
      <c r="K1067" s="25"/>
      <c r="L1067" s="25"/>
      <c r="M1067" s="25"/>
      <c r="N1067" s="25"/>
      <c r="O1067" s="25"/>
      <c r="P1067" s="25"/>
    </row>
    <row r="1068" spans="1:16" x14ac:dyDescent="0.3">
      <c r="A1068" s="25"/>
      <c r="B1068" s="25"/>
      <c r="C1068" s="25"/>
      <c r="D1068" s="26"/>
      <c r="E1068" s="26"/>
      <c r="F1068" s="26"/>
      <c r="G1068" s="26"/>
      <c r="H1068" s="26"/>
      <c r="I1068" s="25"/>
      <c r="J1068" s="25"/>
      <c r="K1068" s="25"/>
      <c r="L1068" s="25"/>
      <c r="M1068" s="25"/>
      <c r="N1068" s="25"/>
      <c r="O1068" s="25"/>
      <c r="P1068" s="25"/>
    </row>
    <row r="1069" spans="1:16" x14ac:dyDescent="0.3">
      <c r="A1069" s="25"/>
      <c r="B1069" s="25"/>
      <c r="C1069" s="25"/>
      <c r="D1069" s="26"/>
      <c r="E1069" s="26"/>
      <c r="F1069" s="26"/>
      <c r="G1069" s="26"/>
      <c r="H1069" s="26"/>
      <c r="I1069" s="25"/>
      <c r="J1069" s="25"/>
      <c r="K1069" s="25"/>
      <c r="L1069" s="25"/>
      <c r="M1069" s="25"/>
      <c r="N1069" s="25"/>
      <c r="O1069" s="25"/>
      <c r="P1069" s="25"/>
    </row>
    <row r="1070" spans="1:16" x14ac:dyDescent="0.3">
      <c r="A1070" s="25"/>
      <c r="B1070" s="25"/>
      <c r="C1070" s="25"/>
      <c r="D1070" s="26"/>
      <c r="E1070" s="26"/>
      <c r="F1070" s="26"/>
      <c r="G1070" s="26"/>
      <c r="H1070" s="26"/>
      <c r="I1070" s="25"/>
      <c r="J1070" s="25"/>
      <c r="K1070" s="25"/>
      <c r="L1070" s="25"/>
      <c r="M1070" s="25"/>
      <c r="N1070" s="25"/>
      <c r="O1070" s="25"/>
      <c r="P1070" s="25"/>
    </row>
    <row r="1071" spans="1:16" x14ac:dyDescent="0.3">
      <c r="A1071" s="25"/>
      <c r="B1071" s="25"/>
      <c r="C1071" s="25"/>
      <c r="D1071" s="26"/>
      <c r="E1071" s="26"/>
      <c r="F1071" s="26"/>
      <c r="G1071" s="26"/>
      <c r="H1071" s="26"/>
      <c r="I1071" s="25"/>
      <c r="J1071" s="25"/>
      <c r="K1071" s="25"/>
      <c r="L1071" s="25"/>
      <c r="M1071" s="25"/>
      <c r="N1071" s="25"/>
      <c r="O1071" s="25"/>
      <c r="P1071" s="25"/>
    </row>
    <row r="1072" spans="1:16" x14ac:dyDescent="0.3">
      <c r="A1072" s="25"/>
      <c r="B1072" s="25"/>
      <c r="C1072" s="25"/>
      <c r="D1072" s="26"/>
      <c r="E1072" s="26"/>
      <c r="F1072" s="26"/>
      <c r="G1072" s="26"/>
      <c r="H1072" s="26"/>
      <c r="I1072" s="25"/>
      <c r="J1072" s="25"/>
      <c r="K1072" s="25"/>
      <c r="L1072" s="25"/>
      <c r="M1072" s="25"/>
      <c r="N1072" s="25"/>
      <c r="O1072" s="25"/>
      <c r="P1072" s="25"/>
    </row>
    <row r="1073" spans="1:16" x14ac:dyDescent="0.3">
      <c r="A1073" s="25"/>
      <c r="B1073" s="25"/>
      <c r="C1073" s="25"/>
      <c r="D1073" s="26"/>
      <c r="E1073" s="26"/>
      <c r="F1073" s="26"/>
      <c r="G1073" s="26"/>
      <c r="H1073" s="26"/>
      <c r="I1073" s="25"/>
      <c r="J1073" s="25"/>
      <c r="K1073" s="25"/>
      <c r="L1073" s="25"/>
      <c r="M1073" s="25"/>
      <c r="N1073" s="25"/>
      <c r="O1073" s="25"/>
      <c r="P1073" s="25"/>
    </row>
    <row r="1074" spans="1:16" x14ac:dyDescent="0.3">
      <c r="A1074" s="25"/>
      <c r="B1074" s="25"/>
      <c r="C1074" s="25"/>
      <c r="D1074" s="26"/>
      <c r="E1074" s="26"/>
      <c r="F1074" s="26"/>
      <c r="G1074" s="26"/>
      <c r="H1074" s="26"/>
      <c r="I1074" s="25"/>
      <c r="J1074" s="25"/>
      <c r="K1074" s="25"/>
      <c r="L1074" s="25"/>
      <c r="M1074" s="25"/>
      <c r="N1074" s="25"/>
      <c r="O1074" s="25"/>
      <c r="P1074" s="25"/>
    </row>
    <row r="1075" spans="1:16" x14ac:dyDescent="0.3">
      <c r="A1075" s="25"/>
      <c r="B1075" s="25"/>
      <c r="C1075" s="25"/>
      <c r="D1075" s="26"/>
      <c r="E1075" s="26"/>
      <c r="F1075" s="26"/>
      <c r="G1075" s="26"/>
      <c r="H1075" s="26"/>
      <c r="I1075" s="25"/>
      <c r="J1075" s="25"/>
      <c r="K1075" s="25"/>
      <c r="L1075" s="25"/>
      <c r="M1075" s="25"/>
      <c r="N1075" s="25"/>
      <c r="O1075" s="25"/>
      <c r="P1075" s="25"/>
    </row>
    <row r="1076" spans="1:16" x14ac:dyDescent="0.3">
      <c r="A1076" s="25"/>
      <c r="B1076" s="25"/>
      <c r="C1076" s="25"/>
      <c r="D1076" s="26"/>
      <c r="E1076" s="26"/>
      <c r="F1076" s="26"/>
      <c r="G1076" s="26"/>
      <c r="H1076" s="26"/>
      <c r="I1076" s="25"/>
      <c r="J1076" s="25"/>
      <c r="K1076" s="25"/>
      <c r="L1076" s="25"/>
      <c r="M1076" s="25"/>
      <c r="N1076" s="25"/>
      <c r="O1076" s="25"/>
      <c r="P1076" s="25"/>
    </row>
    <row r="1077" spans="1:16" x14ac:dyDescent="0.3">
      <c r="A1077" s="25"/>
      <c r="B1077" s="25"/>
      <c r="C1077" s="25"/>
      <c r="D1077" s="26"/>
      <c r="E1077" s="26"/>
      <c r="F1077" s="26"/>
      <c r="G1077" s="26"/>
      <c r="H1077" s="26"/>
      <c r="I1077" s="25"/>
      <c r="J1077" s="25"/>
      <c r="K1077" s="25"/>
      <c r="L1077" s="25"/>
      <c r="M1077" s="25"/>
      <c r="N1077" s="25"/>
      <c r="O1077" s="25"/>
      <c r="P1077" s="25"/>
    </row>
    <row r="1078" spans="1:16" x14ac:dyDescent="0.3">
      <c r="A1078" s="25"/>
      <c r="B1078" s="25"/>
      <c r="C1078" s="25"/>
      <c r="D1078" s="26"/>
      <c r="E1078" s="26"/>
      <c r="F1078" s="26"/>
      <c r="G1078" s="26"/>
      <c r="H1078" s="26"/>
      <c r="I1078" s="25"/>
      <c r="J1078" s="25"/>
      <c r="K1078" s="25"/>
      <c r="L1078" s="25"/>
      <c r="M1078" s="25"/>
      <c r="N1078" s="25"/>
      <c r="O1078" s="25"/>
      <c r="P1078" s="25"/>
    </row>
    <row r="1079" spans="1:16" x14ac:dyDescent="0.3">
      <c r="A1079" s="25"/>
      <c r="B1079" s="25"/>
      <c r="C1079" s="25"/>
      <c r="D1079" s="26"/>
      <c r="E1079" s="26"/>
      <c r="F1079" s="26"/>
      <c r="G1079" s="26"/>
      <c r="H1079" s="26"/>
      <c r="I1079" s="25"/>
      <c r="J1079" s="25"/>
      <c r="K1079" s="25"/>
      <c r="L1079" s="25"/>
      <c r="M1079" s="25"/>
      <c r="N1079" s="25"/>
      <c r="O1079" s="25"/>
      <c r="P1079" s="25"/>
    </row>
    <row r="1080" spans="1:16" x14ac:dyDescent="0.3">
      <c r="A1080" s="25"/>
      <c r="B1080" s="25"/>
      <c r="C1080" s="25"/>
      <c r="D1080" s="26"/>
      <c r="E1080" s="26"/>
      <c r="F1080" s="26"/>
      <c r="G1080" s="26"/>
      <c r="H1080" s="26"/>
      <c r="I1080" s="25"/>
      <c r="J1080" s="25"/>
      <c r="K1080" s="25"/>
      <c r="L1080" s="25"/>
      <c r="M1080" s="25"/>
      <c r="N1080" s="25"/>
      <c r="O1080" s="25"/>
      <c r="P1080" s="25"/>
    </row>
    <row r="1081" spans="1:16" x14ac:dyDescent="0.3">
      <c r="A1081" s="25"/>
      <c r="B1081" s="25"/>
      <c r="C1081" s="25"/>
      <c r="D1081" s="26"/>
      <c r="E1081" s="26"/>
      <c r="F1081" s="26"/>
      <c r="G1081" s="26"/>
      <c r="H1081" s="26"/>
      <c r="I1081" s="25"/>
      <c r="J1081" s="25"/>
      <c r="K1081" s="25"/>
      <c r="L1081" s="25"/>
      <c r="M1081" s="25"/>
      <c r="N1081" s="25"/>
      <c r="O1081" s="25"/>
      <c r="P1081" s="25"/>
    </row>
    <row r="1082" spans="1:16" x14ac:dyDescent="0.3">
      <c r="A1082" s="25"/>
      <c r="B1082" s="25"/>
      <c r="C1082" s="25"/>
      <c r="D1082" s="26"/>
      <c r="E1082" s="26"/>
      <c r="F1082" s="26"/>
      <c r="G1082" s="26"/>
      <c r="H1082" s="26"/>
      <c r="I1082" s="25"/>
      <c r="J1082" s="25"/>
      <c r="K1082" s="25"/>
      <c r="L1082" s="25"/>
      <c r="M1082" s="25"/>
      <c r="N1082" s="25"/>
      <c r="O1082" s="25"/>
      <c r="P1082" s="25"/>
    </row>
    <row r="1083" spans="1:16" x14ac:dyDescent="0.3">
      <c r="A1083" s="25"/>
      <c r="B1083" s="25"/>
      <c r="C1083" s="25"/>
      <c r="D1083" s="26"/>
      <c r="E1083" s="26"/>
      <c r="F1083" s="26"/>
      <c r="G1083" s="26"/>
      <c r="H1083" s="26"/>
      <c r="I1083" s="25"/>
      <c r="J1083" s="25"/>
      <c r="K1083" s="25"/>
      <c r="L1083" s="25"/>
      <c r="M1083" s="25"/>
      <c r="N1083" s="25"/>
      <c r="O1083" s="25"/>
      <c r="P1083" s="25"/>
    </row>
    <row r="1084" spans="1:16" x14ac:dyDescent="0.3">
      <c r="A1084" s="25"/>
      <c r="B1084" s="25"/>
      <c r="C1084" s="25"/>
      <c r="D1084" s="26"/>
      <c r="E1084" s="26"/>
      <c r="F1084" s="26"/>
      <c r="G1084" s="26"/>
      <c r="H1084" s="26"/>
      <c r="I1084" s="25"/>
      <c r="J1084" s="25"/>
      <c r="K1084" s="25"/>
      <c r="L1084" s="25"/>
      <c r="M1084" s="25"/>
      <c r="N1084" s="25"/>
      <c r="O1084" s="25"/>
      <c r="P1084" s="25"/>
    </row>
    <row r="1085" spans="1:16" x14ac:dyDescent="0.3">
      <c r="A1085" s="25"/>
      <c r="B1085" s="25"/>
      <c r="C1085" s="25"/>
      <c r="D1085" s="26"/>
      <c r="E1085" s="26"/>
      <c r="F1085" s="26"/>
      <c r="G1085" s="26"/>
      <c r="H1085" s="26"/>
      <c r="I1085" s="25"/>
      <c r="J1085" s="25"/>
      <c r="K1085" s="25"/>
      <c r="L1085" s="25"/>
      <c r="M1085" s="25"/>
      <c r="N1085" s="25"/>
      <c r="O1085" s="25"/>
      <c r="P1085" s="25"/>
    </row>
    <row r="1086" spans="1:16" x14ac:dyDescent="0.3">
      <c r="A1086" s="25"/>
      <c r="B1086" s="25"/>
      <c r="C1086" s="25"/>
      <c r="D1086" s="26"/>
      <c r="E1086" s="26"/>
      <c r="F1086" s="26"/>
      <c r="G1086" s="26"/>
      <c r="H1086" s="26"/>
      <c r="I1086" s="25"/>
      <c r="J1086" s="25"/>
      <c r="K1086" s="25"/>
      <c r="L1086" s="25"/>
      <c r="M1086" s="25"/>
      <c r="N1086" s="25"/>
      <c r="O1086" s="25"/>
      <c r="P1086" s="25"/>
    </row>
    <row r="1087" spans="1:16" x14ac:dyDescent="0.3">
      <c r="A1087" s="25"/>
      <c r="B1087" s="25"/>
      <c r="C1087" s="25"/>
      <c r="D1087" s="26"/>
      <c r="E1087" s="26"/>
      <c r="F1087" s="26"/>
      <c r="G1087" s="26"/>
      <c r="H1087" s="26"/>
      <c r="I1087" s="25"/>
      <c r="J1087" s="25"/>
      <c r="K1087" s="25"/>
      <c r="L1087" s="25"/>
      <c r="M1087" s="25"/>
      <c r="N1087" s="25"/>
      <c r="O1087" s="25"/>
      <c r="P1087" s="25"/>
    </row>
    <row r="1088" spans="1:16" x14ac:dyDescent="0.3">
      <c r="A1088" s="25"/>
      <c r="B1088" s="25"/>
      <c r="C1088" s="25"/>
      <c r="D1088" s="26"/>
      <c r="E1088" s="26"/>
      <c r="F1088" s="26"/>
      <c r="G1088" s="26"/>
      <c r="H1088" s="26"/>
      <c r="I1088" s="25"/>
      <c r="J1088" s="25"/>
      <c r="K1088" s="25"/>
      <c r="L1088" s="25"/>
      <c r="M1088" s="25"/>
      <c r="N1088" s="25"/>
      <c r="O1088" s="25"/>
      <c r="P1088" s="25"/>
    </row>
    <row r="1089" spans="1:16" x14ac:dyDescent="0.3">
      <c r="A1089" s="25"/>
      <c r="B1089" s="25"/>
      <c r="C1089" s="25"/>
      <c r="D1089" s="26"/>
      <c r="E1089" s="26"/>
      <c r="F1089" s="26"/>
      <c r="G1089" s="26"/>
      <c r="H1089" s="26"/>
      <c r="I1089" s="25"/>
      <c r="J1089" s="25"/>
      <c r="K1089" s="25"/>
      <c r="L1089" s="25"/>
      <c r="M1089" s="25"/>
      <c r="N1089" s="25"/>
      <c r="O1089" s="25"/>
      <c r="P1089" s="25"/>
    </row>
    <row r="1090" spans="1:16" x14ac:dyDescent="0.3">
      <c r="A1090" s="25"/>
      <c r="B1090" s="25"/>
      <c r="C1090" s="25"/>
      <c r="D1090" s="26"/>
      <c r="E1090" s="26"/>
      <c r="F1090" s="26"/>
      <c r="G1090" s="26"/>
      <c r="H1090" s="26"/>
      <c r="I1090" s="25"/>
      <c r="J1090" s="25"/>
      <c r="K1090" s="25"/>
      <c r="L1090" s="25"/>
      <c r="M1090" s="25"/>
      <c r="N1090" s="25"/>
      <c r="O1090" s="25"/>
      <c r="P1090" s="25"/>
    </row>
    <row r="1091" spans="1:16" x14ac:dyDescent="0.3">
      <c r="A1091" s="25"/>
      <c r="B1091" s="25"/>
      <c r="C1091" s="25"/>
      <c r="D1091" s="26"/>
      <c r="E1091" s="26"/>
      <c r="F1091" s="26"/>
      <c r="G1091" s="26"/>
      <c r="H1091" s="26"/>
      <c r="I1091" s="25"/>
      <c r="J1091" s="25"/>
      <c r="K1091" s="25"/>
      <c r="L1091" s="25"/>
      <c r="M1091" s="25"/>
      <c r="N1091" s="25"/>
      <c r="O1091" s="25"/>
      <c r="P1091" s="25"/>
    </row>
    <row r="1092" spans="1:16" x14ac:dyDescent="0.3">
      <c r="A1092" s="25"/>
      <c r="B1092" s="25"/>
      <c r="C1092" s="25"/>
      <c r="D1092" s="26"/>
      <c r="E1092" s="26"/>
      <c r="F1092" s="26"/>
      <c r="G1092" s="26"/>
      <c r="H1092" s="26"/>
      <c r="I1092" s="25"/>
      <c r="J1092" s="25"/>
      <c r="K1092" s="25"/>
      <c r="L1092" s="25"/>
      <c r="M1092" s="25"/>
      <c r="N1092" s="25"/>
      <c r="O1092" s="25"/>
      <c r="P1092" s="25"/>
    </row>
    <row r="1093" spans="1:16" x14ac:dyDescent="0.3">
      <c r="A1093" s="25"/>
      <c r="B1093" s="25"/>
      <c r="C1093" s="25"/>
      <c r="D1093" s="26"/>
      <c r="E1093" s="26"/>
      <c r="F1093" s="26"/>
      <c r="G1093" s="26"/>
      <c r="H1093" s="26"/>
      <c r="I1093" s="25"/>
      <c r="J1093" s="25"/>
      <c r="K1093" s="25"/>
      <c r="L1093" s="25"/>
      <c r="M1093" s="25"/>
      <c r="N1093" s="25"/>
      <c r="O1093" s="25"/>
      <c r="P1093" s="25"/>
    </row>
    <row r="1094" spans="1:16" x14ac:dyDescent="0.3">
      <c r="A1094" s="25"/>
      <c r="B1094" s="25"/>
      <c r="C1094" s="25"/>
      <c r="D1094" s="26"/>
      <c r="E1094" s="26"/>
      <c r="F1094" s="26"/>
      <c r="G1094" s="26"/>
      <c r="H1094" s="26"/>
      <c r="I1094" s="25"/>
      <c r="J1094" s="25"/>
      <c r="K1094" s="25"/>
      <c r="L1094" s="25"/>
      <c r="M1094" s="25"/>
      <c r="N1094" s="25"/>
      <c r="O1094" s="25"/>
      <c r="P1094" s="25"/>
    </row>
    <row r="1095" spans="1:16" x14ac:dyDescent="0.3">
      <c r="A1095" s="25"/>
      <c r="B1095" s="25"/>
      <c r="C1095" s="25"/>
      <c r="D1095" s="26"/>
      <c r="E1095" s="26"/>
      <c r="F1095" s="26"/>
      <c r="G1095" s="26"/>
      <c r="H1095" s="26"/>
      <c r="I1095" s="25"/>
      <c r="J1095" s="25"/>
      <c r="K1095" s="25"/>
      <c r="L1095" s="25"/>
      <c r="M1095" s="25"/>
      <c r="N1095" s="25"/>
      <c r="O1095" s="25"/>
      <c r="P1095" s="25"/>
    </row>
    <row r="1096" spans="1:16" x14ac:dyDescent="0.3">
      <c r="A1096" s="25"/>
      <c r="B1096" s="25"/>
      <c r="C1096" s="25"/>
      <c r="D1096" s="26"/>
      <c r="E1096" s="26"/>
      <c r="F1096" s="26"/>
      <c r="G1096" s="26"/>
      <c r="H1096" s="26"/>
      <c r="I1096" s="25"/>
      <c r="J1096" s="25"/>
      <c r="K1096" s="25"/>
      <c r="L1096" s="25"/>
      <c r="M1096" s="25"/>
      <c r="N1096" s="25"/>
      <c r="O1096" s="25"/>
      <c r="P1096" s="25"/>
    </row>
    <row r="1097" spans="1:16" x14ac:dyDescent="0.3">
      <c r="A1097" s="25"/>
      <c r="B1097" s="25"/>
      <c r="C1097" s="25"/>
      <c r="D1097" s="26"/>
      <c r="E1097" s="26"/>
      <c r="F1097" s="26"/>
      <c r="G1097" s="26"/>
      <c r="H1097" s="26"/>
      <c r="I1097" s="25"/>
      <c r="J1097" s="25"/>
      <c r="K1097" s="25"/>
      <c r="L1097" s="25"/>
      <c r="M1097" s="25"/>
      <c r="N1097" s="25"/>
      <c r="O1097" s="25"/>
      <c r="P1097" s="25"/>
    </row>
    <row r="1098" spans="1:16" x14ac:dyDescent="0.3">
      <c r="A1098" s="25"/>
      <c r="B1098" s="25"/>
      <c r="C1098" s="25"/>
      <c r="D1098" s="26"/>
      <c r="E1098" s="26"/>
      <c r="F1098" s="26"/>
      <c r="G1098" s="26"/>
      <c r="H1098" s="26"/>
      <c r="I1098" s="25"/>
      <c r="J1098" s="25"/>
      <c r="K1098" s="25"/>
      <c r="L1098" s="25"/>
      <c r="M1098" s="25"/>
      <c r="N1098" s="25"/>
      <c r="O1098" s="25"/>
      <c r="P1098" s="25"/>
    </row>
    <row r="1099" spans="1:16" x14ac:dyDescent="0.3">
      <c r="A1099" s="25"/>
      <c r="B1099" s="25"/>
      <c r="C1099" s="25"/>
      <c r="D1099" s="26"/>
      <c r="E1099" s="26"/>
      <c r="F1099" s="26"/>
      <c r="G1099" s="26"/>
      <c r="H1099" s="26"/>
      <c r="I1099" s="25"/>
      <c r="J1099" s="25"/>
      <c r="K1099" s="25"/>
      <c r="L1099" s="25"/>
      <c r="M1099" s="25"/>
      <c r="N1099" s="25"/>
      <c r="O1099" s="25"/>
      <c r="P1099" s="25"/>
    </row>
    <row r="1100" spans="1:16" x14ac:dyDescent="0.3">
      <c r="A1100" s="25"/>
      <c r="B1100" s="25"/>
      <c r="C1100" s="25"/>
      <c r="D1100" s="26"/>
      <c r="E1100" s="26"/>
      <c r="F1100" s="26"/>
      <c r="G1100" s="26"/>
      <c r="H1100" s="26"/>
      <c r="I1100" s="25"/>
      <c r="J1100" s="25"/>
      <c r="K1100" s="25"/>
      <c r="L1100" s="25"/>
      <c r="M1100" s="25"/>
      <c r="N1100" s="25"/>
      <c r="O1100" s="25"/>
      <c r="P1100" s="25"/>
    </row>
    <row r="1101" spans="1:16" x14ac:dyDescent="0.3">
      <c r="A1101" s="25"/>
      <c r="B1101" s="25"/>
      <c r="C1101" s="25"/>
      <c r="D1101" s="26"/>
      <c r="E1101" s="26"/>
      <c r="F1101" s="26"/>
      <c r="G1101" s="26"/>
      <c r="H1101" s="26"/>
      <c r="I1101" s="25"/>
      <c r="J1101" s="25"/>
      <c r="K1101" s="25"/>
      <c r="L1101" s="25"/>
      <c r="M1101" s="25"/>
      <c r="N1101" s="25"/>
      <c r="O1101" s="25"/>
      <c r="P1101" s="25"/>
    </row>
    <row r="1102" spans="1:16" x14ac:dyDescent="0.3">
      <c r="A1102" s="25"/>
      <c r="B1102" s="25"/>
      <c r="C1102" s="25"/>
      <c r="D1102" s="26"/>
      <c r="E1102" s="26"/>
      <c r="F1102" s="26"/>
      <c r="G1102" s="26"/>
      <c r="H1102" s="26"/>
      <c r="I1102" s="25"/>
      <c r="J1102" s="25"/>
      <c r="K1102" s="25"/>
      <c r="L1102" s="25"/>
      <c r="M1102" s="25"/>
      <c r="N1102" s="25"/>
      <c r="O1102" s="25"/>
      <c r="P1102" s="25"/>
    </row>
    <row r="1103" spans="1:16" x14ac:dyDescent="0.3">
      <c r="A1103" s="25"/>
      <c r="B1103" s="25"/>
      <c r="C1103" s="25"/>
      <c r="D1103" s="26"/>
      <c r="E1103" s="26"/>
      <c r="F1103" s="26"/>
      <c r="G1103" s="26"/>
      <c r="H1103" s="26"/>
      <c r="I1103" s="25"/>
      <c r="J1103" s="25"/>
      <c r="K1103" s="25"/>
      <c r="L1103" s="25"/>
      <c r="M1103" s="25"/>
      <c r="N1103" s="25"/>
      <c r="O1103" s="25"/>
      <c r="P1103" s="25"/>
    </row>
    <row r="1104" spans="1:16" x14ac:dyDescent="0.3">
      <c r="A1104" s="25"/>
      <c r="B1104" s="25"/>
      <c r="C1104" s="25"/>
      <c r="D1104" s="26"/>
      <c r="E1104" s="26"/>
      <c r="F1104" s="26"/>
      <c r="G1104" s="26"/>
      <c r="H1104" s="26"/>
      <c r="I1104" s="25"/>
      <c r="J1104" s="25"/>
      <c r="K1104" s="25"/>
      <c r="L1104" s="25"/>
      <c r="M1104" s="25"/>
      <c r="N1104" s="25"/>
      <c r="O1104" s="25"/>
      <c r="P1104" s="25"/>
    </row>
    <row r="1105" spans="1:16" x14ac:dyDescent="0.3">
      <c r="A1105" s="25"/>
      <c r="B1105" s="25"/>
      <c r="C1105" s="25"/>
      <c r="D1105" s="26"/>
      <c r="E1105" s="26"/>
      <c r="F1105" s="26"/>
      <c r="G1105" s="26"/>
      <c r="H1105" s="26"/>
      <c r="I1105" s="25"/>
      <c r="J1105" s="25"/>
      <c r="K1105" s="25"/>
      <c r="L1105" s="25"/>
      <c r="M1105" s="25"/>
      <c r="N1105" s="25"/>
      <c r="O1105" s="25"/>
      <c r="P1105" s="25"/>
    </row>
    <row r="1106" spans="1:16" x14ac:dyDescent="0.3">
      <c r="A1106" s="25"/>
      <c r="B1106" s="25"/>
      <c r="C1106" s="25"/>
      <c r="D1106" s="26"/>
      <c r="E1106" s="26"/>
      <c r="F1106" s="26"/>
      <c r="G1106" s="26"/>
      <c r="H1106" s="26"/>
      <c r="I1106" s="25"/>
      <c r="J1106" s="25"/>
      <c r="K1106" s="25"/>
      <c r="L1106" s="25"/>
      <c r="M1106" s="25"/>
      <c r="N1106" s="25"/>
      <c r="O1106" s="25"/>
      <c r="P1106" s="25"/>
    </row>
    <row r="1107" spans="1:16" x14ac:dyDescent="0.3">
      <c r="A1107" s="25"/>
      <c r="B1107" s="25"/>
      <c r="C1107" s="25"/>
      <c r="D1107" s="26"/>
      <c r="E1107" s="26"/>
      <c r="F1107" s="26"/>
      <c r="G1107" s="26"/>
      <c r="H1107" s="26"/>
      <c r="I1107" s="25"/>
      <c r="J1107" s="25"/>
      <c r="K1107" s="25"/>
      <c r="L1107" s="25"/>
      <c r="M1107" s="25"/>
      <c r="N1107" s="25"/>
      <c r="O1107" s="25"/>
      <c r="P1107" s="25"/>
    </row>
    <row r="1108" spans="1:16" x14ac:dyDescent="0.3">
      <c r="A1108" s="25"/>
      <c r="B1108" s="25"/>
      <c r="C1108" s="25"/>
      <c r="D1108" s="26"/>
      <c r="E1108" s="26"/>
      <c r="F1108" s="26"/>
      <c r="G1108" s="26"/>
      <c r="H1108" s="26"/>
      <c r="I1108" s="25"/>
      <c r="J1108" s="25"/>
      <c r="K1108" s="25"/>
      <c r="L1108" s="25"/>
      <c r="M1108" s="25"/>
      <c r="N1108" s="25"/>
      <c r="O1108" s="25"/>
      <c r="P1108" s="25"/>
    </row>
    <row r="1109" spans="1:16" x14ac:dyDescent="0.3">
      <c r="A1109" s="25"/>
      <c r="B1109" s="25"/>
      <c r="C1109" s="25"/>
      <c r="D1109" s="26"/>
      <c r="E1109" s="26"/>
      <c r="F1109" s="26"/>
      <c r="G1109" s="26"/>
      <c r="H1109" s="26"/>
      <c r="I1109" s="25"/>
      <c r="J1109" s="25"/>
      <c r="K1109" s="25"/>
      <c r="L1109" s="25"/>
      <c r="M1109" s="25"/>
      <c r="N1109" s="25"/>
      <c r="O1109" s="25"/>
      <c r="P1109" s="25"/>
    </row>
    <row r="1110" spans="1:16" x14ac:dyDescent="0.3">
      <c r="A1110" s="25"/>
      <c r="B1110" s="25"/>
      <c r="C1110" s="25"/>
      <c r="D1110" s="26"/>
      <c r="E1110" s="26"/>
      <c r="F1110" s="26"/>
      <c r="G1110" s="26"/>
      <c r="H1110" s="26"/>
      <c r="I1110" s="25"/>
      <c r="J1110" s="25"/>
      <c r="K1110" s="25"/>
      <c r="L1110" s="25"/>
      <c r="M1110" s="25"/>
      <c r="N1110" s="25"/>
      <c r="O1110" s="25"/>
      <c r="P1110" s="25"/>
    </row>
    <row r="1111" spans="1:16" x14ac:dyDescent="0.3">
      <c r="A1111" s="25"/>
      <c r="B1111" s="25"/>
      <c r="C1111" s="25"/>
      <c r="D1111" s="26"/>
      <c r="E1111" s="26"/>
      <c r="F1111" s="26"/>
      <c r="G1111" s="26"/>
      <c r="H1111" s="26"/>
      <c r="I1111" s="25"/>
      <c r="J1111" s="25"/>
      <c r="K1111" s="25"/>
      <c r="L1111" s="25"/>
      <c r="M1111" s="25"/>
      <c r="N1111" s="25"/>
      <c r="O1111" s="25"/>
      <c r="P1111" s="25"/>
    </row>
    <row r="1112" spans="1:16" x14ac:dyDescent="0.3">
      <c r="A1112" s="25"/>
      <c r="B1112" s="25"/>
      <c r="C1112" s="25"/>
      <c r="D1112" s="26"/>
      <c r="E1112" s="26"/>
      <c r="F1112" s="26"/>
      <c r="G1112" s="26"/>
      <c r="H1112" s="26"/>
      <c r="I1112" s="25"/>
      <c r="J1112" s="25"/>
      <c r="K1112" s="25"/>
      <c r="L1112" s="25"/>
      <c r="M1112" s="25"/>
      <c r="N1112" s="25"/>
      <c r="O1112" s="25"/>
      <c r="P1112" s="25"/>
    </row>
    <row r="1113" spans="1:16" x14ac:dyDescent="0.3">
      <c r="A1113" s="25"/>
      <c r="B1113" s="25"/>
      <c r="C1113" s="25"/>
      <c r="D1113" s="26"/>
      <c r="E1113" s="26"/>
      <c r="F1113" s="26"/>
      <c r="G1113" s="26"/>
      <c r="H1113" s="26"/>
      <c r="I1113" s="25"/>
      <c r="J1113" s="25"/>
      <c r="K1113" s="25"/>
      <c r="L1113" s="25"/>
      <c r="M1113" s="25"/>
      <c r="N1113" s="25"/>
      <c r="O1113" s="25"/>
      <c r="P1113" s="25"/>
    </row>
    <row r="1114" spans="1:16" x14ac:dyDescent="0.3">
      <c r="A1114" s="25"/>
      <c r="B1114" s="25"/>
      <c r="C1114" s="25"/>
      <c r="D1114" s="26"/>
      <c r="E1114" s="26"/>
      <c r="F1114" s="26"/>
      <c r="G1114" s="26"/>
      <c r="H1114" s="26"/>
      <c r="I1114" s="25"/>
      <c r="J1114" s="25"/>
      <c r="K1114" s="25"/>
      <c r="L1114" s="25"/>
      <c r="M1114" s="25"/>
      <c r="N1114" s="25"/>
      <c r="O1114" s="25"/>
      <c r="P1114" s="25"/>
    </row>
    <row r="1115" spans="1:16" x14ac:dyDescent="0.3">
      <c r="A1115" s="25"/>
      <c r="B1115" s="25"/>
      <c r="C1115" s="25"/>
      <c r="D1115" s="26"/>
      <c r="E1115" s="26"/>
      <c r="F1115" s="26"/>
      <c r="G1115" s="26"/>
      <c r="H1115" s="26"/>
      <c r="I1115" s="25"/>
      <c r="J1115" s="25"/>
      <c r="K1115" s="25"/>
      <c r="L1115" s="25"/>
      <c r="M1115" s="25"/>
      <c r="N1115" s="25"/>
      <c r="O1115" s="25"/>
      <c r="P1115" s="25"/>
    </row>
    <row r="1116" spans="1:16" x14ac:dyDescent="0.3">
      <c r="A1116" s="25"/>
      <c r="B1116" s="25"/>
      <c r="C1116" s="25"/>
      <c r="D1116" s="26"/>
      <c r="E1116" s="26"/>
      <c r="F1116" s="26"/>
      <c r="G1116" s="26"/>
      <c r="H1116" s="26"/>
      <c r="I1116" s="25"/>
      <c r="J1116" s="25"/>
      <c r="K1116" s="25"/>
      <c r="L1116" s="25"/>
      <c r="M1116" s="25"/>
      <c r="N1116" s="25"/>
      <c r="O1116" s="25"/>
      <c r="P1116" s="25"/>
    </row>
    <row r="1117" spans="1:16" x14ac:dyDescent="0.3">
      <c r="A1117" s="25"/>
      <c r="B1117" s="25"/>
      <c r="C1117" s="25"/>
      <c r="D1117" s="26"/>
      <c r="E1117" s="26"/>
      <c r="F1117" s="26"/>
      <c r="G1117" s="26"/>
      <c r="H1117" s="26"/>
      <c r="I1117" s="25"/>
      <c r="J1117" s="25"/>
      <c r="K1117" s="25"/>
      <c r="L1117" s="25"/>
      <c r="M1117" s="25"/>
      <c r="N1117" s="25"/>
      <c r="O1117" s="25"/>
      <c r="P1117" s="25"/>
    </row>
    <row r="1118" spans="1:16" x14ac:dyDescent="0.3">
      <c r="A1118" s="25"/>
      <c r="B1118" s="25"/>
      <c r="C1118" s="25"/>
      <c r="D1118" s="26"/>
      <c r="E1118" s="26"/>
      <c r="F1118" s="26"/>
      <c r="G1118" s="26"/>
      <c r="H1118" s="26"/>
      <c r="I1118" s="25"/>
      <c r="J1118" s="25"/>
      <c r="K1118" s="25"/>
      <c r="L1118" s="25"/>
      <c r="M1118" s="25"/>
      <c r="N1118" s="25"/>
      <c r="O1118" s="25"/>
      <c r="P1118" s="25"/>
    </row>
    <row r="1119" spans="1:16" x14ac:dyDescent="0.3">
      <c r="A1119" s="25"/>
      <c r="B1119" s="25"/>
      <c r="C1119" s="25"/>
      <c r="D1119" s="26"/>
      <c r="E1119" s="26"/>
      <c r="F1119" s="26"/>
      <c r="G1119" s="26"/>
      <c r="H1119" s="26"/>
      <c r="I1119" s="25"/>
      <c r="J1119" s="25"/>
      <c r="K1119" s="25"/>
      <c r="L1119" s="25"/>
      <c r="M1119" s="25"/>
      <c r="N1119" s="25"/>
      <c r="O1119" s="25"/>
      <c r="P1119" s="25"/>
    </row>
    <row r="1120" spans="1:16" x14ac:dyDescent="0.3">
      <c r="A1120" s="25"/>
      <c r="B1120" s="25"/>
      <c r="C1120" s="25"/>
      <c r="D1120" s="26"/>
      <c r="E1120" s="26"/>
      <c r="F1120" s="26"/>
      <c r="G1120" s="26"/>
      <c r="H1120" s="26"/>
      <c r="I1120" s="25"/>
      <c r="J1120" s="25"/>
      <c r="K1120" s="25"/>
      <c r="L1120" s="25"/>
      <c r="M1120" s="25"/>
      <c r="N1120" s="25"/>
      <c r="O1120" s="25"/>
      <c r="P1120" s="25"/>
    </row>
    <row r="1121" spans="1:16" x14ac:dyDescent="0.3">
      <c r="A1121" s="25"/>
      <c r="B1121" s="25"/>
      <c r="C1121" s="25"/>
      <c r="D1121" s="26"/>
      <c r="E1121" s="26"/>
      <c r="F1121" s="26"/>
      <c r="G1121" s="26"/>
      <c r="H1121" s="26"/>
      <c r="I1121" s="25"/>
      <c r="J1121" s="25"/>
      <c r="K1121" s="25"/>
      <c r="L1121" s="25"/>
      <c r="M1121" s="25"/>
      <c r="N1121" s="25"/>
      <c r="O1121" s="25"/>
      <c r="P1121" s="25"/>
    </row>
    <row r="1122" spans="1:16" x14ac:dyDescent="0.3">
      <c r="A1122" s="25"/>
      <c r="B1122" s="25"/>
      <c r="C1122" s="25"/>
      <c r="D1122" s="26"/>
      <c r="E1122" s="26"/>
      <c r="F1122" s="26"/>
      <c r="G1122" s="26"/>
      <c r="H1122" s="26"/>
      <c r="I1122" s="25"/>
      <c r="J1122" s="25"/>
      <c r="K1122" s="25"/>
      <c r="L1122" s="25"/>
      <c r="M1122" s="25"/>
      <c r="N1122" s="25"/>
      <c r="O1122" s="25"/>
      <c r="P1122" s="25"/>
    </row>
    <row r="1123" spans="1:16" x14ac:dyDescent="0.3">
      <c r="A1123" s="25"/>
      <c r="B1123" s="25"/>
      <c r="C1123" s="25"/>
      <c r="D1123" s="26"/>
      <c r="E1123" s="26"/>
      <c r="F1123" s="26"/>
      <c r="G1123" s="26"/>
      <c r="H1123" s="26"/>
      <c r="I1123" s="25"/>
      <c r="J1123" s="25"/>
      <c r="K1123" s="25"/>
      <c r="L1123" s="25"/>
      <c r="M1123" s="25"/>
      <c r="N1123" s="25"/>
      <c r="O1123" s="25"/>
      <c r="P1123" s="25"/>
    </row>
    <row r="1124" spans="1:16" x14ac:dyDescent="0.3">
      <c r="A1124" s="25"/>
      <c r="B1124" s="25"/>
      <c r="C1124" s="25"/>
      <c r="D1124" s="26"/>
      <c r="E1124" s="26"/>
      <c r="F1124" s="26"/>
      <c r="G1124" s="26"/>
      <c r="H1124" s="26"/>
      <c r="I1124" s="25"/>
      <c r="J1124" s="25"/>
      <c r="K1124" s="25"/>
      <c r="L1124" s="25"/>
      <c r="M1124" s="25"/>
      <c r="N1124" s="25"/>
      <c r="O1124" s="25"/>
      <c r="P1124" s="25"/>
    </row>
    <row r="1125" spans="1:16" x14ac:dyDescent="0.3">
      <c r="A1125" s="25"/>
      <c r="B1125" s="25"/>
      <c r="C1125" s="25"/>
      <c r="D1125" s="26"/>
      <c r="E1125" s="26"/>
      <c r="F1125" s="26"/>
      <c r="G1125" s="26"/>
      <c r="H1125" s="26"/>
      <c r="I1125" s="25"/>
      <c r="J1125" s="25"/>
      <c r="K1125" s="25"/>
      <c r="L1125" s="25"/>
      <c r="M1125" s="25"/>
      <c r="N1125" s="25"/>
      <c r="O1125" s="25"/>
      <c r="P1125" s="25"/>
    </row>
    <row r="1126" spans="1:16" x14ac:dyDescent="0.3">
      <c r="A1126" s="25"/>
      <c r="B1126" s="25"/>
      <c r="C1126" s="25"/>
      <c r="D1126" s="26"/>
      <c r="E1126" s="26"/>
      <c r="F1126" s="26"/>
      <c r="G1126" s="26"/>
      <c r="H1126" s="26"/>
      <c r="I1126" s="25"/>
      <c r="J1126" s="25"/>
      <c r="K1126" s="25"/>
      <c r="L1126" s="25"/>
      <c r="M1126" s="25"/>
      <c r="N1126" s="25"/>
      <c r="O1126" s="25"/>
      <c r="P1126" s="25"/>
    </row>
    <row r="1127" spans="1:16" x14ac:dyDescent="0.3">
      <c r="A1127" s="25"/>
      <c r="B1127" s="25"/>
      <c r="C1127" s="25"/>
      <c r="D1127" s="26"/>
      <c r="E1127" s="26"/>
      <c r="F1127" s="26"/>
      <c r="G1127" s="26"/>
      <c r="H1127" s="26"/>
      <c r="I1127" s="25"/>
      <c r="J1127" s="25"/>
      <c r="K1127" s="25"/>
      <c r="L1127" s="25"/>
      <c r="M1127" s="25"/>
      <c r="N1127" s="25"/>
      <c r="O1127" s="25"/>
      <c r="P1127" s="25"/>
    </row>
    <row r="1128" spans="1:16" x14ac:dyDescent="0.3">
      <c r="A1128" s="25"/>
      <c r="B1128" s="25"/>
      <c r="C1128" s="25"/>
      <c r="D1128" s="26"/>
      <c r="E1128" s="26"/>
      <c r="F1128" s="26"/>
      <c r="G1128" s="26"/>
      <c r="H1128" s="26"/>
      <c r="I1128" s="25"/>
      <c r="J1128" s="25"/>
      <c r="K1128" s="25"/>
      <c r="L1128" s="25"/>
      <c r="M1128" s="25"/>
      <c r="N1128" s="25"/>
      <c r="O1128" s="25"/>
      <c r="P1128" s="25"/>
    </row>
    <row r="1129" spans="1:16" x14ac:dyDescent="0.3">
      <c r="A1129" s="25"/>
      <c r="B1129" s="25"/>
      <c r="C1129" s="25"/>
      <c r="D1129" s="26"/>
      <c r="E1129" s="26"/>
      <c r="F1129" s="26"/>
      <c r="G1129" s="26"/>
      <c r="H1129" s="26"/>
      <c r="I1129" s="25"/>
      <c r="J1129" s="25"/>
      <c r="K1129" s="25"/>
      <c r="L1129" s="25"/>
      <c r="M1129" s="25"/>
      <c r="N1129" s="25"/>
      <c r="O1129" s="25"/>
      <c r="P1129" s="25"/>
    </row>
    <row r="1130" spans="1:16" x14ac:dyDescent="0.3">
      <c r="A1130" s="25"/>
      <c r="B1130" s="25"/>
      <c r="C1130" s="25"/>
      <c r="D1130" s="26"/>
      <c r="E1130" s="26"/>
      <c r="F1130" s="26"/>
      <c r="G1130" s="26"/>
      <c r="H1130" s="26"/>
      <c r="I1130" s="25"/>
      <c r="J1130" s="25"/>
      <c r="K1130" s="25"/>
      <c r="L1130" s="25"/>
      <c r="M1130" s="25"/>
      <c r="N1130" s="25"/>
      <c r="O1130" s="25"/>
      <c r="P1130" s="25"/>
    </row>
    <row r="1131" spans="1:16" x14ac:dyDescent="0.3">
      <c r="A1131" s="25"/>
      <c r="B1131" s="25"/>
      <c r="C1131" s="25"/>
      <c r="D1131" s="26"/>
      <c r="E1131" s="26"/>
      <c r="F1131" s="26"/>
      <c r="G1131" s="26"/>
      <c r="H1131" s="26"/>
      <c r="I1131" s="25"/>
      <c r="J1131" s="25"/>
      <c r="K1131" s="25"/>
      <c r="L1131" s="25"/>
      <c r="M1131" s="25"/>
      <c r="N1131" s="25"/>
      <c r="O1131" s="25"/>
      <c r="P1131" s="25"/>
    </row>
    <row r="1132" spans="1:16" x14ac:dyDescent="0.3">
      <c r="A1132" s="25"/>
      <c r="B1132" s="25"/>
      <c r="C1132" s="25"/>
      <c r="D1132" s="26"/>
      <c r="E1132" s="26"/>
      <c r="F1132" s="26"/>
      <c r="G1132" s="26"/>
      <c r="H1132" s="26"/>
      <c r="I1132" s="25"/>
      <c r="J1132" s="25"/>
      <c r="K1132" s="25"/>
      <c r="L1132" s="25"/>
      <c r="M1132" s="25"/>
      <c r="N1132" s="25"/>
      <c r="O1132" s="25"/>
      <c r="P1132" s="25"/>
    </row>
    <row r="1133" spans="1:16" x14ac:dyDescent="0.3">
      <c r="A1133" s="25"/>
      <c r="B1133" s="25"/>
      <c r="C1133" s="25"/>
      <c r="D1133" s="26"/>
      <c r="E1133" s="26"/>
      <c r="F1133" s="26"/>
      <c r="G1133" s="26"/>
      <c r="H1133" s="26"/>
      <c r="I1133" s="25"/>
      <c r="J1133" s="25"/>
      <c r="K1133" s="25"/>
      <c r="L1133" s="25"/>
      <c r="M1133" s="25"/>
      <c r="N1133" s="25"/>
      <c r="O1133" s="25"/>
      <c r="P1133" s="25"/>
    </row>
    <row r="1134" spans="1:16" x14ac:dyDescent="0.3">
      <c r="A1134" s="25"/>
      <c r="B1134" s="25"/>
      <c r="C1134" s="25"/>
      <c r="D1134" s="26"/>
      <c r="E1134" s="26"/>
      <c r="F1134" s="26"/>
      <c r="G1134" s="26"/>
      <c r="H1134" s="26"/>
      <c r="I1134" s="25"/>
      <c r="J1134" s="25"/>
      <c r="K1134" s="25"/>
      <c r="L1134" s="25"/>
      <c r="M1134" s="25"/>
      <c r="N1134" s="25"/>
      <c r="O1134" s="25"/>
      <c r="P1134" s="25"/>
    </row>
    <row r="1135" spans="1:16" x14ac:dyDescent="0.3">
      <c r="A1135" s="25"/>
      <c r="B1135" s="25"/>
      <c r="C1135" s="25"/>
      <c r="D1135" s="26"/>
      <c r="E1135" s="26"/>
      <c r="F1135" s="26"/>
      <c r="G1135" s="26"/>
      <c r="H1135" s="26"/>
      <c r="I1135" s="25"/>
      <c r="J1135" s="25"/>
      <c r="K1135" s="25"/>
      <c r="L1135" s="25"/>
      <c r="M1135" s="25"/>
      <c r="N1135" s="25"/>
      <c r="O1135" s="25"/>
      <c r="P1135" s="25"/>
    </row>
    <row r="1136" spans="1:16" x14ac:dyDescent="0.3">
      <c r="A1136" s="25"/>
      <c r="B1136" s="25"/>
      <c r="C1136" s="25"/>
      <c r="D1136" s="26"/>
      <c r="E1136" s="26"/>
      <c r="F1136" s="26"/>
      <c r="G1136" s="26"/>
      <c r="H1136" s="26"/>
      <c r="I1136" s="25"/>
      <c r="J1136" s="25"/>
      <c r="K1136" s="25"/>
      <c r="L1136" s="25"/>
      <c r="M1136" s="25"/>
      <c r="N1136" s="25"/>
      <c r="O1136" s="25"/>
      <c r="P1136" s="25"/>
    </row>
    <row r="1137" spans="1:16" x14ac:dyDescent="0.3">
      <c r="A1137" s="25"/>
      <c r="B1137" s="25"/>
      <c r="C1137" s="25"/>
      <c r="D1137" s="26"/>
      <c r="E1137" s="26"/>
      <c r="F1137" s="26"/>
      <c r="G1137" s="26"/>
      <c r="H1137" s="26"/>
      <c r="I1137" s="25"/>
      <c r="J1137" s="25"/>
      <c r="K1137" s="25"/>
      <c r="L1137" s="25"/>
      <c r="M1137" s="25"/>
      <c r="N1137" s="25"/>
      <c r="O1137" s="25"/>
      <c r="P1137" s="25"/>
    </row>
    <row r="1138" spans="1:16" x14ac:dyDescent="0.3">
      <c r="A1138" s="25"/>
      <c r="B1138" s="25"/>
      <c r="C1138" s="25"/>
      <c r="D1138" s="26"/>
      <c r="E1138" s="26"/>
      <c r="F1138" s="26"/>
      <c r="G1138" s="26"/>
      <c r="H1138" s="26"/>
      <c r="I1138" s="25"/>
      <c r="J1138" s="25"/>
      <c r="K1138" s="25"/>
      <c r="L1138" s="25"/>
      <c r="M1138" s="25"/>
      <c r="N1138" s="25"/>
      <c r="O1138" s="25"/>
      <c r="P1138" s="25"/>
    </row>
    <row r="1139" spans="1:16" x14ac:dyDescent="0.3">
      <c r="A1139" s="25"/>
      <c r="B1139" s="25"/>
      <c r="C1139" s="25"/>
      <c r="D1139" s="26"/>
      <c r="E1139" s="26"/>
      <c r="F1139" s="26"/>
      <c r="G1139" s="26"/>
      <c r="H1139" s="26"/>
      <c r="I1139" s="25"/>
      <c r="J1139" s="25"/>
      <c r="K1139" s="25"/>
      <c r="L1139" s="25"/>
      <c r="M1139" s="25"/>
      <c r="N1139" s="25"/>
      <c r="O1139" s="25"/>
      <c r="P1139" s="25"/>
    </row>
    <row r="1140" spans="1:16" x14ac:dyDescent="0.3">
      <c r="A1140" s="25"/>
      <c r="B1140" s="25"/>
      <c r="C1140" s="25"/>
      <c r="D1140" s="26"/>
      <c r="E1140" s="26"/>
      <c r="F1140" s="26"/>
      <c r="G1140" s="26"/>
      <c r="H1140" s="26"/>
      <c r="I1140" s="25"/>
      <c r="J1140" s="25"/>
      <c r="K1140" s="25"/>
      <c r="L1140" s="25"/>
      <c r="M1140" s="25"/>
      <c r="N1140" s="25"/>
      <c r="O1140" s="25"/>
      <c r="P1140" s="25"/>
    </row>
    <row r="1141" spans="1:16" x14ac:dyDescent="0.3">
      <c r="A1141" s="25"/>
      <c r="B1141" s="25"/>
      <c r="C1141" s="25"/>
      <c r="D1141" s="26"/>
      <c r="E1141" s="26"/>
      <c r="F1141" s="26"/>
      <c r="G1141" s="26"/>
      <c r="H1141" s="26"/>
      <c r="I1141" s="25"/>
      <c r="J1141" s="25"/>
      <c r="K1141" s="25"/>
      <c r="L1141" s="25"/>
      <c r="M1141" s="25"/>
      <c r="N1141" s="25"/>
      <c r="O1141" s="25"/>
      <c r="P1141" s="25"/>
    </row>
    <row r="1142" spans="1:16" x14ac:dyDescent="0.3">
      <c r="A1142" s="25"/>
      <c r="B1142" s="25"/>
      <c r="C1142" s="25"/>
      <c r="D1142" s="26"/>
      <c r="E1142" s="26"/>
      <c r="F1142" s="26"/>
      <c r="G1142" s="26"/>
      <c r="H1142" s="26"/>
      <c r="I1142" s="25"/>
      <c r="J1142" s="25"/>
      <c r="K1142" s="25"/>
      <c r="L1142" s="25"/>
      <c r="M1142" s="25"/>
      <c r="N1142" s="25"/>
      <c r="O1142" s="25"/>
      <c r="P1142" s="25"/>
    </row>
    <row r="1143" spans="1:16" x14ac:dyDescent="0.3">
      <c r="A1143" s="25"/>
      <c r="B1143" s="25"/>
      <c r="C1143" s="25"/>
      <c r="D1143" s="26"/>
      <c r="E1143" s="26"/>
      <c r="F1143" s="26"/>
      <c r="G1143" s="26"/>
      <c r="H1143" s="26"/>
      <c r="I1143" s="25"/>
      <c r="J1143" s="25"/>
      <c r="K1143" s="25"/>
      <c r="L1143" s="25"/>
      <c r="M1143" s="25"/>
      <c r="N1143" s="25"/>
      <c r="O1143" s="25"/>
      <c r="P1143" s="25"/>
    </row>
    <row r="1144" spans="1:16" x14ac:dyDescent="0.3">
      <c r="A1144" s="25"/>
      <c r="B1144" s="25"/>
      <c r="C1144" s="25"/>
      <c r="D1144" s="26"/>
      <c r="E1144" s="26"/>
      <c r="F1144" s="26"/>
      <c r="G1144" s="26"/>
      <c r="H1144" s="26"/>
      <c r="I1144" s="25"/>
      <c r="J1144" s="25"/>
      <c r="K1144" s="25"/>
      <c r="L1144" s="25"/>
      <c r="M1144" s="25"/>
      <c r="N1144" s="25"/>
      <c r="O1144" s="25"/>
      <c r="P1144" s="25"/>
    </row>
    <row r="1145" spans="1:16" x14ac:dyDescent="0.3">
      <c r="A1145" s="25"/>
      <c r="B1145" s="25"/>
      <c r="C1145" s="25"/>
      <c r="D1145" s="26"/>
      <c r="E1145" s="26"/>
      <c r="F1145" s="26"/>
      <c r="G1145" s="26"/>
      <c r="H1145" s="26"/>
      <c r="I1145" s="25"/>
      <c r="J1145" s="25"/>
      <c r="K1145" s="25"/>
      <c r="L1145" s="25"/>
      <c r="M1145" s="25"/>
      <c r="N1145" s="25"/>
      <c r="O1145" s="25"/>
      <c r="P1145" s="25"/>
    </row>
    <row r="1146" spans="1:16" x14ac:dyDescent="0.3">
      <c r="A1146" s="25"/>
      <c r="B1146" s="25"/>
      <c r="C1146" s="25"/>
      <c r="D1146" s="26"/>
      <c r="E1146" s="26"/>
      <c r="F1146" s="26"/>
      <c r="G1146" s="26"/>
      <c r="H1146" s="26"/>
      <c r="I1146" s="25"/>
      <c r="J1146" s="25"/>
      <c r="K1146" s="25"/>
      <c r="L1146" s="25"/>
      <c r="M1146" s="25"/>
      <c r="N1146" s="25"/>
      <c r="O1146" s="25"/>
      <c r="P1146" s="25"/>
    </row>
    <row r="1147" spans="1:16" x14ac:dyDescent="0.3">
      <c r="A1147" s="25"/>
      <c r="B1147" s="25"/>
      <c r="C1147" s="25"/>
      <c r="D1147" s="26"/>
      <c r="E1147" s="26"/>
      <c r="F1147" s="26"/>
      <c r="G1147" s="26"/>
      <c r="H1147" s="26"/>
      <c r="I1147" s="25"/>
      <c r="J1147" s="25"/>
      <c r="K1147" s="25"/>
      <c r="L1147" s="25"/>
      <c r="M1147" s="25"/>
      <c r="N1147" s="25"/>
      <c r="O1147" s="25"/>
      <c r="P1147" s="25"/>
    </row>
    <row r="1148" spans="1:16" x14ac:dyDescent="0.3">
      <c r="A1148" s="25"/>
      <c r="B1148" s="25"/>
      <c r="C1148" s="25"/>
      <c r="D1148" s="26"/>
      <c r="E1148" s="26"/>
      <c r="F1148" s="26"/>
      <c r="G1148" s="26"/>
      <c r="H1148" s="26"/>
      <c r="I1148" s="25"/>
      <c r="J1148" s="25"/>
      <c r="K1148" s="25"/>
      <c r="L1148" s="25"/>
      <c r="M1148" s="25"/>
      <c r="N1148" s="25"/>
      <c r="O1148" s="25"/>
      <c r="P1148" s="25"/>
    </row>
    <row r="1149" spans="1:16" x14ac:dyDescent="0.3">
      <c r="A1149" s="25"/>
      <c r="B1149" s="25"/>
      <c r="C1149" s="25"/>
      <c r="D1149" s="26"/>
      <c r="E1149" s="26"/>
      <c r="F1149" s="26"/>
      <c r="G1149" s="26"/>
      <c r="H1149" s="26"/>
      <c r="I1149" s="25"/>
      <c r="J1149" s="25"/>
      <c r="K1149" s="25"/>
      <c r="L1149" s="25"/>
      <c r="M1149" s="25"/>
      <c r="N1149" s="25"/>
      <c r="O1149" s="25"/>
      <c r="P1149" s="25"/>
    </row>
    <row r="1150" spans="1:16" x14ac:dyDescent="0.3">
      <c r="A1150" s="25"/>
      <c r="B1150" s="25"/>
      <c r="C1150" s="25"/>
      <c r="D1150" s="26"/>
      <c r="E1150" s="26"/>
      <c r="F1150" s="26"/>
      <c r="G1150" s="26"/>
      <c r="H1150" s="26"/>
      <c r="I1150" s="25"/>
      <c r="J1150" s="25"/>
      <c r="K1150" s="25"/>
      <c r="L1150" s="25"/>
      <c r="M1150" s="25"/>
      <c r="N1150" s="25"/>
      <c r="O1150" s="25"/>
      <c r="P1150" s="25"/>
    </row>
    <row r="1151" spans="1:16" x14ac:dyDescent="0.3">
      <c r="A1151" s="25"/>
      <c r="B1151" s="25"/>
      <c r="C1151" s="25"/>
      <c r="D1151" s="26"/>
      <c r="E1151" s="26"/>
      <c r="F1151" s="26"/>
      <c r="G1151" s="26"/>
      <c r="H1151" s="26"/>
      <c r="I1151" s="25"/>
      <c r="J1151" s="25"/>
      <c r="K1151" s="25"/>
      <c r="L1151" s="25"/>
      <c r="M1151" s="25"/>
      <c r="N1151" s="25"/>
      <c r="O1151" s="25"/>
      <c r="P1151" s="25"/>
    </row>
    <row r="1152" spans="1:16" x14ac:dyDescent="0.3">
      <c r="A1152" s="25"/>
      <c r="B1152" s="25"/>
      <c r="C1152" s="25"/>
      <c r="D1152" s="26"/>
      <c r="E1152" s="26"/>
      <c r="F1152" s="26"/>
      <c r="G1152" s="26"/>
      <c r="H1152" s="26"/>
      <c r="I1152" s="25"/>
      <c r="J1152" s="25"/>
      <c r="K1152" s="25"/>
      <c r="L1152" s="25"/>
      <c r="M1152" s="25"/>
      <c r="N1152" s="25"/>
      <c r="O1152" s="25"/>
      <c r="P1152" s="25"/>
    </row>
    <row r="1153" spans="1:16" x14ac:dyDescent="0.3">
      <c r="A1153" s="25"/>
      <c r="B1153" s="25"/>
      <c r="C1153" s="25"/>
      <c r="D1153" s="26"/>
      <c r="E1153" s="26"/>
      <c r="F1153" s="26"/>
      <c r="G1153" s="26"/>
      <c r="H1153" s="26"/>
      <c r="I1153" s="25"/>
      <c r="J1153" s="25"/>
      <c r="K1153" s="25"/>
      <c r="L1153" s="25"/>
      <c r="M1153" s="25"/>
      <c r="N1153" s="25"/>
      <c r="O1153" s="25"/>
      <c r="P1153" s="25"/>
    </row>
    <row r="1154" spans="1:16" x14ac:dyDescent="0.3">
      <c r="A1154" s="25"/>
      <c r="B1154" s="25"/>
      <c r="C1154" s="25"/>
      <c r="D1154" s="26"/>
      <c r="E1154" s="26"/>
      <c r="F1154" s="26"/>
      <c r="G1154" s="26"/>
      <c r="H1154" s="26"/>
      <c r="I1154" s="25"/>
      <c r="J1154" s="25"/>
      <c r="K1154" s="25"/>
      <c r="L1154" s="25"/>
      <c r="M1154" s="25"/>
      <c r="N1154" s="25"/>
      <c r="O1154" s="25"/>
      <c r="P1154" s="25"/>
    </row>
    <row r="1155" spans="1:16" x14ac:dyDescent="0.3">
      <c r="A1155" s="25"/>
      <c r="B1155" s="25"/>
      <c r="C1155" s="25"/>
      <c r="D1155" s="26"/>
      <c r="E1155" s="26"/>
      <c r="F1155" s="26"/>
      <c r="G1155" s="26"/>
      <c r="H1155" s="26"/>
      <c r="I1155" s="25"/>
      <c r="J1155" s="25"/>
      <c r="K1155" s="25"/>
      <c r="L1155" s="25"/>
      <c r="M1155" s="25"/>
      <c r="N1155" s="25"/>
      <c r="O1155" s="25"/>
      <c r="P1155" s="25"/>
    </row>
    <row r="1156" spans="1:16" x14ac:dyDescent="0.3">
      <c r="A1156" s="25"/>
      <c r="B1156" s="25"/>
      <c r="C1156" s="25"/>
      <c r="D1156" s="26"/>
      <c r="E1156" s="26"/>
      <c r="F1156" s="26"/>
      <c r="G1156" s="26"/>
      <c r="H1156" s="26"/>
      <c r="I1156" s="25"/>
      <c r="J1156" s="25"/>
      <c r="K1156" s="25"/>
      <c r="L1156" s="25"/>
      <c r="M1156" s="25"/>
      <c r="N1156" s="25"/>
      <c r="O1156" s="25"/>
      <c r="P1156" s="25"/>
    </row>
    <row r="1157" spans="1:16" x14ac:dyDescent="0.3">
      <c r="A1157" s="25"/>
      <c r="B1157" s="25"/>
      <c r="C1157" s="25"/>
      <c r="D1157" s="26"/>
      <c r="E1157" s="26"/>
      <c r="F1157" s="26"/>
      <c r="G1157" s="26"/>
      <c r="H1157" s="26"/>
      <c r="I1157" s="25"/>
      <c r="J1157" s="25"/>
      <c r="K1157" s="25"/>
      <c r="L1157" s="25"/>
      <c r="M1157" s="25"/>
      <c r="N1157" s="25"/>
      <c r="O1157" s="25"/>
      <c r="P1157" s="25"/>
    </row>
    <row r="1158" spans="1:16" x14ac:dyDescent="0.3">
      <c r="A1158" s="25"/>
      <c r="B1158" s="25"/>
      <c r="C1158" s="25"/>
      <c r="D1158" s="26"/>
      <c r="E1158" s="26"/>
      <c r="F1158" s="26"/>
      <c r="G1158" s="26"/>
      <c r="H1158" s="26"/>
      <c r="I1158" s="25"/>
      <c r="J1158" s="25"/>
      <c r="K1158" s="25"/>
      <c r="L1158" s="25"/>
      <c r="M1158" s="25"/>
      <c r="N1158" s="25"/>
      <c r="O1158" s="25"/>
      <c r="P1158" s="25"/>
    </row>
    <row r="1159" spans="1:16" x14ac:dyDescent="0.3">
      <c r="A1159" s="25"/>
      <c r="B1159" s="25"/>
      <c r="C1159" s="25"/>
      <c r="D1159" s="26"/>
      <c r="E1159" s="26"/>
      <c r="F1159" s="26"/>
      <c r="G1159" s="26"/>
      <c r="H1159" s="26"/>
      <c r="I1159" s="25"/>
      <c r="J1159" s="25"/>
      <c r="K1159" s="25"/>
      <c r="L1159" s="25"/>
      <c r="M1159" s="25"/>
      <c r="N1159" s="25"/>
      <c r="O1159" s="25"/>
      <c r="P1159" s="25"/>
    </row>
    <row r="1160" spans="1:16" x14ac:dyDescent="0.3">
      <c r="A1160" s="25"/>
      <c r="B1160" s="25"/>
      <c r="C1160" s="25"/>
      <c r="D1160" s="26"/>
      <c r="E1160" s="26"/>
      <c r="F1160" s="26"/>
      <c r="G1160" s="26"/>
      <c r="H1160" s="26"/>
      <c r="I1160" s="25"/>
      <c r="J1160" s="25"/>
      <c r="K1160" s="25"/>
      <c r="L1160" s="25"/>
      <c r="M1160" s="25"/>
      <c r="N1160" s="25"/>
      <c r="O1160" s="25"/>
      <c r="P1160" s="25"/>
    </row>
    <row r="1161" spans="1:16" x14ac:dyDescent="0.3">
      <c r="A1161" s="25"/>
      <c r="B1161" s="25"/>
      <c r="C1161" s="25"/>
      <c r="D1161" s="26"/>
      <c r="E1161" s="26"/>
      <c r="F1161" s="26"/>
      <c r="G1161" s="26"/>
      <c r="H1161" s="26"/>
      <c r="I1161" s="25"/>
      <c r="J1161" s="25"/>
      <c r="K1161" s="25"/>
      <c r="L1161" s="25"/>
      <c r="M1161" s="25"/>
      <c r="N1161" s="25"/>
      <c r="O1161" s="25"/>
      <c r="P1161" s="25"/>
    </row>
    <row r="1162" spans="1:16" x14ac:dyDescent="0.3">
      <c r="A1162" s="25"/>
      <c r="B1162" s="25"/>
      <c r="C1162" s="25"/>
      <c r="D1162" s="26"/>
      <c r="E1162" s="26"/>
      <c r="F1162" s="26"/>
      <c r="G1162" s="26"/>
      <c r="H1162" s="26"/>
      <c r="I1162" s="25"/>
      <c r="J1162" s="25"/>
      <c r="K1162" s="25"/>
      <c r="L1162" s="25"/>
      <c r="M1162" s="25"/>
      <c r="N1162" s="25"/>
      <c r="O1162" s="25"/>
      <c r="P1162" s="25"/>
    </row>
    <row r="1163" spans="1:16" x14ac:dyDescent="0.3">
      <c r="A1163" s="25"/>
      <c r="B1163" s="25"/>
      <c r="C1163" s="25"/>
      <c r="D1163" s="26"/>
      <c r="E1163" s="26"/>
      <c r="F1163" s="26"/>
      <c r="G1163" s="26"/>
      <c r="H1163" s="26"/>
      <c r="I1163" s="25"/>
      <c r="J1163" s="25"/>
      <c r="K1163" s="25"/>
      <c r="L1163" s="25"/>
      <c r="M1163" s="25"/>
      <c r="N1163" s="25"/>
      <c r="O1163" s="25"/>
      <c r="P1163" s="25"/>
    </row>
    <row r="1164" spans="1:16" x14ac:dyDescent="0.3">
      <c r="A1164" s="25"/>
      <c r="B1164" s="25"/>
      <c r="C1164" s="25"/>
      <c r="D1164" s="26"/>
      <c r="E1164" s="26"/>
      <c r="F1164" s="26"/>
      <c r="G1164" s="26"/>
      <c r="H1164" s="26"/>
      <c r="I1164" s="25"/>
      <c r="J1164" s="25"/>
      <c r="K1164" s="25"/>
      <c r="L1164" s="25"/>
      <c r="M1164" s="25"/>
      <c r="N1164" s="25"/>
      <c r="O1164" s="25"/>
      <c r="P1164" s="25"/>
    </row>
    <row r="1165" spans="1:16" x14ac:dyDescent="0.3">
      <c r="A1165" s="25"/>
      <c r="B1165" s="25"/>
      <c r="C1165" s="25"/>
      <c r="D1165" s="26"/>
      <c r="E1165" s="26"/>
      <c r="F1165" s="26"/>
      <c r="G1165" s="26"/>
      <c r="H1165" s="26"/>
      <c r="I1165" s="25"/>
      <c r="J1165" s="25"/>
      <c r="K1165" s="25"/>
      <c r="L1165" s="25"/>
      <c r="M1165" s="25"/>
      <c r="N1165" s="25"/>
      <c r="O1165" s="25"/>
      <c r="P1165" s="25"/>
    </row>
    <row r="1166" spans="1:16" x14ac:dyDescent="0.3">
      <c r="A1166" s="25"/>
      <c r="B1166" s="25"/>
      <c r="C1166" s="25"/>
      <c r="D1166" s="26"/>
      <c r="E1166" s="26"/>
      <c r="F1166" s="26"/>
      <c r="G1166" s="26"/>
      <c r="H1166" s="26"/>
      <c r="I1166" s="25"/>
      <c r="J1166" s="25"/>
      <c r="K1166" s="25"/>
      <c r="L1166" s="25"/>
      <c r="M1166" s="25"/>
      <c r="N1166" s="25"/>
      <c r="O1166" s="25"/>
      <c r="P1166" s="25"/>
    </row>
    <row r="1167" spans="1:16" x14ac:dyDescent="0.3">
      <c r="A1167" s="25"/>
      <c r="B1167" s="25"/>
      <c r="C1167" s="25"/>
      <c r="D1167" s="26"/>
      <c r="E1167" s="26"/>
      <c r="F1167" s="26"/>
      <c r="G1167" s="26"/>
      <c r="H1167" s="26"/>
      <c r="I1167" s="25"/>
      <c r="J1167" s="25"/>
      <c r="K1167" s="25"/>
      <c r="L1167" s="25"/>
      <c r="M1167" s="25"/>
      <c r="N1167" s="25"/>
      <c r="O1167" s="25"/>
      <c r="P1167" s="25"/>
    </row>
    <row r="1168" spans="1:16" x14ac:dyDescent="0.3">
      <c r="A1168" s="25"/>
      <c r="B1168" s="25"/>
      <c r="C1168" s="25"/>
      <c r="D1168" s="26"/>
      <c r="E1168" s="26"/>
      <c r="F1168" s="26"/>
      <c r="G1168" s="26"/>
      <c r="H1168" s="26"/>
      <c r="I1168" s="25"/>
      <c r="J1168" s="25"/>
      <c r="K1168" s="25"/>
      <c r="L1168" s="25"/>
      <c r="M1168" s="25"/>
      <c r="N1168" s="25"/>
      <c r="O1168" s="25"/>
      <c r="P1168" s="25"/>
    </row>
    <row r="1169" spans="1:16" x14ac:dyDescent="0.3">
      <c r="A1169" s="25"/>
      <c r="B1169" s="25"/>
      <c r="C1169" s="25"/>
      <c r="D1169" s="26"/>
      <c r="E1169" s="26"/>
      <c r="F1169" s="26"/>
      <c r="G1169" s="26"/>
      <c r="H1169" s="26"/>
      <c r="I1169" s="25"/>
      <c r="J1169" s="25"/>
      <c r="K1169" s="25"/>
      <c r="L1169" s="25"/>
      <c r="M1169" s="25"/>
      <c r="N1169" s="25"/>
      <c r="O1169" s="25"/>
      <c r="P1169" s="25"/>
    </row>
    <row r="1170" spans="1:16" x14ac:dyDescent="0.3">
      <c r="A1170" s="25"/>
      <c r="B1170" s="25"/>
      <c r="C1170" s="25"/>
      <c r="D1170" s="26"/>
      <c r="E1170" s="26"/>
      <c r="F1170" s="26"/>
      <c r="G1170" s="26"/>
      <c r="H1170" s="26"/>
      <c r="I1170" s="25"/>
      <c r="J1170" s="25"/>
      <c r="K1170" s="25"/>
      <c r="L1170" s="25"/>
      <c r="M1170" s="25"/>
      <c r="N1170" s="25"/>
      <c r="O1170" s="25"/>
      <c r="P1170" s="25"/>
    </row>
    <row r="1171" spans="1:16" x14ac:dyDescent="0.3">
      <c r="A1171" s="25"/>
      <c r="B1171" s="25"/>
      <c r="C1171" s="25"/>
      <c r="D1171" s="26"/>
      <c r="E1171" s="26"/>
      <c r="F1171" s="26"/>
      <c r="G1171" s="26"/>
      <c r="H1171" s="26"/>
      <c r="I1171" s="25"/>
      <c r="J1171" s="25"/>
      <c r="K1171" s="25"/>
      <c r="L1171" s="25"/>
      <c r="M1171" s="25"/>
      <c r="N1171" s="25"/>
      <c r="O1171" s="25"/>
      <c r="P1171" s="25"/>
    </row>
    <row r="1172" spans="1:16" x14ac:dyDescent="0.3">
      <c r="A1172" s="25"/>
      <c r="B1172" s="25"/>
      <c r="C1172" s="25"/>
      <c r="D1172" s="26"/>
      <c r="E1172" s="26"/>
      <c r="F1172" s="26"/>
      <c r="G1172" s="26"/>
      <c r="H1172" s="26"/>
      <c r="I1172" s="25"/>
      <c r="J1172" s="25"/>
      <c r="K1172" s="25"/>
      <c r="L1172" s="25"/>
      <c r="M1172" s="25"/>
      <c r="N1172" s="25"/>
      <c r="O1172" s="25"/>
      <c r="P1172" s="25"/>
    </row>
    <row r="1173" spans="1:16" x14ac:dyDescent="0.3">
      <c r="A1173" s="25"/>
      <c r="B1173" s="25"/>
      <c r="C1173" s="25"/>
      <c r="D1173" s="26"/>
      <c r="E1173" s="26"/>
      <c r="F1173" s="26"/>
      <c r="G1173" s="26"/>
      <c r="H1173" s="26"/>
      <c r="I1173" s="25"/>
      <c r="J1173" s="25"/>
      <c r="K1173" s="25"/>
      <c r="L1173" s="25"/>
      <c r="M1173" s="25"/>
      <c r="N1173" s="25"/>
      <c r="O1173" s="25"/>
      <c r="P1173" s="25"/>
    </row>
    <row r="1174" spans="1:16" x14ac:dyDescent="0.3">
      <c r="A1174" s="25"/>
      <c r="B1174" s="25"/>
      <c r="C1174" s="25"/>
      <c r="D1174" s="26"/>
      <c r="E1174" s="26"/>
      <c r="F1174" s="26"/>
      <c r="G1174" s="26"/>
      <c r="H1174" s="26"/>
      <c r="I1174" s="25"/>
      <c r="J1174" s="25"/>
      <c r="K1174" s="25"/>
      <c r="L1174" s="25"/>
      <c r="M1174" s="25"/>
      <c r="N1174" s="25"/>
      <c r="O1174" s="25"/>
      <c r="P1174" s="25"/>
    </row>
    <row r="1175" spans="1:16" x14ac:dyDescent="0.3">
      <c r="A1175" s="25"/>
      <c r="B1175" s="25"/>
      <c r="C1175" s="25"/>
      <c r="D1175" s="26"/>
      <c r="E1175" s="26"/>
      <c r="F1175" s="26"/>
      <c r="G1175" s="26"/>
      <c r="H1175" s="26"/>
      <c r="I1175" s="25"/>
      <c r="J1175" s="25"/>
      <c r="K1175" s="25"/>
      <c r="L1175" s="25"/>
      <c r="M1175" s="25"/>
      <c r="N1175" s="25"/>
      <c r="O1175" s="25"/>
      <c r="P1175" s="25"/>
    </row>
    <row r="1176" spans="1:16" x14ac:dyDescent="0.3">
      <c r="A1176" s="25"/>
      <c r="B1176" s="25"/>
      <c r="C1176" s="25"/>
      <c r="D1176" s="26"/>
      <c r="E1176" s="26"/>
      <c r="F1176" s="26"/>
      <c r="G1176" s="26"/>
      <c r="H1176" s="26"/>
      <c r="I1176" s="25"/>
      <c r="J1176" s="25"/>
      <c r="K1176" s="25"/>
      <c r="L1176" s="25"/>
      <c r="M1176" s="25"/>
      <c r="N1176" s="25"/>
      <c r="O1176" s="25"/>
      <c r="P1176" s="25"/>
    </row>
    <row r="1177" spans="1:16" x14ac:dyDescent="0.3">
      <c r="A1177" s="25"/>
      <c r="B1177" s="25"/>
      <c r="C1177" s="25"/>
      <c r="D1177" s="26"/>
      <c r="E1177" s="26"/>
      <c r="F1177" s="26"/>
      <c r="G1177" s="26"/>
      <c r="H1177" s="26"/>
      <c r="I1177" s="25"/>
      <c r="J1177" s="25"/>
      <c r="K1177" s="25"/>
      <c r="L1177" s="25"/>
      <c r="M1177" s="25"/>
      <c r="N1177" s="25"/>
      <c r="O1177" s="25"/>
      <c r="P1177" s="25"/>
    </row>
    <row r="1178" spans="1:16" x14ac:dyDescent="0.3">
      <c r="A1178" s="25"/>
      <c r="B1178" s="25"/>
      <c r="C1178" s="25"/>
      <c r="D1178" s="26"/>
      <c r="E1178" s="26"/>
      <c r="F1178" s="26"/>
      <c r="G1178" s="26"/>
      <c r="H1178" s="26"/>
      <c r="I1178" s="25"/>
      <c r="J1178" s="25"/>
      <c r="K1178" s="25"/>
      <c r="L1178" s="25"/>
      <c r="M1178" s="25"/>
      <c r="N1178" s="25"/>
      <c r="O1178" s="25"/>
      <c r="P1178" s="25"/>
    </row>
    <row r="1179" spans="1:16" x14ac:dyDescent="0.3">
      <c r="A1179" s="25"/>
      <c r="B1179" s="25"/>
      <c r="C1179" s="25"/>
      <c r="D1179" s="26"/>
      <c r="E1179" s="26"/>
      <c r="F1179" s="26"/>
      <c r="G1179" s="26"/>
      <c r="H1179" s="26"/>
      <c r="I1179" s="25"/>
      <c r="J1179" s="25"/>
      <c r="K1179" s="25"/>
      <c r="L1179" s="25"/>
      <c r="M1179" s="25"/>
      <c r="N1179" s="25"/>
      <c r="O1179" s="25"/>
      <c r="P1179" s="25"/>
    </row>
    <row r="1180" spans="1:16" x14ac:dyDescent="0.3">
      <c r="A1180" s="25"/>
      <c r="B1180" s="25"/>
      <c r="C1180" s="25"/>
      <c r="D1180" s="26"/>
      <c r="E1180" s="26"/>
      <c r="F1180" s="26"/>
      <c r="G1180" s="26"/>
      <c r="H1180" s="26"/>
      <c r="I1180" s="25"/>
      <c r="J1180" s="25"/>
      <c r="K1180" s="25"/>
      <c r="L1180" s="25"/>
      <c r="M1180" s="25"/>
      <c r="N1180" s="25"/>
      <c r="O1180" s="25"/>
      <c r="P1180" s="25"/>
    </row>
    <row r="1181" spans="1:16" x14ac:dyDescent="0.3">
      <c r="A1181" s="25"/>
      <c r="B1181" s="25"/>
      <c r="C1181" s="25"/>
      <c r="D1181" s="26"/>
      <c r="E1181" s="26"/>
      <c r="F1181" s="26"/>
      <c r="G1181" s="26"/>
      <c r="H1181" s="26"/>
      <c r="I1181" s="25"/>
      <c r="J1181" s="25"/>
      <c r="K1181" s="25"/>
      <c r="L1181" s="25"/>
      <c r="M1181" s="25"/>
      <c r="N1181" s="25"/>
      <c r="O1181" s="25"/>
      <c r="P1181" s="25"/>
    </row>
    <row r="1182" spans="1:16" x14ac:dyDescent="0.3">
      <c r="A1182" s="25"/>
      <c r="B1182" s="25"/>
      <c r="C1182" s="25"/>
      <c r="D1182" s="26"/>
      <c r="E1182" s="26"/>
      <c r="F1182" s="26"/>
      <c r="G1182" s="26"/>
      <c r="H1182" s="26"/>
      <c r="I1182" s="25"/>
      <c r="J1182" s="25"/>
      <c r="K1182" s="25"/>
      <c r="L1182" s="25"/>
      <c r="M1182" s="25"/>
      <c r="N1182" s="25"/>
      <c r="O1182" s="25"/>
      <c r="P1182" s="25"/>
    </row>
    <row r="1183" spans="1:16" x14ac:dyDescent="0.3">
      <c r="A1183" s="25"/>
      <c r="B1183" s="25"/>
      <c r="C1183" s="25"/>
      <c r="D1183" s="26"/>
      <c r="E1183" s="26"/>
      <c r="F1183" s="26"/>
      <c r="G1183" s="26"/>
      <c r="H1183" s="26"/>
      <c r="I1183" s="25"/>
      <c r="J1183" s="25"/>
      <c r="K1183" s="25"/>
      <c r="L1183" s="25"/>
      <c r="M1183" s="25"/>
      <c r="N1183" s="25"/>
      <c r="O1183" s="25"/>
      <c r="P1183" s="25"/>
    </row>
    <row r="1184" spans="1:16" x14ac:dyDescent="0.3">
      <c r="A1184" s="25"/>
      <c r="B1184" s="25"/>
      <c r="C1184" s="25"/>
      <c r="D1184" s="26"/>
      <c r="E1184" s="26"/>
      <c r="F1184" s="26"/>
      <c r="G1184" s="26"/>
      <c r="H1184" s="26"/>
      <c r="I1184" s="25"/>
      <c r="J1184" s="25"/>
      <c r="K1184" s="25"/>
      <c r="L1184" s="25"/>
      <c r="M1184" s="25"/>
      <c r="N1184" s="25"/>
      <c r="O1184" s="25"/>
      <c r="P1184" s="25"/>
    </row>
    <row r="1185" spans="1:16" x14ac:dyDescent="0.3">
      <c r="A1185" s="25"/>
      <c r="B1185" s="25"/>
      <c r="C1185" s="25"/>
      <c r="D1185" s="26"/>
      <c r="E1185" s="26"/>
      <c r="F1185" s="26"/>
      <c r="G1185" s="26"/>
      <c r="H1185" s="26"/>
      <c r="I1185" s="25"/>
      <c r="J1185" s="25"/>
      <c r="K1185" s="25"/>
      <c r="L1185" s="25"/>
      <c r="M1185" s="25"/>
      <c r="N1185" s="25"/>
      <c r="O1185" s="25"/>
      <c r="P1185" s="25"/>
    </row>
    <row r="1186" spans="1:16" x14ac:dyDescent="0.3">
      <c r="A1186" s="25"/>
      <c r="B1186" s="25"/>
      <c r="C1186" s="25"/>
      <c r="D1186" s="26"/>
      <c r="E1186" s="26"/>
      <c r="F1186" s="26"/>
      <c r="G1186" s="26"/>
      <c r="H1186" s="26"/>
      <c r="I1186" s="25"/>
      <c r="J1186" s="25"/>
      <c r="K1186" s="25"/>
      <c r="L1186" s="25"/>
      <c r="M1186" s="25"/>
      <c r="N1186" s="25"/>
      <c r="O1186" s="25"/>
      <c r="P1186" s="25"/>
    </row>
    <row r="1187" spans="1:16" x14ac:dyDescent="0.3">
      <c r="A1187" s="25"/>
      <c r="B1187" s="25"/>
      <c r="C1187" s="25"/>
      <c r="D1187" s="26"/>
      <c r="E1187" s="26"/>
      <c r="F1187" s="26"/>
      <c r="G1187" s="26"/>
      <c r="H1187" s="26"/>
      <c r="I1187" s="25"/>
      <c r="J1187" s="25"/>
      <c r="K1187" s="25"/>
      <c r="L1187" s="25"/>
      <c r="M1187" s="25"/>
      <c r="N1187" s="25"/>
      <c r="O1187" s="25"/>
      <c r="P1187" s="25"/>
    </row>
    <row r="1188" spans="1:16" x14ac:dyDescent="0.3">
      <c r="A1188" s="25"/>
      <c r="B1188" s="25"/>
      <c r="C1188" s="25"/>
      <c r="D1188" s="26"/>
      <c r="E1188" s="26"/>
      <c r="F1188" s="26"/>
      <c r="G1188" s="26"/>
      <c r="H1188" s="26"/>
      <c r="I1188" s="25"/>
      <c r="J1188" s="25"/>
      <c r="K1188" s="25"/>
      <c r="L1188" s="25"/>
      <c r="M1188" s="25"/>
      <c r="N1188" s="25"/>
      <c r="O1188" s="25"/>
      <c r="P1188" s="25"/>
    </row>
    <row r="1189" spans="1:16" x14ac:dyDescent="0.3">
      <c r="A1189" s="25"/>
      <c r="B1189" s="25"/>
      <c r="C1189" s="25"/>
      <c r="D1189" s="26"/>
      <c r="E1189" s="26"/>
      <c r="F1189" s="26"/>
      <c r="G1189" s="26"/>
      <c r="H1189" s="26"/>
      <c r="I1189" s="25"/>
      <c r="J1189" s="25"/>
      <c r="K1189" s="25"/>
      <c r="L1189" s="25"/>
      <c r="M1189" s="25"/>
      <c r="N1189" s="25"/>
      <c r="O1189" s="25"/>
      <c r="P1189" s="25"/>
    </row>
    <row r="1190" spans="1:16" x14ac:dyDescent="0.3">
      <c r="A1190" s="25"/>
      <c r="B1190" s="25"/>
      <c r="C1190" s="25"/>
      <c r="D1190" s="26"/>
      <c r="E1190" s="26"/>
      <c r="F1190" s="26"/>
      <c r="G1190" s="26"/>
      <c r="H1190" s="26"/>
      <c r="I1190" s="25"/>
      <c r="J1190" s="25"/>
      <c r="K1190" s="25"/>
      <c r="L1190" s="25"/>
      <c r="M1190" s="25"/>
      <c r="N1190" s="25"/>
      <c r="O1190" s="25"/>
      <c r="P1190" s="25"/>
    </row>
    <row r="1191" spans="1:16" x14ac:dyDescent="0.3">
      <c r="A1191" s="25"/>
      <c r="B1191" s="25"/>
      <c r="C1191" s="25"/>
      <c r="D1191" s="26"/>
      <c r="E1191" s="26"/>
      <c r="F1191" s="26"/>
      <c r="G1191" s="26"/>
      <c r="H1191" s="26"/>
      <c r="I1191" s="25"/>
      <c r="J1191" s="25"/>
      <c r="K1191" s="25"/>
      <c r="L1191" s="25"/>
      <c r="M1191" s="25"/>
      <c r="N1191" s="25"/>
      <c r="O1191" s="25"/>
      <c r="P1191" s="25"/>
    </row>
    <row r="1192" spans="1:16" x14ac:dyDescent="0.3">
      <c r="A1192" s="25"/>
      <c r="B1192" s="25"/>
      <c r="C1192" s="25"/>
      <c r="D1192" s="26"/>
      <c r="E1192" s="26"/>
      <c r="F1192" s="26"/>
      <c r="G1192" s="26"/>
      <c r="H1192" s="26"/>
      <c r="I1192" s="25"/>
      <c r="J1192" s="25"/>
      <c r="K1192" s="25"/>
      <c r="L1192" s="25"/>
      <c r="M1192" s="25"/>
      <c r="N1192" s="25"/>
      <c r="O1192" s="25"/>
      <c r="P1192" s="25"/>
    </row>
    <row r="1193" spans="1:16" x14ac:dyDescent="0.3">
      <c r="A1193" s="25"/>
      <c r="B1193" s="25"/>
      <c r="C1193" s="25"/>
      <c r="D1193" s="26"/>
      <c r="E1193" s="26"/>
      <c r="F1193" s="26"/>
      <c r="G1193" s="26"/>
      <c r="H1193" s="26"/>
      <c r="I1193" s="25"/>
      <c r="J1193" s="25"/>
      <c r="K1193" s="25"/>
      <c r="L1193" s="25"/>
      <c r="M1193" s="25"/>
      <c r="N1193" s="25"/>
      <c r="O1193" s="25"/>
      <c r="P1193" s="25"/>
    </row>
    <row r="1194" spans="1:16" x14ac:dyDescent="0.3">
      <c r="A1194" s="25"/>
      <c r="B1194" s="25"/>
      <c r="C1194" s="25"/>
      <c r="D1194" s="26"/>
      <c r="E1194" s="26"/>
      <c r="F1194" s="26"/>
      <c r="G1194" s="26"/>
      <c r="H1194" s="26"/>
      <c r="I1194" s="25"/>
      <c r="J1194" s="25"/>
      <c r="K1194" s="25"/>
      <c r="L1194" s="25"/>
      <c r="M1194" s="25"/>
      <c r="N1194" s="25"/>
      <c r="O1194" s="25"/>
      <c r="P1194" s="25"/>
    </row>
    <row r="1195" spans="1:16" x14ac:dyDescent="0.3">
      <c r="A1195" s="25"/>
      <c r="B1195" s="25"/>
      <c r="C1195" s="25"/>
      <c r="D1195" s="26"/>
      <c r="E1195" s="26"/>
      <c r="F1195" s="26"/>
      <c r="G1195" s="26"/>
      <c r="H1195" s="26"/>
      <c r="I1195" s="25"/>
      <c r="J1195" s="25"/>
      <c r="K1195" s="25"/>
      <c r="L1195" s="25"/>
      <c r="M1195" s="25"/>
      <c r="N1195" s="25"/>
      <c r="O1195" s="25"/>
      <c r="P1195" s="25"/>
    </row>
    <row r="1196" spans="1:16" x14ac:dyDescent="0.3">
      <c r="A1196" s="25"/>
      <c r="B1196" s="25"/>
      <c r="C1196" s="25"/>
      <c r="D1196" s="26"/>
      <c r="E1196" s="26"/>
      <c r="F1196" s="26"/>
      <c r="G1196" s="26"/>
      <c r="H1196" s="26"/>
      <c r="I1196" s="25"/>
      <c r="J1196" s="25"/>
      <c r="K1196" s="25"/>
      <c r="L1196" s="25"/>
      <c r="M1196" s="25"/>
      <c r="N1196" s="25"/>
      <c r="O1196" s="25"/>
      <c r="P1196" s="25"/>
    </row>
    <row r="1197" spans="1:16" x14ac:dyDescent="0.3">
      <c r="A1197" s="25"/>
      <c r="B1197" s="25"/>
      <c r="C1197" s="25"/>
      <c r="D1197" s="26"/>
      <c r="E1197" s="26"/>
      <c r="F1197" s="26"/>
      <c r="G1197" s="26"/>
      <c r="H1197" s="26"/>
      <c r="I1197" s="25"/>
      <c r="J1197" s="25"/>
      <c r="K1197" s="25"/>
      <c r="L1197" s="25"/>
      <c r="M1197" s="25"/>
      <c r="N1197" s="25"/>
      <c r="O1197" s="25"/>
      <c r="P1197" s="25"/>
    </row>
    <row r="1198" spans="1:16" x14ac:dyDescent="0.3">
      <c r="A1198" s="25"/>
      <c r="B1198" s="25"/>
      <c r="C1198" s="25"/>
      <c r="D1198" s="26"/>
      <c r="E1198" s="26"/>
      <c r="F1198" s="26"/>
      <c r="G1198" s="26"/>
      <c r="H1198" s="26"/>
      <c r="I1198" s="25"/>
      <c r="J1198" s="25"/>
      <c r="K1198" s="25"/>
      <c r="L1198" s="25"/>
      <c r="M1198" s="25"/>
      <c r="N1198" s="25"/>
      <c r="O1198" s="25"/>
      <c r="P1198" s="25"/>
    </row>
    <row r="1199" spans="1:16" x14ac:dyDescent="0.3">
      <c r="A1199" s="25"/>
      <c r="B1199" s="25"/>
      <c r="C1199" s="25"/>
      <c r="D1199" s="26"/>
      <c r="E1199" s="26"/>
      <c r="F1199" s="26"/>
      <c r="G1199" s="26"/>
      <c r="H1199" s="26"/>
      <c r="I1199" s="25"/>
      <c r="J1199" s="25"/>
      <c r="K1199" s="25"/>
      <c r="L1199" s="25"/>
      <c r="M1199" s="25"/>
      <c r="N1199" s="25"/>
      <c r="O1199" s="25"/>
      <c r="P1199" s="25"/>
    </row>
    <row r="1200" spans="1:16" x14ac:dyDescent="0.3">
      <c r="A1200" s="25"/>
      <c r="B1200" s="25"/>
      <c r="C1200" s="25"/>
      <c r="D1200" s="26"/>
      <c r="E1200" s="26"/>
      <c r="F1200" s="26"/>
      <c r="G1200" s="26"/>
      <c r="H1200" s="26"/>
      <c r="I1200" s="25"/>
      <c r="J1200" s="25"/>
      <c r="K1200" s="25"/>
      <c r="L1200" s="25"/>
      <c r="M1200" s="25"/>
      <c r="N1200" s="25"/>
      <c r="O1200" s="25"/>
      <c r="P1200" s="25"/>
    </row>
    <row r="1201" spans="1:16" x14ac:dyDescent="0.3">
      <c r="A1201" s="25"/>
      <c r="B1201" s="25"/>
      <c r="C1201" s="25"/>
      <c r="D1201" s="26"/>
      <c r="E1201" s="26"/>
      <c r="F1201" s="26"/>
      <c r="G1201" s="26"/>
      <c r="H1201" s="26"/>
      <c r="I1201" s="25"/>
      <c r="J1201" s="25"/>
      <c r="K1201" s="25"/>
      <c r="L1201" s="25"/>
      <c r="M1201" s="25"/>
      <c r="N1201" s="25"/>
      <c r="O1201" s="25"/>
      <c r="P1201" s="25"/>
    </row>
    <row r="1202" spans="1:16" x14ac:dyDescent="0.3">
      <c r="A1202" s="25"/>
      <c r="B1202" s="25"/>
      <c r="C1202" s="25"/>
      <c r="D1202" s="26"/>
      <c r="E1202" s="26"/>
      <c r="F1202" s="26"/>
      <c r="G1202" s="26"/>
      <c r="H1202" s="26"/>
      <c r="I1202" s="25"/>
      <c r="J1202" s="25"/>
      <c r="K1202" s="25"/>
      <c r="L1202" s="25"/>
      <c r="M1202" s="25"/>
      <c r="N1202" s="25"/>
      <c r="O1202" s="25"/>
      <c r="P1202" s="25"/>
    </row>
    <row r="1203" spans="1:16" x14ac:dyDescent="0.3">
      <c r="A1203" s="25"/>
      <c r="B1203" s="25"/>
      <c r="C1203" s="25"/>
      <c r="D1203" s="26"/>
      <c r="E1203" s="26"/>
      <c r="F1203" s="26"/>
      <c r="G1203" s="26"/>
      <c r="H1203" s="26"/>
      <c r="I1203" s="25"/>
      <c r="J1203" s="25"/>
      <c r="K1203" s="25"/>
      <c r="L1203" s="25"/>
      <c r="M1203" s="25"/>
      <c r="N1203" s="25"/>
      <c r="O1203" s="25"/>
      <c r="P1203" s="25"/>
    </row>
    <row r="1204" spans="1:16" x14ac:dyDescent="0.3">
      <c r="A1204" s="25"/>
      <c r="B1204" s="25"/>
      <c r="C1204" s="25"/>
      <c r="D1204" s="26"/>
      <c r="E1204" s="26"/>
      <c r="F1204" s="26"/>
      <c r="G1204" s="26"/>
      <c r="H1204" s="26"/>
      <c r="I1204" s="25"/>
      <c r="J1204" s="25"/>
      <c r="K1204" s="25"/>
      <c r="L1204" s="25"/>
      <c r="M1204" s="25"/>
      <c r="N1204" s="25"/>
      <c r="O1204" s="25"/>
      <c r="P1204" s="25"/>
    </row>
    <row r="1205" spans="1:16" x14ac:dyDescent="0.3">
      <c r="A1205" s="25"/>
      <c r="B1205" s="25"/>
      <c r="C1205" s="25"/>
      <c r="D1205" s="26"/>
      <c r="E1205" s="26"/>
      <c r="F1205" s="26"/>
      <c r="G1205" s="26"/>
      <c r="H1205" s="26"/>
      <c r="I1205" s="25"/>
      <c r="J1205" s="25"/>
      <c r="K1205" s="25"/>
      <c r="L1205" s="25"/>
      <c r="M1205" s="25"/>
      <c r="N1205" s="25"/>
      <c r="O1205" s="25"/>
      <c r="P1205" s="25"/>
    </row>
    <row r="1206" spans="1:16" x14ac:dyDescent="0.3">
      <c r="A1206" s="25"/>
      <c r="B1206" s="25"/>
      <c r="C1206" s="25"/>
      <c r="D1206" s="26"/>
      <c r="E1206" s="26"/>
      <c r="F1206" s="26"/>
      <c r="G1206" s="26"/>
      <c r="H1206" s="26"/>
      <c r="I1206" s="25"/>
      <c r="J1206" s="25"/>
      <c r="K1206" s="25"/>
      <c r="L1206" s="25"/>
      <c r="M1206" s="25"/>
      <c r="N1206" s="25"/>
      <c r="O1206" s="25"/>
      <c r="P1206" s="25"/>
    </row>
    <row r="1207" spans="1:16" x14ac:dyDescent="0.3">
      <c r="A1207" s="25"/>
      <c r="B1207" s="25"/>
      <c r="C1207" s="25"/>
      <c r="D1207" s="26"/>
      <c r="E1207" s="26"/>
      <c r="F1207" s="26"/>
      <c r="G1207" s="26"/>
      <c r="H1207" s="26"/>
      <c r="I1207" s="25"/>
      <c r="J1207" s="25"/>
      <c r="K1207" s="25"/>
      <c r="L1207" s="25"/>
      <c r="M1207" s="25"/>
      <c r="N1207" s="25"/>
      <c r="O1207" s="25"/>
      <c r="P1207" s="25"/>
    </row>
    <row r="1208" spans="1:16" x14ac:dyDescent="0.3">
      <c r="A1208" s="25"/>
      <c r="B1208" s="25"/>
      <c r="C1208" s="25"/>
      <c r="D1208" s="26"/>
      <c r="E1208" s="26"/>
      <c r="F1208" s="26"/>
      <c r="G1208" s="26"/>
      <c r="H1208" s="26"/>
      <c r="I1208" s="25"/>
      <c r="J1208" s="25"/>
      <c r="K1208" s="25"/>
      <c r="L1208" s="25"/>
      <c r="M1208" s="25"/>
      <c r="N1208" s="25"/>
      <c r="O1208" s="25"/>
      <c r="P1208" s="25"/>
    </row>
    <row r="1209" spans="1:16" x14ac:dyDescent="0.3">
      <c r="A1209" s="25"/>
      <c r="B1209" s="25"/>
      <c r="C1209" s="25"/>
      <c r="D1209" s="26"/>
      <c r="E1209" s="26"/>
      <c r="F1209" s="26"/>
      <c r="G1209" s="26"/>
      <c r="H1209" s="26"/>
      <c r="I1209" s="25"/>
      <c r="J1209" s="25"/>
      <c r="K1209" s="25"/>
      <c r="L1209" s="25"/>
      <c r="M1209" s="25"/>
      <c r="N1209" s="25"/>
      <c r="O1209" s="25"/>
      <c r="P1209" s="25"/>
    </row>
    <row r="1210" spans="1:16" x14ac:dyDescent="0.3">
      <c r="A1210" s="25"/>
      <c r="B1210" s="25"/>
      <c r="C1210" s="25"/>
      <c r="D1210" s="26"/>
      <c r="E1210" s="26"/>
      <c r="F1210" s="26"/>
      <c r="G1210" s="26"/>
      <c r="H1210" s="26"/>
      <c r="I1210" s="25"/>
      <c r="J1210" s="25"/>
      <c r="K1210" s="25"/>
      <c r="L1210" s="25"/>
      <c r="M1210" s="25"/>
      <c r="N1210" s="25"/>
      <c r="O1210" s="25"/>
      <c r="P1210" s="25"/>
    </row>
    <row r="1211" spans="1:16" x14ac:dyDescent="0.3">
      <c r="A1211" s="25"/>
      <c r="B1211" s="25"/>
      <c r="C1211" s="25"/>
      <c r="D1211" s="26"/>
      <c r="E1211" s="26"/>
      <c r="F1211" s="26"/>
      <c r="G1211" s="26"/>
      <c r="H1211" s="26"/>
      <c r="I1211" s="25"/>
      <c r="J1211" s="25"/>
      <c r="K1211" s="25"/>
      <c r="L1211" s="25"/>
      <c r="M1211" s="25"/>
      <c r="N1211" s="25"/>
      <c r="O1211" s="25"/>
      <c r="P1211" s="25"/>
    </row>
    <row r="1212" spans="1:16" x14ac:dyDescent="0.3">
      <c r="A1212" s="25"/>
      <c r="B1212" s="25"/>
      <c r="C1212" s="25"/>
      <c r="D1212" s="26"/>
      <c r="E1212" s="26"/>
      <c r="F1212" s="26"/>
      <c r="G1212" s="26"/>
      <c r="H1212" s="26"/>
      <c r="I1212" s="25"/>
      <c r="J1212" s="25"/>
      <c r="K1212" s="25"/>
      <c r="L1212" s="25"/>
      <c r="M1212" s="25"/>
      <c r="N1212" s="25"/>
      <c r="O1212" s="25"/>
      <c r="P1212" s="25"/>
    </row>
    <row r="1213" spans="1:16" x14ac:dyDescent="0.3">
      <c r="A1213" s="25"/>
      <c r="B1213" s="25"/>
      <c r="C1213" s="25"/>
      <c r="D1213" s="26"/>
      <c r="E1213" s="26"/>
      <c r="F1213" s="26"/>
      <c r="G1213" s="26"/>
      <c r="H1213" s="26"/>
      <c r="I1213" s="25"/>
      <c r="J1213" s="25"/>
      <c r="K1213" s="25"/>
      <c r="L1213" s="25"/>
      <c r="M1213" s="25"/>
      <c r="N1213" s="25"/>
      <c r="O1213" s="25"/>
      <c r="P1213" s="25"/>
    </row>
    <row r="1214" spans="1:16" x14ac:dyDescent="0.3">
      <c r="A1214" s="25"/>
      <c r="B1214" s="25"/>
      <c r="C1214" s="25"/>
      <c r="D1214" s="26"/>
      <c r="E1214" s="26"/>
      <c r="F1214" s="26"/>
      <c r="G1214" s="26"/>
      <c r="H1214" s="26"/>
      <c r="I1214" s="25"/>
      <c r="J1214" s="25"/>
      <c r="K1214" s="25"/>
      <c r="L1214" s="25"/>
      <c r="M1214" s="25"/>
      <c r="N1214" s="25"/>
      <c r="O1214" s="25"/>
      <c r="P1214" s="25"/>
    </row>
    <row r="1215" spans="1:16" x14ac:dyDescent="0.3">
      <c r="A1215" s="25"/>
      <c r="B1215" s="25"/>
      <c r="C1215" s="25"/>
      <c r="D1215" s="26"/>
      <c r="E1215" s="26"/>
      <c r="F1215" s="26"/>
      <c r="G1215" s="26"/>
      <c r="H1215" s="26"/>
      <c r="I1215" s="25"/>
      <c r="J1215" s="25"/>
      <c r="K1215" s="25"/>
      <c r="L1215" s="25"/>
      <c r="M1215" s="25"/>
      <c r="N1215" s="25"/>
      <c r="O1215" s="25"/>
      <c r="P1215" s="25"/>
    </row>
    <row r="1216" spans="1:16" x14ac:dyDescent="0.3">
      <c r="A1216" s="25"/>
      <c r="B1216" s="25"/>
      <c r="C1216" s="25"/>
      <c r="D1216" s="26"/>
      <c r="E1216" s="26"/>
      <c r="F1216" s="26"/>
      <c r="G1216" s="26"/>
      <c r="H1216" s="26"/>
      <c r="I1216" s="25"/>
      <c r="J1216" s="25"/>
      <c r="K1216" s="25"/>
      <c r="L1216" s="25"/>
      <c r="M1216" s="25"/>
      <c r="N1216" s="25"/>
      <c r="O1216" s="25"/>
      <c r="P1216" s="25"/>
    </row>
    <row r="1217" spans="1:16" x14ac:dyDescent="0.3">
      <c r="A1217" s="25"/>
      <c r="B1217" s="25"/>
      <c r="C1217" s="25"/>
      <c r="D1217" s="26"/>
      <c r="E1217" s="26"/>
      <c r="F1217" s="26"/>
      <c r="G1217" s="26"/>
      <c r="H1217" s="26"/>
      <c r="I1217" s="25"/>
      <c r="J1217" s="25"/>
      <c r="K1217" s="25"/>
      <c r="L1217" s="25"/>
      <c r="M1217" s="25"/>
      <c r="N1217" s="25"/>
      <c r="O1217" s="25"/>
      <c r="P1217" s="25"/>
    </row>
    <row r="1218" spans="1:16" x14ac:dyDescent="0.3">
      <c r="A1218" s="25"/>
      <c r="B1218" s="25"/>
      <c r="C1218" s="25"/>
      <c r="D1218" s="26"/>
      <c r="E1218" s="26"/>
      <c r="F1218" s="26"/>
      <c r="G1218" s="26"/>
      <c r="H1218" s="26"/>
      <c r="I1218" s="25"/>
      <c r="J1218" s="25"/>
      <c r="K1218" s="25"/>
      <c r="L1218" s="25"/>
      <c r="M1218" s="25"/>
      <c r="N1218" s="25"/>
      <c r="O1218" s="25"/>
      <c r="P1218" s="25"/>
    </row>
    <row r="1219" spans="1:16" x14ac:dyDescent="0.3">
      <c r="A1219" s="25"/>
      <c r="B1219" s="25"/>
      <c r="C1219" s="25"/>
      <c r="D1219" s="26"/>
      <c r="E1219" s="26"/>
      <c r="F1219" s="26"/>
      <c r="G1219" s="26"/>
      <c r="H1219" s="26"/>
      <c r="I1219" s="25"/>
      <c r="J1219" s="25"/>
      <c r="K1219" s="25"/>
      <c r="L1219" s="25"/>
      <c r="M1219" s="25"/>
      <c r="N1219" s="25"/>
      <c r="O1219" s="25"/>
      <c r="P1219" s="25"/>
    </row>
    <row r="1220" spans="1:16" x14ac:dyDescent="0.3">
      <c r="A1220" s="25"/>
      <c r="B1220" s="25"/>
      <c r="C1220" s="25"/>
      <c r="D1220" s="26"/>
      <c r="E1220" s="26"/>
      <c r="F1220" s="26"/>
      <c r="G1220" s="26"/>
      <c r="H1220" s="26"/>
      <c r="I1220" s="25"/>
      <c r="J1220" s="25"/>
      <c r="K1220" s="25"/>
      <c r="L1220" s="25"/>
      <c r="M1220" s="25"/>
      <c r="N1220" s="25"/>
      <c r="O1220" s="25"/>
      <c r="P1220" s="25"/>
    </row>
    <row r="1221" spans="1:16" x14ac:dyDescent="0.3">
      <c r="A1221" s="25"/>
      <c r="B1221" s="25"/>
      <c r="C1221" s="25"/>
      <c r="D1221" s="26"/>
      <c r="E1221" s="26"/>
      <c r="F1221" s="26"/>
      <c r="G1221" s="26"/>
      <c r="H1221" s="26"/>
      <c r="I1221" s="25"/>
      <c r="J1221" s="25"/>
      <c r="K1221" s="25"/>
      <c r="L1221" s="25"/>
      <c r="M1221" s="25"/>
      <c r="N1221" s="25"/>
      <c r="O1221" s="25"/>
      <c r="P1221" s="25"/>
    </row>
    <row r="1222" spans="1:16" x14ac:dyDescent="0.3">
      <c r="A1222" s="25"/>
      <c r="B1222" s="25"/>
      <c r="C1222" s="25"/>
      <c r="D1222" s="26"/>
      <c r="E1222" s="26"/>
      <c r="F1222" s="26"/>
      <c r="G1222" s="26"/>
      <c r="H1222" s="26"/>
      <c r="I1222" s="25"/>
      <c r="J1222" s="25"/>
      <c r="K1222" s="25"/>
      <c r="L1222" s="25"/>
      <c r="M1222" s="25"/>
      <c r="N1222" s="25"/>
      <c r="O1222" s="25"/>
      <c r="P1222" s="25"/>
    </row>
    <row r="1223" spans="1:16" x14ac:dyDescent="0.3">
      <c r="A1223" s="25"/>
      <c r="B1223" s="25"/>
      <c r="C1223" s="25"/>
      <c r="D1223" s="26"/>
      <c r="E1223" s="26"/>
      <c r="F1223" s="26"/>
      <c r="G1223" s="26"/>
      <c r="H1223" s="26"/>
      <c r="I1223" s="25"/>
      <c r="J1223" s="25"/>
      <c r="K1223" s="25"/>
      <c r="L1223" s="25"/>
      <c r="M1223" s="25"/>
      <c r="N1223" s="25"/>
      <c r="O1223" s="25"/>
      <c r="P1223" s="25"/>
    </row>
    <row r="1224" spans="1:16" x14ac:dyDescent="0.3">
      <c r="A1224" s="25"/>
      <c r="B1224" s="25"/>
      <c r="C1224" s="25"/>
      <c r="D1224" s="26"/>
      <c r="E1224" s="26"/>
      <c r="F1224" s="26"/>
      <c r="G1224" s="26"/>
      <c r="H1224" s="26"/>
      <c r="I1224" s="25"/>
      <c r="J1224" s="25"/>
      <c r="K1224" s="25"/>
      <c r="L1224" s="25"/>
      <c r="M1224" s="25"/>
      <c r="N1224" s="25"/>
      <c r="O1224" s="25"/>
      <c r="P1224" s="25"/>
    </row>
    <row r="1225" spans="1:16" x14ac:dyDescent="0.3">
      <c r="A1225" s="25"/>
      <c r="B1225" s="25"/>
      <c r="C1225" s="25"/>
      <c r="D1225" s="26"/>
      <c r="E1225" s="26"/>
      <c r="F1225" s="26"/>
      <c r="G1225" s="26"/>
      <c r="H1225" s="26"/>
      <c r="I1225" s="25"/>
      <c r="J1225" s="25"/>
      <c r="K1225" s="25"/>
      <c r="L1225" s="25"/>
      <c r="M1225" s="25"/>
      <c r="N1225" s="25"/>
      <c r="O1225" s="25"/>
      <c r="P1225" s="25"/>
    </row>
    <row r="1226" spans="1:16" x14ac:dyDescent="0.3">
      <c r="A1226" s="25"/>
      <c r="B1226" s="25"/>
      <c r="C1226" s="25"/>
      <c r="D1226" s="26"/>
      <c r="E1226" s="26"/>
      <c r="F1226" s="26"/>
      <c r="G1226" s="26"/>
      <c r="H1226" s="26"/>
      <c r="I1226" s="25"/>
      <c r="J1226" s="25"/>
      <c r="K1226" s="25"/>
      <c r="L1226" s="25"/>
      <c r="M1226" s="25"/>
      <c r="N1226" s="25"/>
      <c r="O1226" s="25"/>
      <c r="P1226" s="25"/>
    </row>
    <row r="1227" spans="1:16" x14ac:dyDescent="0.3">
      <c r="A1227" s="25"/>
      <c r="B1227" s="25"/>
      <c r="C1227" s="25"/>
      <c r="D1227" s="26"/>
      <c r="E1227" s="26"/>
      <c r="F1227" s="26"/>
      <c r="G1227" s="26"/>
      <c r="H1227" s="26"/>
      <c r="I1227" s="25"/>
      <c r="J1227" s="25"/>
      <c r="K1227" s="25"/>
      <c r="L1227" s="25"/>
      <c r="M1227" s="25"/>
      <c r="N1227" s="25"/>
      <c r="O1227" s="25"/>
      <c r="P1227" s="25"/>
    </row>
    <row r="1228" spans="1:16" x14ac:dyDescent="0.3">
      <c r="A1228" s="25"/>
      <c r="B1228" s="25"/>
      <c r="C1228" s="25"/>
      <c r="D1228" s="26"/>
      <c r="E1228" s="26"/>
      <c r="F1228" s="26"/>
      <c r="G1228" s="26"/>
      <c r="H1228" s="26"/>
      <c r="I1228" s="25"/>
      <c r="J1228" s="25"/>
      <c r="K1228" s="25"/>
      <c r="L1228" s="25"/>
      <c r="M1228" s="25"/>
      <c r="N1228" s="25"/>
      <c r="O1228" s="25"/>
      <c r="P1228" s="25"/>
    </row>
    <row r="1229" spans="1:16" x14ac:dyDescent="0.3">
      <c r="A1229" s="25"/>
      <c r="B1229" s="25"/>
      <c r="C1229" s="25"/>
      <c r="D1229" s="26"/>
      <c r="E1229" s="26"/>
      <c r="F1229" s="26"/>
      <c r="G1229" s="26"/>
      <c r="H1229" s="26"/>
      <c r="I1229" s="25"/>
      <c r="J1229" s="25"/>
      <c r="K1229" s="25"/>
      <c r="L1229" s="25"/>
      <c r="M1229" s="25"/>
      <c r="N1229" s="25"/>
      <c r="O1229" s="25"/>
      <c r="P1229" s="25"/>
    </row>
    <row r="1230" spans="1:16" x14ac:dyDescent="0.3">
      <c r="A1230" s="25"/>
      <c r="B1230" s="25"/>
      <c r="C1230" s="25"/>
      <c r="D1230" s="26"/>
      <c r="E1230" s="26"/>
      <c r="F1230" s="26"/>
      <c r="G1230" s="26"/>
      <c r="H1230" s="26"/>
      <c r="I1230" s="25"/>
      <c r="J1230" s="25"/>
      <c r="K1230" s="25"/>
      <c r="L1230" s="25"/>
      <c r="M1230" s="25"/>
      <c r="N1230" s="25"/>
      <c r="O1230" s="25"/>
      <c r="P1230" s="25"/>
    </row>
    <row r="1231" spans="1:16" x14ac:dyDescent="0.3">
      <c r="A1231" s="25"/>
      <c r="B1231" s="25"/>
      <c r="C1231" s="25"/>
      <c r="D1231" s="26"/>
      <c r="E1231" s="26"/>
      <c r="F1231" s="26"/>
      <c r="G1231" s="26"/>
      <c r="H1231" s="26"/>
      <c r="I1231" s="25"/>
      <c r="J1231" s="25"/>
      <c r="K1231" s="25"/>
      <c r="L1231" s="25"/>
      <c r="M1231" s="25"/>
      <c r="N1231" s="25"/>
      <c r="O1231" s="25"/>
      <c r="P1231" s="25"/>
    </row>
    <row r="1232" spans="1:16" x14ac:dyDescent="0.3">
      <c r="A1232" s="25"/>
      <c r="B1232" s="25"/>
      <c r="C1232" s="25"/>
      <c r="D1232" s="26"/>
      <c r="E1232" s="26"/>
      <c r="F1232" s="26"/>
      <c r="G1232" s="26"/>
      <c r="H1232" s="26"/>
      <c r="I1232" s="25"/>
      <c r="J1232" s="25"/>
      <c r="K1232" s="25"/>
      <c r="L1232" s="25"/>
      <c r="M1232" s="25"/>
      <c r="N1232" s="25"/>
      <c r="O1232" s="25"/>
      <c r="P1232" s="25"/>
    </row>
    <row r="1233" spans="1:16" x14ac:dyDescent="0.3">
      <c r="A1233" s="25"/>
      <c r="B1233" s="25"/>
      <c r="C1233" s="25"/>
      <c r="D1233" s="26"/>
      <c r="E1233" s="26"/>
      <c r="F1233" s="26"/>
      <c r="G1233" s="26"/>
      <c r="H1233" s="26"/>
      <c r="I1233" s="25"/>
      <c r="J1233" s="25"/>
      <c r="K1233" s="25"/>
      <c r="L1233" s="25"/>
      <c r="M1233" s="25"/>
      <c r="N1233" s="25"/>
      <c r="O1233" s="25"/>
      <c r="P1233" s="25"/>
    </row>
    <row r="1234" spans="1:16" x14ac:dyDescent="0.3">
      <c r="A1234" s="25"/>
      <c r="B1234" s="25"/>
      <c r="C1234" s="25"/>
      <c r="D1234" s="26"/>
      <c r="E1234" s="26"/>
      <c r="F1234" s="26"/>
      <c r="G1234" s="26"/>
      <c r="H1234" s="26"/>
      <c r="I1234" s="25"/>
      <c r="J1234" s="25"/>
      <c r="K1234" s="25"/>
      <c r="L1234" s="25"/>
      <c r="M1234" s="25"/>
      <c r="N1234" s="25"/>
      <c r="O1234" s="25"/>
      <c r="P1234" s="25"/>
    </row>
    <row r="1235" spans="1:16" x14ac:dyDescent="0.3">
      <c r="A1235" s="25"/>
      <c r="B1235" s="25"/>
      <c r="C1235" s="25"/>
      <c r="D1235" s="26"/>
      <c r="E1235" s="26"/>
      <c r="F1235" s="26"/>
      <c r="G1235" s="26"/>
      <c r="H1235" s="26"/>
      <c r="I1235" s="25"/>
      <c r="J1235" s="25"/>
      <c r="K1235" s="25"/>
      <c r="L1235" s="25"/>
      <c r="M1235" s="25"/>
      <c r="N1235" s="25"/>
      <c r="O1235" s="25"/>
      <c r="P1235" s="25"/>
    </row>
    <row r="1236" spans="1:16" x14ac:dyDescent="0.3">
      <c r="A1236" s="25"/>
      <c r="B1236" s="25"/>
      <c r="C1236" s="25"/>
      <c r="D1236" s="26"/>
      <c r="E1236" s="26"/>
      <c r="F1236" s="26"/>
      <c r="G1236" s="26"/>
      <c r="H1236" s="26"/>
      <c r="I1236" s="25"/>
      <c r="J1236" s="25"/>
      <c r="K1236" s="25"/>
      <c r="L1236" s="25"/>
      <c r="M1236" s="25"/>
      <c r="N1236" s="25"/>
      <c r="O1236" s="25"/>
      <c r="P1236" s="25"/>
    </row>
    <row r="1237" spans="1:16" x14ac:dyDescent="0.3">
      <c r="A1237" s="25"/>
      <c r="B1237" s="25"/>
      <c r="C1237" s="25"/>
      <c r="D1237" s="26"/>
      <c r="E1237" s="26"/>
      <c r="F1237" s="26"/>
      <c r="G1237" s="26"/>
      <c r="H1237" s="26"/>
      <c r="I1237" s="25"/>
      <c r="J1237" s="25"/>
      <c r="K1237" s="25"/>
      <c r="L1237" s="25"/>
      <c r="M1237" s="25"/>
      <c r="N1237" s="25"/>
      <c r="O1237" s="25"/>
      <c r="P1237" s="25"/>
    </row>
    <row r="1238" spans="1:16" x14ac:dyDescent="0.3">
      <c r="A1238" s="25"/>
      <c r="B1238" s="25"/>
      <c r="C1238" s="25"/>
      <c r="D1238" s="26"/>
      <c r="E1238" s="26"/>
      <c r="F1238" s="26"/>
      <c r="G1238" s="26"/>
      <c r="H1238" s="26"/>
      <c r="I1238" s="25"/>
      <c r="J1238" s="25"/>
      <c r="K1238" s="25"/>
      <c r="L1238" s="25"/>
      <c r="M1238" s="25"/>
      <c r="N1238" s="25"/>
      <c r="O1238" s="25"/>
      <c r="P1238" s="25"/>
    </row>
    <row r="1239" spans="1:16" x14ac:dyDescent="0.3">
      <c r="A1239" s="25"/>
      <c r="B1239" s="25"/>
      <c r="C1239" s="25"/>
      <c r="D1239" s="26"/>
      <c r="E1239" s="26"/>
      <c r="F1239" s="26"/>
      <c r="G1239" s="26"/>
      <c r="H1239" s="26"/>
      <c r="I1239" s="25"/>
      <c r="J1239" s="25"/>
      <c r="K1239" s="25"/>
      <c r="L1239" s="25"/>
      <c r="M1239" s="25"/>
      <c r="N1239" s="25"/>
      <c r="O1239" s="25"/>
      <c r="P1239" s="25"/>
    </row>
    <row r="1240" spans="1:16" x14ac:dyDescent="0.3">
      <c r="A1240" s="25"/>
      <c r="B1240" s="25"/>
      <c r="C1240" s="25"/>
      <c r="D1240" s="26"/>
      <c r="E1240" s="26"/>
      <c r="F1240" s="26"/>
      <c r="G1240" s="26"/>
      <c r="H1240" s="26"/>
      <c r="I1240" s="25"/>
      <c r="J1240" s="25"/>
      <c r="K1240" s="25"/>
      <c r="L1240" s="25"/>
      <c r="M1240" s="25"/>
      <c r="N1240" s="25"/>
      <c r="O1240" s="25"/>
      <c r="P1240" s="25"/>
    </row>
    <row r="1241" spans="1:16" x14ac:dyDescent="0.3">
      <c r="A1241" s="25"/>
      <c r="B1241" s="25"/>
      <c r="C1241" s="25"/>
      <c r="D1241" s="26"/>
      <c r="E1241" s="26"/>
      <c r="F1241" s="26"/>
      <c r="G1241" s="26"/>
      <c r="H1241" s="26"/>
      <c r="I1241" s="25"/>
      <c r="J1241" s="25"/>
      <c r="K1241" s="25"/>
      <c r="L1241" s="25"/>
      <c r="M1241" s="25"/>
      <c r="N1241" s="25"/>
      <c r="O1241" s="25"/>
      <c r="P1241" s="25"/>
    </row>
    <row r="1242" spans="1:16" x14ac:dyDescent="0.3">
      <c r="A1242" s="25"/>
      <c r="B1242" s="25"/>
      <c r="C1242" s="25"/>
      <c r="D1242" s="26"/>
      <c r="E1242" s="26"/>
      <c r="F1242" s="26"/>
      <c r="G1242" s="26"/>
      <c r="H1242" s="26"/>
      <c r="I1242" s="25"/>
      <c r="J1242" s="25"/>
      <c r="K1242" s="25"/>
      <c r="L1242" s="25"/>
      <c r="M1242" s="25"/>
      <c r="N1242" s="25"/>
      <c r="O1242" s="25"/>
      <c r="P1242" s="25"/>
    </row>
    <row r="1243" spans="1:16" x14ac:dyDescent="0.3">
      <c r="A1243" s="25"/>
      <c r="B1243" s="25"/>
      <c r="C1243" s="25"/>
      <c r="D1243" s="26"/>
      <c r="E1243" s="26"/>
      <c r="F1243" s="26"/>
      <c r="G1243" s="26"/>
      <c r="H1243" s="26"/>
      <c r="I1243" s="25"/>
      <c r="J1243" s="25"/>
      <c r="K1243" s="25"/>
      <c r="L1243" s="25"/>
      <c r="M1243" s="25"/>
      <c r="N1243" s="25"/>
      <c r="O1243" s="25"/>
      <c r="P1243" s="25"/>
    </row>
    <row r="1244" spans="1:16" x14ac:dyDescent="0.3">
      <c r="A1244" s="25"/>
      <c r="B1244" s="25"/>
      <c r="C1244" s="25"/>
      <c r="D1244" s="26"/>
      <c r="E1244" s="26"/>
      <c r="F1244" s="26"/>
      <c r="G1244" s="26"/>
      <c r="H1244" s="26"/>
      <c r="I1244" s="25"/>
      <c r="J1244" s="25"/>
      <c r="K1244" s="25"/>
      <c r="L1244" s="25"/>
      <c r="M1244" s="25"/>
      <c r="N1244" s="25"/>
      <c r="O1244" s="25"/>
      <c r="P1244" s="25"/>
    </row>
    <row r="1245" spans="1:16" x14ac:dyDescent="0.3">
      <c r="A1245" s="25"/>
      <c r="B1245" s="25"/>
      <c r="C1245" s="25"/>
      <c r="D1245" s="26"/>
      <c r="E1245" s="26"/>
      <c r="F1245" s="26"/>
      <c r="G1245" s="26"/>
      <c r="H1245" s="26"/>
      <c r="I1245" s="25"/>
      <c r="J1245" s="25"/>
      <c r="K1245" s="25"/>
      <c r="L1245" s="25"/>
      <c r="M1245" s="25"/>
      <c r="N1245" s="25"/>
      <c r="O1245" s="25"/>
      <c r="P1245" s="25"/>
    </row>
    <row r="1246" spans="1:16" x14ac:dyDescent="0.3">
      <c r="A1246" s="25"/>
      <c r="B1246" s="25"/>
      <c r="C1246" s="25"/>
      <c r="D1246" s="26"/>
      <c r="E1246" s="26"/>
      <c r="F1246" s="26"/>
      <c r="G1246" s="26"/>
      <c r="H1246" s="26"/>
      <c r="I1246" s="25"/>
      <c r="J1246" s="25"/>
      <c r="K1246" s="25"/>
      <c r="L1246" s="25"/>
      <c r="M1246" s="25"/>
      <c r="N1246" s="25"/>
      <c r="O1246" s="25"/>
      <c r="P1246" s="25"/>
    </row>
    <row r="1247" spans="1:16" x14ac:dyDescent="0.3">
      <c r="A1247" s="25"/>
      <c r="B1247" s="25"/>
      <c r="C1247" s="25"/>
      <c r="D1247" s="26"/>
      <c r="E1247" s="26"/>
      <c r="F1247" s="26"/>
      <c r="G1247" s="26"/>
      <c r="H1247" s="26"/>
      <c r="I1247" s="25"/>
      <c r="J1247" s="25"/>
      <c r="K1247" s="25"/>
      <c r="L1247" s="25"/>
      <c r="M1247" s="25"/>
      <c r="N1247" s="25"/>
      <c r="O1247" s="25"/>
      <c r="P1247" s="25"/>
    </row>
    <row r="1248" spans="1:16" x14ac:dyDescent="0.3">
      <c r="A1248" s="25"/>
      <c r="B1248" s="25"/>
      <c r="C1248" s="25"/>
      <c r="D1248" s="26"/>
      <c r="E1248" s="26"/>
      <c r="F1248" s="26"/>
      <c r="G1248" s="26"/>
      <c r="H1248" s="26"/>
      <c r="I1248" s="25"/>
      <c r="J1248" s="25"/>
      <c r="K1248" s="25"/>
      <c r="L1248" s="25"/>
      <c r="M1248" s="25"/>
      <c r="N1248" s="25"/>
      <c r="O1248" s="25"/>
      <c r="P1248" s="25"/>
    </row>
    <row r="1249" spans="1:16" x14ac:dyDescent="0.3">
      <c r="A1249" s="25"/>
      <c r="B1249" s="25"/>
      <c r="C1249" s="25"/>
      <c r="D1249" s="26"/>
      <c r="E1249" s="26"/>
      <c r="F1249" s="26"/>
      <c r="G1249" s="26"/>
      <c r="H1249" s="26"/>
      <c r="I1249" s="25"/>
      <c r="J1249" s="25"/>
      <c r="K1249" s="25"/>
      <c r="L1249" s="25"/>
      <c r="M1249" s="25"/>
      <c r="N1249" s="25"/>
      <c r="O1249" s="25"/>
      <c r="P1249" s="25"/>
    </row>
    <row r="1250" spans="1:16" x14ac:dyDescent="0.3">
      <c r="A1250" s="25"/>
      <c r="B1250" s="25"/>
      <c r="C1250" s="25"/>
      <c r="D1250" s="26"/>
      <c r="E1250" s="26"/>
      <c r="F1250" s="26"/>
      <c r="G1250" s="26"/>
      <c r="H1250" s="26"/>
      <c r="I1250" s="25"/>
      <c r="J1250" s="25"/>
      <c r="K1250" s="25"/>
      <c r="L1250" s="25"/>
      <c r="M1250" s="25"/>
      <c r="N1250" s="25"/>
      <c r="O1250" s="25"/>
      <c r="P1250" s="25"/>
    </row>
    <row r="1251" spans="1:16" x14ac:dyDescent="0.3">
      <c r="A1251" s="25"/>
      <c r="B1251" s="25"/>
      <c r="C1251" s="25"/>
      <c r="D1251" s="26"/>
      <c r="E1251" s="26"/>
      <c r="F1251" s="26"/>
      <c r="G1251" s="26"/>
      <c r="H1251" s="26"/>
      <c r="I1251" s="25"/>
      <c r="J1251" s="25"/>
      <c r="K1251" s="25"/>
      <c r="L1251" s="25"/>
      <c r="M1251" s="25"/>
      <c r="N1251" s="25"/>
      <c r="O1251" s="25"/>
      <c r="P1251" s="25"/>
    </row>
    <row r="1252" spans="1:16" x14ac:dyDescent="0.3">
      <c r="A1252" s="25"/>
      <c r="B1252" s="25"/>
      <c r="C1252" s="25"/>
      <c r="D1252" s="26"/>
      <c r="E1252" s="26"/>
      <c r="F1252" s="26"/>
      <c r="G1252" s="26"/>
      <c r="H1252" s="26"/>
      <c r="I1252" s="25"/>
      <c r="J1252" s="25"/>
      <c r="K1252" s="25"/>
      <c r="L1252" s="25"/>
      <c r="M1252" s="25"/>
      <c r="N1252" s="25"/>
      <c r="O1252" s="25"/>
      <c r="P1252" s="25"/>
    </row>
    <row r="1253" spans="1:16" x14ac:dyDescent="0.3">
      <c r="A1253" s="25"/>
      <c r="B1253" s="25"/>
      <c r="C1253" s="25"/>
      <c r="D1253" s="26"/>
      <c r="E1253" s="26"/>
      <c r="F1253" s="26"/>
      <c r="G1253" s="26"/>
      <c r="H1253" s="26"/>
      <c r="I1253" s="25"/>
      <c r="J1253" s="25"/>
      <c r="K1253" s="25"/>
      <c r="L1253" s="25"/>
      <c r="M1253" s="25"/>
      <c r="N1253" s="25"/>
      <c r="O1253" s="25"/>
      <c r="P1253" s="25"/>
    </row>
    <row r="1254" spans="1:16" x14ac:dyDescent="0.3">
      <c r="A1254" s="25"/>
      <c r="B1254" s="25"/>
      <c r="C1254" s="25"/>
      <c r="D1254" s="26"/>
      <c r="E1254" s="26"/>
      <c r="F1254" s="26"/>
      <c r="G1254" s="26"/>
      <c r="H1254" s="26"/>
      <c r="I1254" s="25"/>
      <c r="J1254" s="25"/>
      <c r="K1254" s="25"/>
      <c r="L1254" s="25"/>
      <c r="M1254" s="25"/>
      <c r="N1254" s="25"/>
      <c r="O1254" s="25"/>
      <c r="P1254" s="25"/>
    </row>
    <row r="1255" spans="1:16" x14ac:dyDescent="0.3">
      <c r="A1255" s="25"/>
      <c r="B1255" s="25"/>
      <c r="C1255" s="25"/>
      <c r="D1255" s="26"/>
      <c r="E1255" s="26"/>
      <c r="F1255" s="26"/>
      <c r="G1255" s="26"/>
      <c r="H1255" s="26"/>
      <c r="I1255" s="25"/>
      <c r="J1255" s="25"/>
      <c r="K1255" s="25"/>
      <c r="L1255" s="25"/>
      <c r="M1255" s="25"/>
      <c r="N1255" s="25"/>
      <c r="O1255" s="25"/>
      <c r="P1255" s="25"/>
    </row>
    <row r="1256" spans="1:16" x14ac:dyDescent="0.3">
      <c r="A1256" s="25"/>
      <c r="B1256" s="25"/>
      <c r="C1256" s="25"/>
      <c r="D1256" s="26"/>
      <c r="E1256" s="26"/>
      <c r="F1256" s="26"/>
      <c r="G1256" s="26"/>
      <c r="H1256" s="26"/>
      <c r="I1256" s="25"/>
      <c r="J1256" s="25"/>
      <c r="K1256" s="25"/>
      <c r="L1256" s="25"/>
      <c r="M1256" s="25"/>
      <c r="N1256" s="25"/>
      <c r="O1256" s="25"/>
      <c r="P1256" s="25"/>
    </row>
    <row r="1257" spans="1:16" x14ac:dyDescent="0.3">
      <c r="A1257" s="25"/>
      <c r="B1257" s="25"/>
      <c r="C1257" s="25"/>
      <c r="D1257" s="26"/>
      <c r="E1257" s="26"/>
      <c r="F1257" s="26"/>
      <c r="G1257" s="26"/>
      <c r="H1257" s="26"/>
      <c r="I1257" s="25"/>
      <c r="J1257" s="25"/>
      <c r="K1257" s="25"/>
      <c r="L1257" s="25"/>
      <c r="M1257" s="25"/>
      <c r="N1257" s="25"/>
      <c r="O1257" s="25"/>
      <c r="P1257" s="25"/>
    </row>
    <row r="1258" spans="1:16" x14ac:dyDescent="0.3">
      <c r="A1258" s="25"/>
      <c r="B1258" s="25"/>
      <c r="C1258" s="25"/>
      <c r="D1258" s="26"/>
      <c r="E1258" s="26"/>
      <c r="F1258" s="26"/>
      <c r="G1258" s="26"/>
      <c r="H1258" s="26"/>
      <c r="I1258" s="25"/>
      <c r="J1258" s="25"/>
      <c r="K1258" s="25"/>
      <c r="L1258" s="25"/>
      <c r="M1258" s="25"/>
      <c r="N1258" s="25"/>
      <c r="O1258" s="25"/>
      <c r="P1258" s="25"/>
    </row>
    <row r="1259" spans="1:16" x14ac:dyDescent="0.3">
      <c r="A1259" s="25"/>
      <c r="B1259" s="25"/>
      <c r="C1259" s="25"/>
      <c r="D1259" s="26"/>
      <c r="E1259" s="26"/>
      <c r="F1259" s="26"/>
      <c r="G1259" s="26"/>
      <c r="H1259" s="26"/>
      <c r="I1259" s="25"/>
      <c r="J1259" s="25"/>
      <c r="K1259" s="25"/>
      <c r="L1259" s="25"/>
      <c r="M1259" s="25"/>
      <c r="N1259" s="25"/>
      <c r="O1259" s="25"/>
      <c r="P1259" s="25"/>
    </row>
    <row r="1260" spans="1:16" x14ac:dyDescent="0.3">
      <c r="A1260" s="25"/>
      <c r="B1260" s="25"/>
      <c r="C1260" s="25"/>
      <c r="D1260" s="26"/>
      <c r="E1260" s="26"/>
      <c r="F1260" s="26"/>
      <c r="G1260" s="26"/>
      <c r="H1260" s="26"/>
      <c r="I1260" s="25"/>
      <c r="J1260" s="25"/>
      <c r="K1260" s="25"/>
      <c r="L1260" s="25"/>
      <c r="M1260" s="25"/>
      <c r="N1260" s="25"/>
      <c r="O1260" s="25"/>
      <c r="P1260" s="25"/>
    </row>
    <row r="1261" spans="1:16" x14ac:dyDescent="0.3">
      <c r="A1261" s="25"/>
      <c r="B1261" s="25"/>
      <c r="C1261" s="25"/>
      <c r="D1261" s="26"/>
      <c r="E1261" s="26"/>
      <c r="F1261" s="26"/>
      <c r="G1261" s="26"/>
      <c r="H1261" s="26"/>
      <c r="I1261" s="25"/>
      <c r="J1261" s="25"/>
      <c r="K1261" s="25"/>
      <c r="L1261" s="25"/>
      <c r="M1261" s="25"/>
      <c r="N1261" s="25"/>
      <c r="O1261" s="25"/>
      <c r="P1261" s="25"/>
    </row>
    <row r="1262" spans="1:16" x14ac:dyDescent="0.3">
      <c r="A1262" s="25"/>
      <c r="B1262" s="25"/>
      <c r="C1262" s="25"/>
      <c r="D1262" s="26"/>
      <c r="E1262" s="26"/>
      <c r="F1262" s="26"/>
      <c r="G1262" s="26"/>
      <c r="H1262" s="26"/>
      <c r="I1262" s="25"/>
      <c r="J1262" s="25"/>
      <c r="K1262" s="25"/>
      <c r="L1262" s="25"/>
      <c r="M1262" s="25"/>
      <c r="N1262" s="25"/>
      <c r="O1262" s="25"/>
      <c r="P1262" s="25"/>
    </row>
    <row r="1263" spans="1:16" x14ac:dyDescent="0.3">
      <c r="A1263" s="25"/>
      <c r="B1263" s="25"/>
      <c r="C1263" s="25"/>
      <c r="D1263" s="26"/>
      <c r="E1263" s="26"/>
      <c r="F1263" s="26"/>
      <c r="G1263" s="26"/>
      <c r="H1263" s="26"/>
      <c r="I1263" s="25"/>
      <c r="J1263" s="25"/>
      <c r="K1263" s="25"/>
      <c r="L1263" s="25"/>
      <c r="M1263" s="25"/>
      <c r="N1263" s="25"/>
      <c r="O1263" s="25"/>
      <c r="P1263" s="25"/>
    </row>
    <row r="1264" spans="1:16" x14ac:dyDescent="0.3">
      <c r="A1264" s="25"/>
      <c r="B1264" s="25"/>
      <c r="C1264" s="25"/>
      <c r="D1264" s="26"/>
      <c r="E1264" s="26"/>
      <c r="F1264" s="26"/>
      <c r="G1264" s="26"/>
      <c r="H1264" s="26"/>
      <c r="I1264" s="25"/>
      <c r="J1264" s="25"/>
      <c r="K1264" s="25"/>
      <c r="L1264" s="25"/>
      <c r="M1264" s="25"/>
      <c r="N1264" s="25"/>
      <c r="O1264" s="25"/>
      <c r="P1264" s="25"/>
    </row>
    <row r="1265" spans="1:16" x14ac:dyDescent="0.3">
      <c r="A1265" s="25"/>
      <c r="B1265" s="25"/>
      <c r="C1265" s="25"/>
      <c r="D1265" s="26"/>
      <c r="E1265" s="26"/>
      <c r="F1265" s="26"/>
      <c r="G1265" s="26"/>
      <c r="H1265" s="26"/>
      <c r="I1265" s="25"/>
      <c r="J1265" s="25"/>
      <c r="K1265" s="25"/>
      <c r="L1265" s="25"/>
      <c r="M1265" s="25"/>
      <c r="N1265" s="25"/>
      <c r="O1265" s="25"/>
      <c r="P1265" s="25"/>
    </row>
    <row r="1266" spans="1:16" x14ac:dyDescent="0.3">
      <c r="A1266" s="25"/>
      <c r="B1266" s="25"/>
      <c r="C1266" s="25"/>
      <c r="D1266" s="26"/>
      <c r="E1266" s="26"/>
      <c r="F1266" s="26"/>
      <c r="G1266" s="26"/>
      <c r="H1266" s="26"/>
      <c r="I1266" s="25"/>
      <c r="J1266" s="25"/>
      <c r="K1266" s="25"/>
      <c r="L1266" s="25"/>
      <c r="M1266" s="25"/>
      <c r="N1266" s="25"/>
      <c r="O1266" s="25"/>
      <c r="P1266" s="25"/>
    </row>
    <row r="1267" spans="1:16" x14ac:dyDescent="0.3">
      <c r="A1267" s="25"/>
      <c r="B1267" s="25"/>
      <c r="C1267" s="25"/>
      <c r="D1267" s="26"/>
      <c r="E1267" s="26"/>
      <c r="F1267" s="26"/>
      <c r="G1267" s="26"/>
      <c r="H1267" s="26"/>
      <c r="I1267" s="25"/>
      <c r="J1267" s="25"/>
      <c r="K1267" s="25"/>
      <c r="L1267" s="25"/>
      <c r="M1267" s="25"/>
      <c r="N1267" s="25"/>
      <c r="O1267" s="25"/>
      <c r="P1267" s="25"/>
    </row>
    <row r="1268" spans="1:16" x14ac:dyDescent="0.3">
      <c r="A1268" s="25"/>
      <c r="B1268" s="25"/>
      <c r="C1268" s="25"/>
      <c r="D1268" s="26"/>
      <c r="E1268" s="26"/>
      <c r="F1268" s="26"/>
      <c r="G1268" s="26"/>
      <c r="H1268" s="26"/>
      <c r="I1268" s="25"/>
      <c r="J1268" s="25"/>
      <c r="K1268" s="25"/>
      <c r="L1268" s="25"/>
      <c r="M1268" s="25"/>
      <c r="N1268" s="25"/>
      <c r="O1268" s="25"/>
      <c r="P1268" s="25"/>
    </row>
    <row r="1269" spans="1:16" x14ac:dyDescent="0.3">
      <c r="A1269" s="25"/>
      <c r="B1269" s="25"/>
      <c r="C1269" s="25"/>
      <c r="D1269" s="26"/>
      <c r="E1269" s="26"/>
      <c r="F1269" s="26"/>
      <c r="G1269" s="26"/>
      <c r="H1269" s="26"/>
      <c r="I1269" s="25"/>
      <c r="J1269" s="25"/>
      <c r="K1269" s="25"/>
      <c r="L1269" s="25"/>
      <c r="M1269" s="25"/>
      <c r="N1269" s="25"/>
      <c r="O1269" s="25"/>
      <c r="P1269" s="25"/>
    </row>
    <row r="1270" spans="1:16" x14ac:dyDescent="0.3">
      <c r="A1270" s="25"/>
      <c r="B1270" s="25"/>
      <c r="C1270" s="25"/>
      <c r="D1270" s="26"/>
      <c r="E1270" s="26"/>
      <c r="F1270" s="26"/>
      <c r="G1270" s="26"/>
      <c r="H1270" s="26"/>
      <c r="I1270" s="25"/>
      <c r="J1270" s="25"/>
      <c r="K1270" s="25"/>
      <c r="L1270" s="25"/>
      <c r="M1270" s="25"/>
      <c r="N1270" s="25"/>
      <c r="O1270" s="25"/>
      <c r="P1270" s="25"/>
    </row>
    <row r="1271" spans="1:16" x14ac:dyDescent="0.3">
      <c r="A1271" s="25"/>
      <c r="B1271" s="25"/>
      <c r="C1271" s="25"/>
      <c r="D1271" s="26"/>
      <c r="E1271" s="26"/>
      <c r="F1271" s="26"/>
      <c r="G1271" s="26"/>
      <c r="H1271" s="26"/>
      <c r="I1271" s="25"/>
      <c r="J1271" s="25"/>
      <c r="K1271" s="25"/>
      <c r="L1271" s="25"/>
      <c r="M1271" s="25"/>
      <c r="N1271" s="25"/>
      <c r="O1271" s="25"/>
      <c r="P1271" s="25"/>
    </row>
    <row r="1272" spans="1:16" x14ac:dyDescent="0.3">
      <c r="A1272" s="25"/>
      <c r="B1272" s="25"/>
      <c r="C1272" s="25"/>
      <c r="D1272" s="26"/>
      <c r="E1272" s="26"/>
      <c r="F1272" s="26"/>
      <c r="G1272" s="26"/>
      <c r="H1272" s="26"/>
      <c r="I1272" s="25"/>
      <c r="J1272" s="25"/>
      <c r="K1272" s="25"/>
      <c r="L1272" s="25"/>
      <c r="M1272" s="25"/>
      <c r="N1272" s="25"/>
      <c r="O1272" s="25"/>
      <c r="P1272" s="25"/>
    </row>
    <row r="1273" spans="1:16" x14ac:dyDescent="0.3">
      <c r="A1273" s="25"/>
      <c r="B1273" s="25"/>
      <c r="C1273" s="25"/>
      <c r="D1273" s="26"/>
      <c r="E1273" s="26"/>
      <c r="F1273" s="26"/>
      <c r="G1273" s="26"/>
      <c r="H1273" s="26"/>
      <c r="I1273" s="25"/>
      <c r="J1273" s="25"/>
      <c r="K1273" s="25"/>
      <c r="L1273" s="25"/>
      <c r="M1273" s="25"/>
      <c r="N1273" s="25"/>
      <c r="O1273" s="25"/>
      <c r="P1273" s="25"/>
    </row>
    <row r="1274" spans="1:16" x14ac:dyDescent="0.3">
      <c r="A1274" s="25"/>
      <c r="B1274" s="25"/>
      <c r="C1274" s="25"/>
      <c r="D1274" s="26"/>
      <c r="E1274" s="26"/>
      <c r="F1274" s="26"/>
      <c r="G1274" s="26"/>
      <c r="H1274" s="26"/>
      <c r="I1274" s="25"/>
      <c r="J1274" s="25"/>
      <c r="K1274" s="25"/>
      <c r="L1274" s="25"/>
      <c r="M1274" s="25"/>
      <c r="N1274" s="25"/>
      <c r="O1274" s="25"/>
      <c r="P1274" s="25"/>
    </row>
    <row r="1275" spans="1:16" x14ac:dyDescent="0.3">
      <c r="A1275" s="25"/>
      <c r="B1275" s="25"/>
      <c r="C1275" s="25"/>
      <c r="D1275" s="26"/>
      <c r="E1275" s="26"/>
      <c r="F1275" s="26"/>
      <c r="G1275" s="26"/>
      <c r="H1275" s="26"/>
      <c r="I1275" s="25"/>
      <c r="J1275" s="25"/>
      <c r="K1275" s="25"/>
      <c r="L1275" s="25"/>
      <c r="M1275" s="25"/>
      <c r="N1275" s="25"/>
      <c r="O1275" s="25"/>
      <c r="P1275" s="25"/>
    </row>
    <row r="1276" spans="1:16" x14ac:dyDescent="0.3">
      <c r="A1276" s="25"/>
      <c r="B1276" s="25"/>
      <c r="C1276" s="25"/>
      <c r="D1276" s="26"/>
      <c r="E1276" s="26"/>
      <c r="F1276" s="26"/>
      <c r="G1276" s="26"/>
      <c r="H1276" s="26"/>
      <c r="I1276" s="25"/>
      <c r="J1276" s="25"/>
      <c r="K1276" s="25"/>
      <c r="L1276" s="25"/>
      <c r="M1276" s="25"/>
      <c r="N1276" s="25"/>
      <c r="O1276" s="25"/>
      <c r="P1276" s="25"/>
    </row>
    <row r="1277" spans="1:16" x14ac:dyDescent="0.3">
      <c r="A1277" s="25"/>
      <c r="B1277" s="25"/>
      <c r="C1277" s="25"/>
      <c r="D1277" s="26"/>
      <c r="E1277" s="26"/>
      <c r="F1277" s="26"/>
      <c r="G1277" s="26"/>
      <c r="H1277" s="26"/>
      <c r="I1277" s="25"/>
      <c r="J1277" s="25"/>
      <c r="K1277" s="25"/>
      <c r="L1277" s="25"/>
      <c r="M1277" s="25"/>
      <c r="N1277" s="25"/>
      <c r="O1277" s="25"/>
      <c r="P1277" s="25"/>
    </row>
    <row r="1278" spans="1:16" x14ac:dyDescent="0.3">
      <c r="A1278" s="25"/>
      <c r="B1278" s="25"/>
      <c r="C1278" s="25"/>
      <c r="D1278" s="26"/>
      <c r="E1278" s="26"/>
      <c r="F1278" s="26"/>
      <c r="G1278" s="26"/>
      <c r="H1278" s="26"/>
      <c r="I1278" s="25"/>
      <c r="J1278" s="25"/>
      <c r="K1278" s="25"/>
      <c r="L1278" s="25"/>
      <c r="M1278" s="25"/>
      <c r="N1278" s="25"/>
      <c r="O1278" s="25"/>
      <c r="P1278" s="25"/>
    </row>
    <row r="1279" spans="1:16" x14ac:dyDescent="0.3">
      <c r="A1279" s="25"/>
      <c r="B1279" s="25"/>
      <c r="C1279" s="25"/>
      <c r="D1279" s="26"/>
      <c r="E1279" s="26"/>
      <c r="F1279" s="26"/>
      <c r="G1279" s="26"/>
      <c r="H1279" s="26"/>
      <c r="I1279" s="25"/>
      <c r="J1279" s="25"/>
      <c r="K1279" s="25"/>
      <c r="L1279" s="25"/>
      <c r="M1279" s="25"/>
      <c r="N1279" s="25"/>
      <c r="O1279" s="25"/>
      <c r="P1279" s="25"/>
    </row>
    <row r="1280" spans="1:16" x14ac:dyDescent="0.3">
      <c r="A1280" s="25"/>
      <c r="B1280" s="25"/>
      <c r="C1280" s="25"/>
      <c r="D1280" s="26"/>
      <c r="E1280" s="26"/>
      <c r="F1280" s="26"/>
      <c r="G1280" s="26"/>
      <c r="H1280" s="26"/>
      <c r="I1280" s="25"/>
      <c r="J1280" s="25"/>
      <c r="K1280" s="25"/>
      <c r="L1280" s="25"/>
      <c r="M1280" s="25"/>
      <c r="N1280" s="25"/>
      <c r="O1280" s="25"/>
      <c r="P1280" s="25"/>
    </row>
    <row r="1281" spans="1:16" x14ac:dyDescent="0.3">
      <c r="A1281" s="25"/>
      <c r="B1281" s="25"/>
      <c r="C1281" s="25"/>
      <c r="D1281" s="26"/>
      <c r="E1281" s="26"/>
      <c r="F1281" s="26"/>
      <c r="G1281" s="26"/>
      <c r="H1281" s="26"/>
      <c r="I1281" s="25"/>
      <c r="J1281" s="25"/>
      <c r="K1281" s="25"/>
      <c r="L1281" s="25"/>
      <c r="M1281" s="25"/>
      <c r="N1281" s="25"/>
      <c r="O1281" s="25"/>
      <c r="P1281" s="25"/>
    </row>
    <row r="1282" spans="1:16" x14ac:dyDescent="0.3">
      <c r="A1282" s="25"/>
      <c r="B1282" s="25"/>
      <c r="C1282" s="25"/>
      <c r="D1282" s="26"/>
      <c r="E1282" s="26"/>
      <c r="F1282" s="26"/>
      <c r="G1282" s="26"/>
      <c r="H1282" s="26"/>
      <c r="I1282" s="25"/>
      <c r="J1282" s="25"/>
      <c r="K1282" s="25"/>
      <c r="L1282" s="25"/>
      <c r="M1282" s="25"/>
      <c r="N1282" s="25"/>
      <c r="O1282" s="25"/>
      <c r="P1282" s="25"/>
    </row>
    <row r="1283" spans="1:16" x14ac:dyDescent="0.3">
      <c r="A1283" s="25"/>
      <c r="B1283" s="25"/>
      <c r="C1283" s="25"/>
      <c r="D1283" s="26"/>
      <c r="E1283" s="26"/>
      <c r="F1283" s="26"/>
      <c r="G1283" s="26"/>
      <c r="H1283" s="26"/>
      <c r="I1283" s="25"/>
      <c r="J1283" s="25"/>
      <c r="K1283" s="25"/>
      <c r="L1283" s="25"/>
      <c r="M1283" s="25"/>
      <c r="N1283" s="25"/>
      <c r="O1283" s="25"/>
      <c r="P1283" s="25"/>
    </row>
    <row r="1284" spans="1:16" x14ac:dyDescent="0.3">
      <c r="A1284" s="25"/>
      <c r="B1284" s="25"/>
      <c r="C1284" s="25"/>
      <c r="D1284" s="26"/>
      <c r="E1284" s="26"/>
      <c r="F1284" s="26"/>
      <c r="G1284" s="26"/>
      <c r="H1284" s="26"/>
      <c r="I1284" s="25"/>
      <c r="J1284" s="25"/>
      <c r="K1284" s="25"/>
      <c r="L1284" s="25"/>
      <c r="M1284" s="25"/>
      <c r="N1284" s="25"/>
      <c r="O1284" s="25"/>
      <c r="P1284" s="25"/>
    </row>
    <row r="1285" spans="1:16" x14ac:dyDescent="0.3">
      <c r="A1285" s="25"/>
      <c r="B1285" s="25"/>
      <c r="C1285" s="25"/>
      <c r="D1285" s="26"/>
      <c r="E1285" s="26"/>
      <c r="F1285" s="26"/>
      <c r="G1285" s="26"/>
      <c r="H1285" s="26"/>
      <c r="I1285" s="25"/>
      <c r="J1285" s="25"/>
      <c r="K1285" s="25"/>
      <c r="L1285" s="25"/>
      <c r="M1285" s="25"/>
      <c r="N1285" s="25"/>
      <c r="O1285" s="25"/>
      <c r="P1285" s="25"/>
    </row>
    <row r="1286" spans="1:16" x14ac:dyDescent="0.3">
      <c r="A1286" s="25"/>
      <c r="B1286" s="25"/>
      <c r="C1286" s="25"/>
      <c r="D1286" s="26"/>
      <c r="E1286" s="26"/>
      <c r="F1286" s="26"/>
      <c r="G1286" s="26"/>
      <c r="H1286" s="26"/>
      <c r="I1286" s="25"/>
      <c r="J1286" s="25"/>
      <c r="K1286" s="25"/>
      <c r="L1286" s="25"/>
      <c r="M1286" s="25"/>
      <c r="N1286" s="25"/>
      <c r="O1286" s="25"/>
      <c r="P1286" s="25"/>
    </row>
    <row r="1287" spans="1:16" x14ac:dyDescent="0.3">
      <c r="A1287" s="25"/>
      <c r="B1287" s="25"/>
      <c r="C1287" s="25"/>
      <c r="D1287" s="26"/>
      <c r="E1287" s="26"/>
      <c r="F1287" s="26"/>
      <c r="G1287" s="26"/>
      <c r="H1287" s="26"/>
      <c r="I1287" s="25"/>
      <c r="J1287" s="25"/>
      <c r="K1287" s="25"/>
      <c r="L1287" s="25"/>
      <c r="M1287" s="25"/>
      <c r="N1287" s="25"/>
      <c r="O1287" s="25"/>
      <c r="P1287" s="25"/>
    </row>
    <row r="1288" spans="1:16" x14ac:dyDescent="0.3">
      <c r="A1288" s="25"/>
      <c r="B1288" s="25"/>
      <c r="C1288" s="25"/>
      <c r="D1288" s="26"/>
      <c r="E1288" s="26"/>
      <c r="F1288" s="26"/>
      <c r="G1288" s="26"/>
      <c r="H1288" s="26"/>
      <c r="I1288" s="25"/>
      <c r="J1288" s="25"/>
      <c r="K1288" s="25"/>
      <c r="L1288" s="25"/>
      <c r="M1288" s="25"/>
      <c r="N1288" s="25"/>
      <c r="O1288" s="25"/>
      <c r="P1288" s="25"/>
    </row>
    <row r="1289" spans="1:16" x14ac:dyDescent="0.3">
      <c r="A1289" s="25"/>
      <c r="B1289" s="25"/>
      <c r="C1289" s="25"/>
      <c r="D1289" s="26"/>
      <c r="E1289" s="26"/>
      <c r="F1289" s="26"/>
      <c r="G1289" s="26"/>
      <c r="H1289" s="26"/>
      <c r="I1289" s="25"/>
      <c r="J1289" s="25"/>
      <c r="K1289" s="25"/>
      <c r="L1289" s="25"/>
      <c r="M1289" s="25"/>
      <c r="N1289" s="25"/>
      <c r="O1289" s="25"/>
      <c r="P1289" s="25"/>
    </row>
    <row r="1290" spans="1:16" x14ac:dyDescent="0.3">
      <c r="A1290" s="25"/>
      <c r="B1290" s="25"/>
      <c r="C1290" s="25"/>
      <c r="D1290" s="26"/>
      <c r="E1290" s="26"/>
      <c r="F1290" s="26"/>
      <c r="G1290" s="26"/>
      <c r="H1290" s="26"/>
      <c r="I1290" s="25"/>
      <c r="J1290" s="25"/>
      <c r="K1290" s="25"/>
      <c r="L1290" s="25"/>
      <c r="M1290" s="25"/>
      <c r="N1290" s="25"/>
      <c r="O1290" s="25"/>
      <c r="P1290" s="25"/>
    </row>
    <row r="1291" spans="1:16" x14ac:dyDescent="0.3">
      <c r="A1291" s="25"/>
      <c r="B1291" s="25"/>
      <c r="C1291" s="25"/>
      <c r="D1291" s="26"/>
      <c r="E1291" s="26"/>
      <c r="F1291" s="26"/>
      <c r="G1291" s="26"/>
      <c r="H1291" s="26"/>
      <c r="I1291" s="25"/>
      <c r="J1291" s="25"/>
      <c r="K1291" s="25"/>
      <c r="L1291" s="25"/>
      <c r="M1291" s="25"/>
      <c r="N1291" s="25"/>
      <c r="O1291" s="25"/>
      <c r="P1291" s="25"/>
    </row>
    <row r="1292" spans="1:16" x14ac:dyDescent="0.3">
      <c r="A1292" s="25"/>
      <c r="B1292" s="25"/>
      <c r="C1292" s="25"/>
      <c r="D1292" s="26"/>
      <c r="E1292" s="26"/>
      <c r="F1292" s="26"/>
      <c r="G1292" s="26"/>
      <c r="H1292" s="26"/>
      <c r="I1292" s="25"/>
      <c r="J1292" s="25"/>
      <c r="K1292" s="25"/>
      <c r="L1292" s="25"/>
      <c r="M1292" s="25"/>
      <c r="N1292" s="25"/>
      <c r="O1292" s="25"/>
      <c r="P1292" s="25"/>
    </row>
    <row r="1293" spans="1:16" x14ac:dyDescent="0.3">
      <c r="A1293" s="25"/>
      <c r="B1293" s="25"/>
      <c r="C1293" s="25"/>
      <c r="D1293" s="26"/>
      <c r="E1293" s="26"/>
      <c r="F1293" s="26"/>
      <c r="G1293" s="26"/>
      <c r="H1293" s="26"/>
      <c r="I1293" s="25"/>
      <c r="J1293" s="25"/>
      <c r="K1293" s="25"/>
      <c r="L1293" s="25"/>
      <c r="M1293" s="25"/>
      <c r="N1293" s="25"/>
      <c r="O1293" s="25"/>
      <c r="P1293" s="25"/>
    </row>
    <row r="1294" spans="1:16" x14ac:dyDescent="0.3">
      <c r="A1294" s="25"/>
      <c r="B1294" s="25"/>
      <c r="C1294" s="25"/>
      <c r="D1294" s="26"/>
      <c r="E1294" s="26"/>
      <c r="F1294" s="26"/>
      <c r="G1294" s="26"/>
      <c r="H1294" s="26"/>
      <c r="I1294" s="25"/>
      <c r="J1294" s="25"/>
      <c r="K1294" s="25"/>
      <c r="L1294" s="25"/>
      <c r="M1294" s="25"/>
      <c r="N1294" s="25"/>
      <c r="O1294" s="25"/>
      <c r="P1294" s="25"/>
    </row>
    <row r="1295" spans="1:16" x14ac:dyDescent="0.3">
      <c r="A1295" s="25"/>
      <c r="B1295" s="25"/>
      <c r="C1295" s="25"/>
      <c r="D1295" s="26"/>
      <c r="E1295" s="26"/>
      <c r="F1295" s="26"/>
      <c r="G1295" s="26"/>
      <c r="H1295" s="26"/>
      <c r="I1295" s="25"/>
      <c r="J1295" s="25"/>
      <c r="K1295" s="25"/>
      <c r="L1295" s="25"/>
      <c r="M1295" s="25"/>
      <c r="N1295" s="25"/>
      <c r="O1295" s="25"/>
      <c r="P1295" s="25"/>
    </row>
    <row r="1296" spans="1:16" x14ac:dyDescent="0.3">
      <c r="A1296" s="25"/>
      <c r="B1296" s="25"/>
      <c r="C1296" s="25"/>
      <c r="D1296" s="26"/>
      <c r="E1296" s="26"/>
      <c r="F1296" s="26"/>
      <c r="G1296" s="26"/>
      <c r="H1296" s="26"/>
      <c r="I1296" s="25"/>
      <c r="J1296" s="25"/>
      <c r="K1296" s="25"/>
      <c r="L1296" s="25"/>
      <c r="M1296" s="25"/>
      <c r="N1296" s="25"/>
      <c r="O1296" s="25"/>
      <c r="P1296" s="25"/>
    </row>
    <row r="1297" spans="1:16" x14ac:dyDescent="0.3">
      <c r="A1297" s="25"/>
      <c r="B1297" s="25"/>
      <c r="C1297" s="25"/>
      <c r="D1297" s="26"/>
      <c r="E1297" s="26"/>
      <c r="F1297" s="26"/>
      <c r="G1297" s="26"/>
      <c r="H1297" s="26"/>
      <c r="I1297" s="25"/>
      <c r="J1297" s="25"/>
      <c r="K1297" s="25"/>
      <c r="L1297" s="25"/>
      <c r="M1297" s="25"/>
      <c r="N1297" s="25"/>
      <c r="O1297" s="25"/>
      <c r="P1297" s="25"/>
    </row>
    <row r="1298" spans="1:16" x14ac:dyDescent="0.3">
      <c r="A1298" s="25"/>
      <c r="B1298" s="25"/>
      <c r="C1298" s="25"/>
      <c r="D1298" s="26"/>
      <c r="E1298" s="26"/>
      <c r="F1298" s="26"/>
      <c r="G1298" s="26"/>
      <c r="H1298" s="26"/>
      <c r="I1298" s="25"/>
      <c r="J1298" s="25"/>
      <c r="K1298" s="25"/>
      <c r="L1298" s="25"/>
      <c r="M1298" s="25"/>
      <c r="N1298" s="25"/>
      <c r="O1298" s="25"/>
      <c r="P1298" s="25"/>
    </row>
    <row r="1299" spans="1:16" x14ac:dyDescent="0.3">
      <c r="A1299" s="25"/>
      <c r="B1299" s="25"/>
      <c r="C1299" s="25"/>
      <c r="D1299" s="26"/>
      <c r="E1299" s="26"/>
      <c r="F1299" s="26"/>
      <c r="G1299" s="26"/>
      <c r="H1299" s="26"/>
      <c r="I1299" s="25"/>
      <c r="J1299" s="25"/>
      <c r="K1299" s="25"/>
      <c r="L1299" s="25"/>
      <c r="M1299" s="25"/>
      <c r="N1299" s="25"/>
      <c r="O1299" s="25"/>
      <c r="P1299" s="25"/>
    </row>
    <row r="1300" spans="1:16" x14ac:dyDescent="0.3">
      <c r="A1300" s="25"/>
      <c r="B1300" s="25"/>
      <c r="C1300" s="25"/>
      <c r="D1300" s="26"/>
      <c r="E1300" s="26"/>
      <c r="F1300" s="26"/>
      <c r="G1300" s="26"/>
      <c r="H1300" s="26"/>
      <c r="I1300" s="25"/>
      <c r="J1300" s="25"/>
      <c r="K1300" s="25"/>
      <c r="L1300" s="25"/>
      <c r="M1300" s="25"/>
      <c r="N1300" s="25"/>
      <c r="O1300" s="25"/>
      <c r="P1300" s="25"/>
    </row>
    <row r="1301" spans="1:16" x14ac:dyDescent="0.3">
      <c r="A1301" s="25"/>
      <c r="B1301" s="25"/>
      <c r="C1301" s="25"/>
      <c r="D1301" s="26"/>
      <c r="E1301" s="26"/>
      <c r="F1301" s="26"/>
      <c r="G1301" s="26"/>
      <c r="H1301" s="26"/>
      <c r="I1301" s="25"/>
      <c r="J1301" s="25"/>
      <c r="K1301" s="25"/>
      <c r="L1301" s="25"/>
      <c r="M1301" s="25"/>
      <c r="N1301" s="25"/>
      <c r="O1301" s="25"/>
      <c r="P1301" s="25"/>
    </row>
    <row r="1302" spans="1:16" x14ac:dyDescent="0.3">
      <c r="A1302" s="25"/>
      <c r="B1302" s="25"/>
      <c r="C1302" s="25"/>
      <c r="D1302" s="26"/>
      <c r="E1302" s="26"/>
      <c r="F1302" s="26"/>
      <c r="G1302" s="26"/>
      <c r="H1302" s="26"/>
      <c r="I1302" s="25"/>
      <c r="J1302" s="25"/>
      <c r="K1302" s="25"/>
      <c r="L1302" s="25"/>
      <c r="M1302" s="25"/>
      <c r="N1302" s="25"/>
      <c r="O1302" s="25"/>
      <c r="P1302" s="25"/>
    </row>
    <row r="1303" spans="1:16" x14ac:dyDescent="0.3">
      <c r="A1303" s="25"/>
      <c r="B1303" s="25"/>
      <c r="C1303" s="25"/>
      <c r="D1303" s="26"/>
      <c r="E1303" s="26"/>
      <c r="F1303" s="26"/>
      <c r="G1303" s="26"/>
      <c r="H1303" s="26"/>
      <c r="I1303" s="25"/>
      <c r="J1303" s="25"/>
      <c r="K1303" s="25"/>
      <c r="L1303" s="25"/>
      <c r="M1303" s="25"/>
      <c r="N1303" s="25"/>
      <c r="O1303" s="25"/>
      <c r="P1303" s="25"/>
    </row>
    <row r="1304" spans="1:16" x14ac:dyDescent="0.3">
      <c r="A1304" s="25"/>
      <c r="B1304" s="25"/>
      <c r="C1304" s="25"/>
      <c r="D1304" s="26"/>
      <c r="E1304" s="26"/>
      <c r="F1304" s="26"/>
      <c r="G1304" s="26"/>
      <c r="H1304" s="26"/>
      <c r="I1304" s="25"/>
      <c r="J1304" s="25"/>
      <c r="K1304" s="25"/>
      <c r="L1304" s="25"/>
      <c r="M1304" s="25"/>
      <c r="N1304" s="25"/>
      <c r="O1304" s="25"/>
      <c r="P1304" s="25"/>
    </row>
    <row r="1305" spans="1:16" x14ac:dyDescent="0.3">
      <c r="A1305" s="25"/>
      <c r="B1305" s="25"/>
      <c r="C1305" s="25"/>
      <c r="D1305" s="26"/>
      <c r="E1305" s="26"/>
      <c r="F1305" s="26"/>
      <c r="G1305" s="26"/>
      <c r="H1305" s="26"/>
      <c r="I1305" s="25"/>
      <c r="J1305" s="25"/>
      <c r="K1305" s="25"/>
      <c r="L1305" s="25"/>
      <c r="M1305" s="25"/>
      <c r="N1305" s="25"/>
      <c r="O1305" s="25"/>
      <c r="P1305" s="25"/>
    </row>
    <row r="1306" spans="1:16" x14ac:dyDescent="0.3">
      <c r="A1306" s="25"/>
      <c r="B1306" s="25"/>
      <c r="C1306" s="25"/>
      <c r="D1306" s="26"/>
      <c r="E1306" s="26"/>
      <c r="F1306" s="26"/>
      <c r="G1306" s="26"/>
      <c r="H1306" s="26"/>
      <c r="I1306" s="25"/>
      <c r="J1306" s="25"/>
      <c r="K1306" s="25"/>
      <c r="L1306" s="25"/>
      <c r="M1306" s="25"/>
      <c r="N1306" s="25"/>
      <c r="O1306" s="25"/>
      <c r="P1306" s="25"/>
    </row>
    <row r="1307" spans="1:16" x14ac:dyDescent="0.3">
      <c r="A1307" s="25"/>
      <c r="B1307" s="25"/>
      <c r="C1307" s="25"/>
      <c r="D1307" s="26"/>
      <c r="E1307" s="26"/>
      <c r="F1307" s="26"/>
      <c r="G1307" s="26"/>
      <c r="H1307" s="26"/>
      <c r="I1307" s="25"/>
      <c r="J1307" s="25"/>
      <c r="K1307" s="25"/>
      <c r="L1307" s="25"/>
      <c r="M1307" s="25"/>
      <c r="N1307" s="25"/>
      <c r="O1307" s="25"/>
      <c r="P1307" s="25"/>
    </row>
    <row r="1308" spans="1:16" x14ac:dyDescent="0.3">
      <c r="A1308" s="25"/>
      <c r="B1308" s="25"/>
      <c r="C1308" s="25"/>
      <c r="D1308" s="26"/>
      <c r="E1308" s="26"/>
      <c r="F1308" s="26"/>
      <c r="G1308" s="26"/>
      <c r="H1308" s="26"/>
      <c r="I1308" s="25"/>
      <c r="J1308" s="25"/>
      <c r="K1308" s="25"/>
      <c r="L1308" s="25"/>
      <c r="M1308" s="25"/>
      <c r="N1308" s="25"/>
      <c r="O1308" s="25"/>
      <c r="P1308" s="25"/>
    </row>
    <row r="1309" spans="1:16" x14ac:dyDescent="0.3">
      <c r="A1309" s="25"/>
      <c r="B1309" s="25"/>
      <c r="C1309" s="25"/>
      <c r="D1309" s="26"/>
      <c r="E1309" s="26"/>
      <c r="F1309" s="26"/>
      <c r="G1309" s="26"/>
      <c r="H1309" s="26"/>
      <c r="I1309" s="25"/>
      <c r="J1309" s="25"/>
      <c r="K1309" s="25"/>
      <c r="L1309" s="25"/>
      <c r="M1309" s="25"/>
      <c r="N1309" s="25"/>
      <c r="O1309" s="25"/>
      <c r="P1309" s="25"/>
    </row>
    <row r="1310" spans="1:16" x14ac:dyDescent="0.3">
      <c r="A1310" s="25"/>
      <c r="B1310" s="25"/>
      <c r="C1310" s="25"/>
      <c r="D1310" s="26"/>
      <c r="E1310" s="26"/>
      <c r="F1310" s="26"/>
      <c r="G1310" s="26"/>
      <c r="H1310" s="26"/>
      <c r="I1310" s="25"/>
      <c r="J1310" s="25"/>
      <c r="K1310" s="25"/>
      <c r="L1310" s="25"/>
      <c r="M1310" s="25"/>
      <c r="N1310" s="25"/>
      <c r="O1310" s="25"/>
      <c r="P1310" s="25"/>
    </row>
    <row r="1311" spans="1:16" x14ac:dyDescent="0.3">
      <c r="A1311" s="25"/>
      <c r="B1311" s="25"/>
      <c r="C1311" s="25"/>
      <c r="D1311" s="26"/>
      <c r="E1311" s="26"/>
      <c r="F1311" s="26"/>
      <c r="G1311" s="26"/>
      <c r="H1311" s="26"/>
      <c r="I1311" s="25"/>
      <c r="J1311" s="25"/>
      <c r="K1311" s="25"/>
      <c r="L1311" s="25"/>
      <c r="M1311" s="25"/>
      <c r="N1311" s="25"/>
      <c r="O1311" s="25"/>
      <c r="P1311" s="25"/>
    </row>
    <row r="1312" spans="1:16" x14ac:dyDescent="0.3">
      <c r="A1312" s="25"/>
      <c r="B1312" s="25"/>
      <c r="C1312" s="25"/>
      <c r="D1312" s="26"/>
      <c r="E1312" s="26"/>
      <c r="F1312" s="26"/>
      <c r="G1312" s="26"/>
      <c r="H1312" s="26"/>
      <c r="I1312" s="25"/>
      <c r="J1312" s="25"/>
      <c r="K1312" s="25"/>
      <c r="L1312" s="25"/>
      <c r="M1312" s="25"/>
      <c r="N1312" s="25"/>
      <c r="O1312" s="25"/>
      <c r="P1312" s="25"/>
    </row>
    <row r="1313" spans="1:16" x14ac:dyDescent="0.3">
      <c r="A1313" s="25"/>
      <c r="B1313" s="25"/>
      <c r="C1313" s="25"/>
      <c r="D1313" s="26"/>
      <c r="E1313" s="26"/>
      <c r="F1313" s="26"/>
      <c r="G1313" s="26"/>
      <c r="H1313" s="26"/>
      <c r="I1313" s="25"/>
      <c r="J1313" s="25"/>
      <c r="K1313" s="25"/>
      <c r="L1313" s="25"/>
      <c r="M1313" s="25"/>
      <c r="N1313" s="25"/>
      <c r="O1313" s="25"/>
      <c r="P1313" s="25"/>
    </row>
    <row r="1314" spans="1:16" x14ac:dyDescent="0.3">
      <c r="A1314" s="25"/>
      <c r="B1314" s="25"/>
      <c r="C1314" s="25"/>
      <c r="D1314" s="26"/>
      <c r="E1314" s="26"/>
      <c r="F1314" s="26"/>
      <c r="G1314" s="26"/>
      <c r="H1314" s="26"/>
      <c r="I1314" s="25"/>
      <c r="J1314" s="25"/>
      <c r="K1314" s="25"/>
      <c r="L1314" s="25"/>
      <c r="M1314" s="25"/>
      <c r="N1314" s="25"/>
      <c r="O1314" s="25"/>
      <c r="P1314" s="25"/>
    </row>
    <row r="1315" spans="1:16" x14ac:dyDescent="0.3">
      <c r="A1315" s="25"/>
      <c r="B1315" s="25"/>
      <c r="C1315" s="25"/>
      <c r="D1315" s="26"/>
      <c r="E1315" s="26"/>
      <c r="F1315" s="26"/>
      <c r="G1315" s="26"/>
      <c r="H1315" s="26"/>
      <c r="I1315" s="25"/>
      <c r="J1315" s="25"/>
      <c r="K1315" s="25"/>
      <c r="L1315" s="25"/>
      <c r="M1315" s="25"/>
      <c r="N1315" s="25"/>
      <c r="O1315" s="25"/>
      <c r="P1315" s="25"/>
    </row>
    <row r="1316" spans="1:16" x14ac:dyDescent="0.3">
      <c r="A1316" s="25"/>
      <c r="B1316" s="25"/>
      <c r="C1316" s="25"/>
      <c r="D1316" s="26"/>
      <c r="E1316" s="26"/>
      <c r="F1316" s="26"/>
      <c r="G1316" s="26"/>
      <c r="H1316" s="26"/>
      <c r="I1316" s="25"/>
      <c r="J1316" s="25"/>
      <c r="K1316" s="25"/>
      <c r="L1316" s="25"/>
      <c r="M1316" s="25"/>
      <c r="N1316" s="25"/>
      <c r="O1316" s="25"/>
      <c r="P1316" s="25"/>
    </row>
    <row r="1317" spans="1:16" x14ac:dyDescent="0.3">
      <c r="A1317" s="25"/>
      <c r="B1317" s="25"/>
      <c r="C1317" s="25"/>
      <c r="D1317" s="26"/>
      <c r="E1317" s="26"/>
      <c r="F1317" s="26"/>
      <c r="G1317" s="26"/>
      <c r="H1317" s="26"/>
      <c r="I1317" s="25"/>
      <c r="J1317" s="25"/>
      <c r="K1317" s="25"/>
      <c r="L1317" s="25"/>
      <c r="M1317" s="25"/>
      <c r="N1317" s="25"/>
      <c r="O1317" s="25"/>
      <c r="P1317" s="25"/>
    </row>
    <row r="1318" spans="1:16" x14ac:dyDescent="0.3">
      <c r="A1318" s="25"/>
      <c r="B1318" s="25"/>
      <c r="C1318" s="25"/>
      <c r="D1318" s="26"/>
      <c r="E1318" s="26"/>
      <c r="F1318" s="26"/>
      <c r="G1318" s="26"/>
      <c r="H1318" s="26"/>
      <c r="I1318" s="25"/>
      <c r="J1318" s="25"/>
      <c r="K1318" s="25"/>
      <c r="L1318" s="25"/>
      <c r="M1318" s="25"/>
      <c r="N1318" s="25"/>
      <c r="O1318" s="25"/>
      <c r="P1318" s="25"/>
    </row>
    <row r="1319" spans="1:16" x14ac:dyDescent="0.3">
      <c r="A1319" s="25"/>
      <c r="B1319" s="25"/>
      <c r="C1319" s="25"/>
      <c r="D1319" s="26"/>
      <c r="E1319" s="26"/>
      <c r="F1319" s="26"/>
      <c r="G1319" s="26"/>
      <c r="H1319" s="26"/>
      <c r="I1319" s="25"/>
      <c r="J1319" s="25"/>
      <c r="K1319" s="25"/>
      <c r="L1319" s="25"/>
      <c r="M1319" s="25"/>
      <c r="N1319" s="25"/>
      <c r="O1319" s="25"/>
      <c r="P1319" s="25"/>
    </row>
    <row r="1320" spans="1:16" x14ac:dyDescent="0.3">
      <c r="A1320" s="25"/>
      <c r="B1320" s="25"/>
      <c r="C1320" s="25"/>
      <c r="D1320" s="26"/>
      <c r="E1320" s="26"/>
      <c r="F1320" s="26"/>
      <c r="G1320" s="26"/>
      <c r="H1320" s="26"/>
      <c r="I1320" s="25"/>
      <c r="J1320" s="25"/>
      <c r="K1320" s="25"/>
      <c r="L1320" s="25"/>
      <c r="M1320" s="25"/>
      <c r="N1320" s="25"/>
      <c r="O1320" s="25"/>
      <c r="P1320" s="25"/>
    </row>
    <row r="1321" spans="1:16" x14ac:dyDescent="0.3">
      <c r="A1321" s="25"/>
      <c r="B1321" s="25"/>
      <c r="C1321" s="25"/>
      <c r="D1321" s="26"/>
      <c r="E1321" s="26"/>
      <c r="F1321" s="26"/>
      <c r="G1321" s="26"/>
      <c r="H1321" s="26"/>
      <c r="I1321" s="25"/>
      <c r="J1321" s="25"/>
      <c r="K1321" s="25"/>
      <c r="L1321" s="25"/>
      <c r="M1321" s="25"/>
      <c r="N1321" s="25"/>
      <c r="O1321" s="25"/>
      <c r="P1321" s="25"/>
    </row>
    <row r="1322" spans="1:16" x14ac:dyDescent="0.3">
      <c r="A1322" s="25"/>
      <c r="B1322" s="25"/>
      <c r="C1322" s="25"/>
      <c r="D1322" s="26"/>
      <c r="E1322" s="26"/>
      <c r="F1322" s="26"/>
      <c r="G1322" s="26"/>
      <c r="H1322" s="26"/>
      <c r="I1322" s="25"/>
      <c r="J1322" s="25"/>
      <c r="K1322" s="25"/>
      <c r="L1322" s="25"/>
      <c r="M1322" s="25"/>
      <c r="N1322" s="25"/>
      <c r="O1322" s="25"/>
      <c r="P1322" s="25"/>
    </row>
    <row r="1323" spans="1:16" x14ac:dyDescent="0.3">
      <c r="A1323" s="25"/>
      <c r="B1323" s="25"/>
      <c r="C1323" s="25"/>
      <c r="D1323" s="26"/>
      <c r="E1323" s="26"/>
      <c r="F1323" s="26"/>
      <c r="G1323" s="26"/>
      <c r="H1323" s="26"/>
      <c r="I1323" s="25"/>
      <c r="J1323" s="25"/>
      <c r="K1323" s="25"/>
      <c r="L1323" s="25"/>
      <c r="M1323" s="25"/>
      <c r="N1323" s="25"/>
      <c r="O1323" s="25"/>
      <c r="P1323" s="25"/>
    </row>
    <row r="1324" spans="1:16" x14ac:dyDescent="0.3">
      <c r="A1324" s="25"/>
      <c r="B1324" s="25"/>
      <c r="C1324" s="25"/>
      <c r="D1324" s="26"/>
      <c r="E1324" s="26"/>
      <c r="F1324" s="26"/>
      <c r="G1324" s="26"/>
      <c r="H1324" s="26"/>
      <c r="I1324" s="25"/>
      <c r="J1324" s="25"/>
      <c r="K1324" s="25"/>
      <c r="L1324" s="25"/>
      <c r="M1324" s="25"/>
      <c r="N1324" s="25"/>
      <c r="O1324" s="25"/>
      <c r="P1324" s="25"/>
    </row>
    <row r="1325" spans="1:16" x14ac:dyDescent="0.3">
      <c r="A1325" s="25"/>
      <c r="B1325" s="25"/>
      <c r="C1325" s="25"/>
      <c r="D1325" s="26"/>
      <c r="E1325" s="26"/>
      <c r="F1325" s="26"/>
      <c r="G1325" s="26"/>
      <c r="H1325" s="26"/>
      <c r="I1325" s="25"/>
      <c r="J1325" s="25"/>
      <c r="K1325" s="25"/>
      <c r="L1325" s="25"/>
      <c r="M1325" s="25"/>
      <c r="N1325" s="25"/>
      <c r="O1325" s="25"/>
      <c r="P1325" s="25"/>
    </row>
    <row r="1326" spans="1:16" x14ac:dyDescent="0.3">
      <c r="A1326" s="25"/>
      <c r="B1326" s="25"/>
      <c r="C1326" s="25"/>
      <c r="D1326" s="26"/>
      <c r="E1326" s="26"/>
      <c r="F1326" s="26"/>
      <c r="G1326" s="26"/>
      <c r="H1326" s="26"/>
      <c r="I1326" s="25"/>
      <c r="J1326" s="25"/>
      <c r="K1326" s="25"/>
      <c r="L1326" s="25"/>
      <c r="M1326" s="25"/>
      <c r="N1326" s="25"/>
      <c r="O1326" s="25"/>
      <c r="P1326" s="25"/>
    </row>
    <row r="1327" spans="1:16" x14ac:dyDescent="0.3">
      <c r="A1327" s="25"/>
      <c r="B1327" s="25"/>
      <c r="C1327" s="25"/>
      <c r="D1327" s="26"/>
      <c r="E1327" s="26"/>
      <c r="F1327" s="26"/>
      <c r="G1327" s="26"/>
      <c r="H1327" s="26"/>
      <c r="I1327" s="25"/>
      <c r="J1327" s="25"/>
      <c r="K1327" s="25"/>
      <c r="L1327" s="25"/>
      <c r="M1327" s="25"/>
      <c r="N1327" s="25"/>
      <c r="O1327" s="25"/>
      <c r="P1327" s="25"/>
    </row>
    <row r="1328" spans="1:16" x14ac:dyDescent="0.3">
      <c r="A1328" s="25"/>
      <c r="B1328" s="25"/>
      <c r="C1328" s="25"/>
      <c r="D1328" s="26"/>
      <c r="E1328" s="26"/>
      <c r="F1328" s="26"/>
      <c r="G1328" s="26"/>
      <c r="H1328" s="26"/>
      <c r="I1328" s="25"/>
      <c r="J1328" s="25"/>
      <c r="K1328" s="25"/>
      <c r="L1328" s="25"/>
      <c r="M1328" s="25"/>
      <c r="N1328" s="25"/>
      <c r="O1328" s="25"/>
      <c r="P1328" s="25"/>
    </row>
    <row r="1329" spans="1:16" x14ac:dyDescent="0.3">
      <c r="A1329" s="25"/>
      <c r="B1329" s="25"/>
      <c r="C1329" s="25"/>
      <c r="D1329" s="26"/>
      <c r="E1329" s="26"/>
      <c r="F1329" s="26"/>
      <c r="G1329" s="26"/>
      <c r="H1329" s="26"/>
      <c r="I1329" s="25"/>
      <c r="J1329" s="25"/>
      <c r="K1329" s="25"/>
      <c r="L1329" s="25"/>
      <c r="M1329" s="25"/>
      <c r="N1329" s="25"/>
      <c r="O1329" s="25"/>
      <c r="P1329" s="25"/>
    </row>
    <row r="1330" spans="1:16" x14ac:dyDescent="0.3">
      <c r="A1330" s="25"/>
      <c r="B1330" s="25"/>
      <c r="C1330" s="25"/>
      <c r="D1330" s="26"/>
      <c r="E1330" s="26"/>
      <c r="F1330" s="26"/>
      <c r="G1330" s="26"/>
      <c r="H1330" s="26"/>
      <c r="I1330" s="25"/>
      <c r="J1330" s="25"/>
      <c r="K1330" s="25"/>
      <c r="L1330" s="25"/>
      <c r="M1330" s="25"/>
      <c r="N1330" s="25"/>
      <c r="O1330" s="25"/>
      <c r="P1330" s="25"/>
    </row>
    <row r="1331" spans="1:16" x14ac:dyDescent="0.3">
      <c r="A1331" s="25"/>
      <c r="B1331" s="25"/>
      <c r="C1331" s="25"/>
      <c r="D1331" s="26"/>
      <c r="E1331" s="26"/>
      <c r="F1331" s="26"/>
      <c r="G1331" s="26"/>
      <c r="H1331" s="26"/>
      <c r="I1331" s="25"/>
      <c r="J1331" s="25"/>
      <c r="K1331" s="25"/>
      <c r="L1331" s="25"/>
      <c r="M1331" s="25"/>
      <c r="N1331" s="25"/>
      <c r="O1331" s="25"/>
      <c r="P1331" s="25"/>
    </row>
    <row r="1332" spans="1:16" x14ac:dyDescent="0.3">
      <c r="A1332" s="25"/>
      <c r="B1332" s="25"/>
      <c r="C1332" s="25"/>
      <c r="D1332" s="26"/>
      <c r="E1332" s="26"/>
      <c r="F1332" s="26"/>
      <c r="G1332" s="26"/>
      <c r="H1332" s="26"/>
      <c r="I1332" s="25"/>
      <c r="J1332" s="25"/>
      <c r="K1332" s="25"/>
      <c r="L1332" s="25"/>
      <c r="M1332" s="25"/>
      <c r="N1332" s="25"/>
      <c r="O1332" s="25"/>
      <c r="P1332" s="25"/>
    </row>
    <row r="1333" spans="1:16" x14ac:dyDescent="0.3">
      <c r="A1333" s="25"/>
      <c r="B1333" s="25"/>
      <c r="C1333" s="25"/>
      <c r="D1333" s="26"/>
      <c r="E1333" s="26"/>
      <c r="F1333" s="26"/>
      <c r="G1333" s="26"/>
      <c r="H1333" s="26"/>
      <c r="I1333" s="25"/>
      <c r="J1333" s="25"/>
      <c r="K1333" s="25"/>
      <c r="L1333" s="25"/>
      <c r="M1333" s="25"/>
      <c r="N1333" s="25"/>
      <c r="O1333" s="25"/>
      <c r="P1333" s="25"/>
    </row>
    <row r="1334" spans="1:16" x14ac:dyDescent="0.3">
      <c r="A1334" s="25"/>
      <c r="B1334" s="25"/>
      <c r="C1334" s="25"/>
      <c r="D1334" s="26"/>
      <c r="E1334" s="26"/>
      <c r="F1334" s="26"/>
      <c r="G1334" s="26"/>
      <c r="H1334" s="26"/>
      <c r="I1334" s="25"/>
      <c r="J1334" s="25"/>
      <c r="K1334" s="25"/>
      <c r="L1334" s="25"/>
      <c r="M1334" s="25"/>
      <c r="N1334" s="25"/>
      <c r="O1334" s="25"/>
      <c r="P1334" s="25"/>
    </row>
    <row r="1335" spans="1:16" x14ac:dyDescent="0.3">
      <c r="A1335" s="25"/>
      <c r="B1335" s="25"/>
      <c r="C1335" s="25"/>
      <c r="D1335" s="26"/>
      <c r="E1335" s="26"/>
      <c r="F1335" s="26"/>
      <c r="G1335" s="26"/>
      <c r="H1335" s="26"/>
      <c r="I1335" s="25"/>
      <c r="J1335" s="25"/>
      <c r="K1335" s="25"/>
      <c r="L1335" s="25"/>
      <c r="M1335" s="25"/>
      <c r="N1335" s="25"/>
      <c r="O1335" s="25"/>
      <c r="P1335" s="25"/>
    </row>
    <row r="1336" spans="1:16" x14ac:dyDescent="0.3">
      <c r="A1336" s="25"/>
      <c r="B1336" s="25"/>
      <c r="C1336" s="25"/>
      <c r="D1336" s="26"/>
      <c r="E1336" s="26"/>
      <c r="F1336" s="26"/>
      <c r="G1336" s="26"/>
      <c r="H1336" s="26"/>
      <c r="I1336" s="25"/>
      <c r="J1336" s="25"/>
      <c r="K1336" s="25"/>
      <c r="L1336" s="25"/>
      <c r="M1336" s="25"/>
      <c r="N1336" s="25"/>
      <c r="O1336" s="25"/>
      <c r="P1336" s="25"/>
    </row>
    <row r="1337" spans="1:16" x14ac:dyDescent="0.3">
      <c r="A1337" s="25"/>
      <c r="B1337" s="25"/>
      <c r="C1337" s="25"/>
      <c r="D1337" s="26"/>
      <c r="E1337" s="26"/>
      <c r="F1337" s="26"/>
      <c r="G1337" s="26"/>
      <c r="H1337" s="26"/>
      <c r="I1337" s="25"/>
      <c r="J1337" s="25"/>
      <c r="K1337" s="25"/>
      <c r="L1337" s="25"/>
      <c r="M1337" s="25"/>
      <c r="N1337" s="25"/>
      <c r="O1337" s="25"/>
      <c r="P1337" s="25"/>
    </row>
    <row r="1338" spans="1:16" x14ac:dyDescent="0.3">
      <c r="A1338" s="25"/>
      <c r="B1338" s="25"/>
      <c r="C1338" s="25"/>
      <c r="D1338" s="26"/>
      <c r="E1338" s="26"/>
      <c r="F1338" s="26"/>
      <c r="G1338" s="26"/>
      <c r="H1338" s="26"/>
      <c r="I1338" s="25"/>
      <c r="J1338" s="25"/>
      <c r="K1338" s="25"/>
      <c r="L1338" s="25"/>
      <c r="M1338" s="25"/>
      <c r="N1338" s="25"/>
      <c r="O1338" s="25"/>
      <c r="P1338" s="25"/>
    </row>
    <row r="1339" spans="1:16" x14ac:dyDescent="0.3">
      <c r="A1339" s="25"/>
      <c r="B1339" s="25"/>
      <c r="C1339" s="25"/>
      <c r="D1339" s="26"/>
      <c r="E1339" s="26"/>
      <c r="F1339" s="26"/>
      <c r="G1339" s="26"/>
      <c r="H1339" s="26"/>
      <c r="I1339" s="25"/>
      <c r="J1339" s="25"/>
      <c r="K1339" s="25"/>
      <c r="L1339" s="25"/>
      <c r="M1339" s="25"/>
      <c r="N1339" s="25"/>
      <c r="O1339" s="25"/>
      <c r="P1339" s="25"/>
    </row>
    <row r="1340" spans="1:16" x14ac:dyDescent="0.3">
      <c r="A1340" s="25"/>
      <c r="B1340" s="25"/>
      <c r="C1340" s="25"/>
      <c r="D1340" s="26"/>
      <c r="E1340" s="26"/>
      <c r="F1340" s="26"/>
      <c r="G1340" s="26"/>
      <c r="H1340" s="26"/>
      <c r="I1340" s="25"/>
      <c r="J1340" s="25"/>
      <c r="K1340" s="25"/>
      <c r="L1340" s="25"/>
      <c r="M1340" s="25"/>
      <c r="N1340" s="25"/>
      <c r="O1340" s="25"/>
      <c r="P1340" s="25"/>
    </row>
    <row r="1341" spans="1:16" x14ac:dyDescent="0.3">
      <c r="A1341" s="25"/>
      <c r="B1341" s="25"/>
      <c r="C1341" s="25"/>
      <c r="D1341" s="26"/>
      <c r="E1341" s="26"/>
      <c r="F1341" s="26"/>
      <c r="G1341" s="26"/>
      <c r="H1341" s="26"/>
      <c r="I1341" s="25"/>
      <c r="J1341" s="25"/>
      <c r="K1341" s="25"/>
      <c r="L1341" s="25"/>
      <c r="M1341" s="25"/>
      <c r="N1341" s="25"/>
      <c r="O1341" s="25"/>
      <c r="P1341" s="25"/>
    </row>
    <row r="1342" spans="1:16" x14ac:dyDescent="0.3">
      <c r="A1342" s="25"/>
      <c r="B1342" s="25"/>
      <c r="C1342" s="25"/>
      <c r="D1342" s="26"/>
      <c r="E1342" s="26"/>
      <c r="F1342" s="26"/>
      <c r="G1342" s="26"/>
      <c r="H1342" s="26"/>
      <c r="I1342" s="25"/>
      <c r="J1342" s="25"/>
      <c r="K1342" s="25"/>
      <c r="L1342" s="25"/>
      <c r="M1342" s="25"/>
      <c r="N1342" s="25"/>
      <c r="O1342" s="25"/>
      <c r="P1342" s="25"/>
    </row>
    <row r="1343" spans="1:16" x14ac:dyDescent="0.3">
      <c r="A1343" s="25"/>
      <c r="B1343" s="25"/>
      <c r="C1343" s="25"/>
      <c r="D1343" s="26"/>
      <c r="E1343" s="26"/>
      <c r="F1343" s="26"/>
      <c r="G1343" s="26"/>
      <c r="H1343" s="26"/>
      <c r="I1343" s="25"/>
      <c r="J1343" s="25"/>
      <c r="K1343" s="25"/>
      <c r="L1343" s="25"/>
      <c r="M1343" s="25"/>
      <c r="N1343" s="25"/>
      <c r="O1343" s="25"/>
      <c r="P1343" s="25"/>
    </row>
    <row r="1344" spans="1:16" x14ac:dyDescent="0.3">
      <c r="A1344" s="25"/>
      <c r="B1344" s="25"/>
      <c r="C1344" s="25"/>
      <c r="D1344" s="26"/>
      <c r="E1344" s="26"/>
      <c r="F1344" s="26"/>
      <c r="G1344" s="26"/>
      <c r="H1344" s="26"/>
      <c r="I1344" s="25"/>
      <c r="J1344" s="25"/>
      <c r="K1344" s="25"/>
      <c r="L1344" s="25"/>
      <c r="M1344" s="25"/>
      <c r="N1344" s="25"/>
      <c r="O1344" s="25"/>
      <c r="P1344" s="25"/>
    </row>
    <row r="1345" spans="1:16" x14ac:dyDescent="0.3">
      <c r="A1345" s="25"/>
      <c r="B1345" s="25"/>
      <c r="C1345" s="25"/>
      <c r="D1345" s="26"/>
      <c r="E1345" s="26"/>
      <c r="F1345" s="26"/>
      <c r="G1345" s="26"/>
      <c r="H1345" s="26"/>
      <c r="I1345" s="25"/>
      <c r="J1345" s="25"/>
      <c r="K1345" s="25"/>
      <c r="L1345" s="25"/>
      <c r="M1345" s="25"/>
      <c r="N1345" s="25"/>
      <c r="O1345" s="25"/>
      <c r="P1345" s="25"/>
    </row>
    <row r="1346" spans="1:16" x14ac:dyDescent="0.3">
      <c r="A1346" s="25"/>
      <c r="B1346" s="25"/>
      <c r="C1346" s="25"/>
      <c r="D1346" s="26"/>
      <c r="E1346" s="26"/>
      <c r="F1346" s="26"/>
      <c r="G1346" s="26"/>
      <c r="H1346" s="26"/>
      <c r="I1346" s="25"/>
      <c r="J1346" s="25"/>
      <c r="K1346" s="25"/>
      <c r="L1346" s="25"/>
      <c r="M1346" s="25"/>
      <c r="N1346" s="25"/>
      <c r="O1346" s="25"/>
      <c r="P1346" s="25"/>
    </row>
    <row r="1347" spans="1:16" x14ac:dyDescent="0.3">
      <c r="A1347" s="25"/>
      <c r="B1347" s="25"/>
      <c r="C1347" s="25"/>
      <c r="D1347" s="26"/>
      <c r="E1347" s="26"/>
      <c r="F1347" s="26"/>
      <c r="G1347" s="26"/>
      <c r="H1347" s="26"/>
      <c r="I1347" s="25"/>
      <c r="J1347" s="25"/>
      <c r="K1347" s="25"/>
      <c r="L1347" s="25"/>
      <c r="M1347" s="25"/>
      <c r="N1347" s="25"/>
      <c r="O1347" s="25"/>
      <c r="P1347" s="25"/>
    </row>
    <row r="1348" spans="1:16" x14ac:dyDescent="0.3">
      <c r="A1348" s="25"/>
      <c r="B1348" s="25"/>
      <c r="C1348" s="25"/>
      <c r="D1348" s="26"/>
      <c r="E1348" s="26"/>
      <c r="F1348" s="26"/>
      <c r="G1348" s="26"/>
      <c r="H1348" s="26"/>
      <c r="I1348" s="25"/>
      <c r="J1348" s="25"/>
      <c r="K1348" s="25"/>
      <c r="L1348" s="25"/>
      <c r="M1348" s="25"/>
      <c r="N1348" s="25"/>
      <c r="O1348" s="25"/>
      <c r="P1348" s="25"/>
    </row>
    <row r="1349" spans="1:16" x14ac:dyDescent="0.3">
      <c r="A1349" s="25"/>
      <c r="B1349" s="25"/>
      <c r="C1349" s="25"/>
      <c r="D1349" s="26"/>
      <c r="E1349" s="26"/>
      <c r="F1349" s="26"/>
      <c r="G1349" s="26"/>
      <c r="H1349" s="26"/>
      <c r="I1349" s="25"/>
      <c r="J1349" s="25"/>
      <c r="K1349" s="25"/>
      <c r="L1349" s="25"/>
      <c r="M1349" s="25"/>
      <c r="N1349" s="25"/>
      <c r="O1349" s="25"/>
      <c r="P1349" s="25"/>
    </row>
    <row r="1350" spans="1:16" x14ac:dyDescent="0.3">
      <c r="A1350" s="25"/>
      <c r="B1350" s="25"/>
      <c r="C1350" s="25"/>
      <c r="D1350" s="26"/>
      <c r="E1350" s="26"/>
      <c r="F1350" s="26"/>
      <c r="G1350" s="26"/>
      <c r="H1350" s="26"/>
      <c r="I1350" s="25"/>
      <c r="J1350" s="25"/>
      <c r="K1350" s="25"/>
      <c r="L1350" s="25"/>
      <c r="M1350" s="25"/>
      <c r="N1350" s="25"/>
      <c r="O1350" s="25"/>
      <c r="P1350" s="25"/>
    </row>
    <row r="1351" spans="1:16" x14ac:dyDescent="0.3">
      <c r="A1351" s="25"/>
      <c r="B1351" s="25"/>
      <c r="C1351" s="25"/>
      <c r="D1351" s="26"/>
      <c r="E1351" s="26"/>
      <c r="F1351" s="26"/>
      <c r="G1351" s="26"/>
      <c r="H1351" s="26"/>
      <c r="I1351" s="25"/>
      <c r="J1351" s="25"/>
      <c r="K1351" s="25"/>
      <c r="L1351" s="25"/>
      <c r="M1351" s="25"/>
      <c r="N1351" s="25"/>
      <c r="O1351" s="25"/>
      <c r="P1351" s="25"/>
    </row>
    <row r="1352" spans="1:16" x14ac:dyDescent="0.3">
      <c r="A1352" s="25"/>
      <c r="B1352" s="25"/>
      <c r="C1352" s="25"/>
      <c r="D1352" s="26"/>
      <c r="E1352" s="26"/>
      <c r="F1352" s="26"/>
      <c r="G1352" s="26"/>
      <c r="H1352" s="26"/>
      <c r="I1352" s="25"/>
      <c r="J1352" s="25"/>
      <c r="K1352" s="25"/>
      <c r="L1352" s="25"/>
      <c r="M1352" s="25"/>
      <c r="N1352" s="25"/>
      <c r="O1352" s="25"/>
      <c r="P1352" s="25"/>
    </row>
    <row r="1353" spans="1:16" x14ac:dyDescent="0.3">
      <c r="A1353" s="25"/>
      <c r="B1353" s="25"/>
      <c r="C1353" s="25"/>
      <c r="D1353" s="26"/>
      <c r="E1353" s="26"/>
      <c r="F1353" s="26"/>
      <c r="G1353" s="26"/>
      <c r="H1353" s="26"/>
      <c r="I1353" s="25"/>
      <c r="J1353" s="25"/>
      <c r="K1353" s="25"/>
      <c r="L1353" s="25"/>
      <c r="M1353" s="25"/>
      <c r="N1353" s="25"/>
      <c r="O1353" s="25"/>
      <c r="P1353" s="25"/>
    </row>
    <row r="1354" spans="1:16" x14ac:dyDescent="0.3">
      <c r="A1354" s="25"/>
      <c r="B1354" s="25"/>
      <c r="C1354" s="25"/>
      <c r="D1354" s="26"/>
      <c r="E1354" s="26"/>
      <c r="F1354" s="26"/>
      <c r="G1354" s="26"/>
      <c r="H1354" s="26"/>
      <c r="I1354" s="25"/>
      <c r="J1354" s="25"/>
      <c r="K1354" s="25"/>
      <c r="L1354" s="25"/>
      <c r="M1354" s="25"/>
      <c r="N1354" s="25"/>
      <c r="O1354" s="25"/>
      <c r="P1354" s="25"/>
    </row>
    <row r="1355" spans="1:16" x14ac:dyDescent="0.3">
      <c r="A1355" s="25"/>
      <c r="B1355" s="25"/>
      <c r="C1355" s="25"/>
      <c r="D1355" s="26"/>
      <c r="E1355" s="26"/>
      <c r="F1355" s="26"/>
      <c r="G1355" s="26"/>
      <c r="H1355" s="26"/>
      <c r="I1355" s="25"/>
      <c r="J1355" s="25"/>
      <c r="K1355" s="25"/>
      <c r="L1355" s="25"/>
      <c r="M1355" s="25"/>
      <c r="N1355" s="25"/>
      <c r="O1355" s="25"/>
      <c r="P1355" s="25"/>
    </row>
    <row r="1356" spans="1:16" x14ac:dyDescent="0.3">
      <c r="A1356" s="25"/>
      <c r="B1356" s="25"/>
      <c r="C1356" s="25"/>
      <c r="D1356" s="26"/>
      <c r="E1356" s="26"/>
      <c r="F1356" s="26"/>
      <c r="G1356" s="26"/>
      <c r="H1356" s="26"/>
      <c r="I1356" s="25"/>
      <c r="J1356" s="25"/>
      <c r="K1356" s="25"/>
      <c r="L1356" s="25"/>
      <c r="M1356" s="25"/>
      <c r="N1356" s="25"/>
      <c r="O1356" s="25"/>
      <c r="P1356" s="25"/>
    </row>
    <row r="1357" spans="1:16" x14ac:dyDescent="0.3">
      <c r="A1357" s="25"/>
      <c r="B1357" s="25"/>
      <c r="C1357" s="25"/>
      <c r="D1357" s="26"/>
      <c r="E1357" s="26"/>
      <c r="F1357" s="26"/>
      <c r="G1357" s="26"/>
      <c r="H1357" s="26"/>
      <c r="I1357" s="25"/>
      <c r="J1357" s="25"/>
      <c r="K1357" s="25"/>
      <c r="L1357" s="25"/>
      <c r="M1357" s="25"/>
      <c r="N1357" s="25"/>
      <c r="O1357" s="25"/>
      <c r="P1357" s="25"/>
    </row>
    <row r="1358" spans="1:16" x14ac:dyDescent="0.3">
      <c r="A1358" s="25"/>
      <c r="B1358" s="25"/>
      <c r="C1358" s="25"/>
      <c r="D1358" s="26"/>
      <c r="E1358" s="26"/>
      <c r="F1358" s="26"/>
      <c r="G1358" s="26"/>
      <c r="H1358" s="26"/>
      <c r="I1358" s="25"/>
      <c r="J1358" s="25"/>
      <c r="K1358" s="25"/>
      <c r="L1358" s="25"/>
      <c r="M1358" s="25"/>
      <c r="N1358" s="25"/>
      <c r="O1358" s="25"/>
      <c r="P1358" s="25"/>
    </row>
    <row r="1359" spans="1:16" x14ac:dyDescent="0.3">
      <c r="A1359" s="25"/>
      <c r="B1359" s="25"/>
      <c r="C1359" s="25"/>
      <c r="D1359" s="26"/>
      <c r="E1359" s="26"/>
      <c r="F1359" s="26"/>
      <c r="G1359" s="26"/>
      <c r="H1359" s="26"/>
      <c r="I1359" s="25"/>
      <c r="J1359" s="25"/>
      <c r="K1359" s="25"/>
      <c r="L1359" s="25"/>
      <c r="M1359" s="25"/>
      <c r="N1359" s="25"/>
      <c r="O1359" s="25"/>
      <c r="P1359" s="25"/>
    </row>
    <row r="1360" spans="1:16" x14ac:dyDescent="0.3">
      <c r="A1360" s="25"/>
      <c r="B1360" s="25"/>
      <c r="C1360" s="25"/>
      <c r="D1360" s="26"/>
      <c r="E1360" s="26"/>
      <c r="F1360" s="26"/>
      <c r="G1360" s="26"/>
      <c r="H1360" s="26"/>
      <c r="I1360" s="25"/>
      <c r="J1360" s="25"/>
      <c r="K1360" s="25"/>
      <c r="L1360" s="25"/>
      <c r="M1360" s="25"/>
      <c r="N1360" s="25"/>
      <c r="O1360" s="25"/>
      <c r="P1360" s="25"/>
    </row>
    <row r="1361" spans="1:16" x14ac:dyDescent="0.3">
      <c r="A1361" s="25"/>
      <c r="B1361" s="25"/>
      <c r="C1361" s="25"/>
      <c r="D1361" s="26"/>
      <c r="E1361" s="26"/>
      <c r="F1361" s="26"/>
      <c r="G1361" s="26"/>
      <c r="H1361" s="26"/>
      <c r="I1361" s="25"/>
      <c r="J1361" s="25"/>
      <c r="K1361" s="25"/>
      <c r="L1361" s="25"/>
      <c r="M1361" s="25"/>
      <c r="N1361" s="25"/>
      <c r="O1361" s="25"/>
      <c r="P1361" s="25"/>
    </row>
    <row r="1362" spans="1:16" x14ac:dyDescent="0.3">
      <c r="A1362" s="25"/>
      <c r="B1362" s="25"/>
      <c r="C1362" s="25"/>
      <c r="D1362" s="26"/>
      <c r="E1362" s="26"/>
      <c r="F1362" s="26"/>
      <c r="G1362" s="26"/>
      <c r="H1362" s="26"/>
      <c r="I1362" s="25"/>
      <c r="J1362" s="25"/>
      <c r="K1362" s="25"/>
      <c r="L1362" s="25"/>
      <c r="M1362" s="25"/>
      <c r="N1362" s="25"/>
      <c r="O1362" s="25"/>
      <c r="P1362" s="25"/>
    </row>
    <row r="1363" spans="1:16" x14ac:dyDescent="0.3">
      <c r="A1363" s="25"/>
      <c r="B1363" s="25"/>
      <c r="C1363" s="25"/>
      <c r="D1363" s="26"/>
      <c r="E1363" s="26"/>
      <c r="F1363" s="26"/>
      <c r="G1363" s="26"/>
      <c r="H1363" s="26"/>
      <c r="I1363" s="25"/>
      <c r="J1363" s="25"/>
      <c r="K1363" s="25"/>
      <c r="L1363" s="25"/>
      <c r="M1363" s="25"/>
      <c r="N1363" s="25"/>
      <c r="O1363" s="25"/>
      <c r="P1363" s="25"/>
    </row>
    <row r="1364" spans="1:16" x14ac:dyDescent="0.3">
      <c r="A1364" s="25"/>
      <c r="B1364" s="25"/>
      <c r="C1364" s="25"/>
      <c r="D1364" s="26"/>
      <c r="E1364" s="26"/>
      <c r="F1364" s="26"/>
      <c r="G1364" s="26"/>
      <c r="H1364" s="26"/>
      <c r="I1364" s="25"/>
      <c r="J1364" s="25"/>
      <c r="K1364" s="25"/>
      <c r="L1364" s="25"/>
      <c r="M1364" s="25"/>
      <c r="N1364" s="25"/>
      <c r="O1364" s="25"/>
      <c r="P1364" s="25"/>
    </row>
    <row r="1365" spans="1:16" x14ac:dyDescent="0.3">
      <c r="A1365" s="25"/>
      <c r="B1365" s="25"/>
      <c r="C1365" s="25"/>
      <c r="D1365" s="26"/>
      <c r="E1365" s="26"/>
      <c r="F1365" s="26"/>
      <c r="G1365" s="26"/>
      <c r="H1365" s="26"/>
      <c r="I1365" s="25"/>
      <c r="J1365" s="25"/>
      <c r="K1365" s="25"/>
      <c r="L1365" s="25"/>
      <c r="M1365" s="25"/>
      <c r="N1365" s="25"/>
      <c r="O1365" s="25"/>
      <c r="P1365" s="25"/>
    </row>
    <row r="1366" spans="1:16" x14ac:dyDescent="0.3">
      <c r="A1366" s="25"/>
      <c r="B1366" s="25"/>
      <c r="C1366" s="25"/>
      <c r="D1366" s="26"/>
      <c r="E1366" s="26"/>
      <c r="F1366" s="26"/>
      <c r="G1366" s="26"/>
      <c r="H1366" s="26"/>
      <c r="I1366" s="25"/>
      <c r="J1366" s="25"/>
      <c r="K1366" s="25"/>
      <c r="L1366" s="25"/>
      <c r="M1366" s="25"/>
      <c r="N1366" s="25"/>
      <c r="O1366" s="25"/>
      <c r="P1366" s="25"/>
    </row>
    <row r="1367" spans="1:16" x14ac:dyDescent="0.3">
      <c r="A1367" s="25"/>
      <c r="B1367" s="25"/>
      <c r="C1367" s="25"/>
      <c r="D1367" s="26"/>
      <c r="E1367" s="26"/>
      <c r="F1367" s="26"/>
      <c r="G1367" s="26"/>
      <c r="H1367" s="26"/>
      <c r="I1367" s="25"/>
      <c r="J1367" s="25"/>
      <c r="K1367" s="25"/>
      <c r="L1367" s="25"/>
      <c r="M1367" s="25"/>
      <c r="N1367" s="25"/>
      <c r="O1367" s="25"/>
      <c r="P1367" s="25"/>
    </row>
    <row r="1368" spans="1:16" x14ac:dyDescent="0.3">
      <c r="A1368" s="25"/>
      <c r="B1368" s="25"/>
      <c r="C1368" s="25"/>
      <c r="D1368" s="26"/>
      <c r="E1368" s="26"/>
      <c r="F1368" s="26"/>
      <c r="G1368" s="26"/>
      <c r="H1368" s="26"/>
      <c r="I1368" s="25"/>
      <c r="J1368" s="25"/>
      <c r="K1368" s="25"/>
      <c r="L1368" s="25"/>
      <c r="M1368" s="25"/>
      <c r="N1368" s="25"/>
      <c r="O1368" s="25"/>
      <c r="P1368" s="25"/>
    </row>
    <row r="1369" spans="1:16" x14ac:dyDescent="0.3">
      <c r="A1369" s="25"/>
      <c r="B1369" s="25"/>
      <c r="C1369" s="25"/>
      <c r="D1369" s="26"/>
      <c r="E1369" s="26"/>
      <c r="F1369" s="26"/>
      <c r="G1369" s="26"/>
      <c r="H1369" s="26"/>
      <c r="I1369" s="25"/>
      <c r="J1369" s="25"/>
      <c r="K1369" s="25"/>
      <c r="L1369" s="25"/>
      <c r="M1369" s="25"/>
      <c r="N1369" s="25"/>
      <c r="O1369" s="25"/>
      <c r="P1369" s="25"/>
    </row>
    <row r="1370" spans="1:16" x14ac:dyDescent="0.3">
      <c r="A1370" s="25"/>
      <c r="B1370" s="25"/>
      <c r="C1370" s="25"/>
      <c r="D1370" s="26"/>
      <c r="E1370" s="26"/>
      <c r="F1370" s="26"/>
      <c r="G1370" s="26"/>
      <c r="H1370" s="26"/>
      <c r="I1370" s="25"/>
      <c r="J1370" s="25"/>
      <c r="K1370" s="25"/>
      <c r="L1370" s="25"/>
      <c r="M1370" s="25"/>
      <c r="N1370" s="25"/>
      <c r="O1370" s="25"/>
      <c r="P1370" s="25"/>
    </row>
    <row r="1371" spans="1:16" x14ac:dyDescent="0.3">
      <c r="A1371" s="25"/>
      <c r="B1371" s="25"/>
      <c r="C1371" s="25"/>
      <c r="D1371" s="26"/>
      <c r="E1371" s="26"/>
      <c r="F1371" s="26"/>
      <c r="G1371" s="26"/>
      <c r="H1371" s="26"/>
      <c r="I1371" s="25"/>
      <c r="J1371" s="25"/>
      <c r="K1371" s="25"/>
      <c r="L1371" s="25"/>
      <c r="M1371" s="25"/>
      <c r="N1371" s="25"/>
      <c r="O1371" s="25"/>
      <c r="P1371" s="25"/>
    </row>
    <row r="1372" spans="1:16" x14ac:dyDescent="0.3">
      <c r="A1372" s="25"/>
      <c r="B1372" s="25"/>
      <c r="C1372" s="25"/>
      <c r="D1372" s="26"/>
      <c r="E1372" s="26"/>
      <c r="F1372" s="26"/>
      <c r="G1372" s="26"/>
      <c r="H1372" s="26"/>
      <c r="I1372" s="25"/>
      <c r="J1372" s="25"/>
      <c r="K1372" s="25"/>
      <c r="L1372" s="25"/>
      <c r="M1372" s="25"/>
      <c r="N1372" s="25"/>
      <c r="O1372" s="25"/>
      <c r="P1372" s="25"/>
    </row>
    <row r="1373" spans="1:16" x14ac:dyDescent="0.3">
      <c r="A1373" s="25"/>
      <c r="B1373" s="25"/>
      <c r="C1373" s="25"/>
      <c r="D1373" s="26"/>
      <c r="E1373" s="26"/>
      <c r="F1373" s="26"/>
      <c r="G1373" s="26"/>
      <c r="H1373" s="26"/>
      <c r="I1373" s="25"/>
      <c r="J1373" s="25"/>
      <c r="K1373" s="25"/>
      <c r="L1373" s="25"/>
      <c r="M1373" s="25"/>
      <c r="N1373" s="25"/>
      <c r="O1373" s="25"/>
      <c r="P1373" s="25"/>
    </row>
    <row r="1374" spans="1:16" x14ac:dyDescent="0.3">
      <c r="A1374" s="25"/>
      <c r="B1374" s="25"/>
      <c r="C1374" s="25"/>
      <c r="D1374" s="26"/>
      <c r="E1374" s="26"/>
      <c r="F1374" s="26"/>
      <c r="G1374" s="26"/>
      <c r="H1374" s="26"/>
      <c r="I1374" s="25"/>
      <c r="J1374" s="25"/>
      <c r="K1374" s="25"/>
      <c r="L1374" s="25"/>
      <c r="M1374" s="25"/>
      <c r="N1374" s="25"/>
      <c r="O1374" s="25"/>
      <c r="P1374" s="25"/>
    </row>
    <row r="1375" spans="1:16" x14ac:dyDescent="0.3">
      <c r="A1375" s="25"/>
      <c r="B1375" s="25"/>
      <c r="C1375" s="25"/>
      <c r="D1375" s="26"/>
      <c r="E1375" s="26"/>
      <c r="F1375" s="26"/>
      <c r="G1375" s="26"/>
      <c r="H1375" s="26"/>
      <c r="I1375" s="25"/>
      <c r="J1375" s="25"/>
      <c r="K1375" s="25"/>
      <c r="L1375" s="25"/>
      <c r="M1375" s="25"/>
      <c r="N1375" s="25"/>
      <c r="O1375" s="25"/>
      <c r="P1375" s="25"/>
    </row>
    <row r="1376" spans="1:16" x14ac:dyDescent="0.3">
      <c r="A1376" s="25"/>
      <c r="B1376" s="25"/>
      <c r="C1376" s="25"/>
      <c r="D1376" s="26"/>
      <c r="E1376" s="26"/>
      <c r="F1376" s="26"/>
      <c r="G1376" s="26"/>
      <c r="H1376" s="26"/>
      <c r="I1376" s="25"/>
      <c r="J1376" s="25"/>
      <c r="K1376" s="25"/>
      <c r="L1376" s="25"/>
      <c r="M1376" s="25"/>
      <c r="N1376" s="25"/>
      <c r="O1376" s="25"/>
      <c r="P1376" s="25"/>
    </row>
    <row r="1377" spans="1:16" x14ac:dyDescent="0.3">
      <c r="A1377" s="25"/>
      <c r="B1377" s="25"/>
      <c r="C1377" s="25"/>
      <c r="D1377" s="26"/>
      <c r="E1377" s="26"/>
      <c r="F1377" s="26"/>
      <c r="G1377" s="26"/>
      <c r="H1377" s="26"/>
      <c r="I1377" s="25"/>
      <c r="J1377" s="25"/>
      <c r="K1377" s="25"/>
      <c r="L1377" s="25"/>
      <c r="M1377" s="25"/>
      <c r="N1377" s="25"/>
      <c r="O1377" s="25"/>
      <c r="P1377" s="25"/>
    </row>
    <row r="1378" spans="1:16" x14ac:dyDescent="0.3">
      <c r="A1378" s="25"/>
      <c r="B1378" s="25"/>
      <c r="C1378" s="25"/>
      <c r="D1378" s="26"/>
      <c r="E1378" s="26"/>
      <c r="F1378" s="26"/>
      <c r="G1378" s="26"/>
      <c r="H1378" s="26"/>
      <c r="I1378" s="25"/>
      <c r="J1378" s="25"/>
      <c r="K1378" s="25"/>
      <c r="L1378" s="25"/>
      <c r="M1378" s="25"/>
      <c r="N1378" s="25"/>
      <c r="O1378" s="25"/>
      <c r="P1378" s="25"/>
    </row>
    <row r="1379" spans="1:16" x14ac:dyDescent="0.3">
      <c r="A1379" s="25"/>
      <c r="B1379" s="25"/>
      <c r="C1379" s="25"/>
      <c r="D1379" s="26"/>
      <c r="E1379" s="26"/>
      <c r="F1379" s="26"/>
      <c r="G1379" s="26"/>
      <c r="H1379" s="26"/>
      <c r="I1379" s="25"/>
      <c r="J1379" s="25"/>
      <c r="K1379" s="25"/>
      <c r="L1379" s="25"/>
      <c r="M1379" s="25"/>
      <c r="N1379" s="25"/>
      <c r="O1379" s="25"/>
      <c r="P1379" s="25"/>
    </row>
    <row r="1380" spans="1:16" x14ac:dyDescent="0.3">
      <c r="A1380" s="25"/>
      <c r="B1380" s="25"/>
      <c r="C1380" s="25"/>
      <c r="D1380" s="26"/>
      <c r="E1380" s="26"/>
      <c r="F1380" s="26"/>
      <c r="G1380" s="26"/>
      <c r="H1380" s="26"/>
      <c r="I1380" s="25"/>
      <c r="J1380" s="25"/>
      <c r="K1380" s="25"/>
      <c r="L1380" s="25"/>
      <c r="M1380" s="25"/>
      <c r="N1380" s="25"/>
      <c r="O1380" s="25"/>
      <c r="P1380" s="25"/>
    </row>
    <row r="1381" spans="1:16" x14ac:dyDescent="0.3">
      <c r="A1381" s="25"/>
      <c r="B1381" s="25"/>
      <c r="C1381" s="25"/>
      <c r="D1381" s="26"/>
      <c r="E1381" s="26"/>
      <c r="F1381" s="26"/>
      <c r="G1381" s="26"/>
      <c r="H1381" s="26"/>
      <c r="I1381" s="25"/>
      <c r="J1381" s="25"/>
      <c r="K1381" s="25"/>
      <c r="L1381" s="25"/>
      <c r="M1381" s="25"/>
      <c r="N1381" s="25"/>
      <c r="O1381" s="25"/>
      <c r="P1381" s="25"/>
    </row>
    <row r="1382" spans="1:16" x14ac:dyDescent="0.3">
      <c r="A1382" s="25"/>
      <c r="B1382" s="25"/>
      <c r="C1382" s="25"/>
      <c r="D1382" s="26"/>
      <c r="E1382" s="26"/>
      <c r="F1382" s="26"/>
      <c r="G1382" s="26"/>
      <c r="H1382" s="26"/>
      <c r="I1382" s="25"/>
      <c r="J1382" s="25"/>
      <c r="K1382" s="25"/>
      <c r="L1382" s="25"/>
      <c r="M1382" s="25"/>
      <c r="N1382" s="25"/>
      <c r="O1382" s="25"/>
      <c r="P1382" s="25"/>
    </row>
    <row r="1383" spans="1:16" x14ac:dyDescent="0.3">
      <c r="A1383" s="25"/>
      <c r="B1383" s="25"/>
      <c r="C1383" s="25"/>
      <c r="D1383" s="26"/>
      <c r="E1383" s="26"/>
      <c r="F1383" s="26"/>
      <c r="G1383" s="26"/>
      <c r="H1383" s="26"/>
      <c r="I1383" s="25"/>
      <c r="J1383" s="25"/>
      <c r="K1383" s="25"/>
      <c r="L1383" s="25"/>
      <c r="M1383" s="25"/>
      <c r="N1383" s="25"/>
      <c r="O1383" s="25"/>
      <c r="P1383" s="25"/>
    </row>
    <row r="1384" spans="1:16" x14ac:dyDescent="0.3">
      <c r="A1384" s="25"/>
      <c r="B1384" s="25"/>
      <c r="C1384" s="25"/>
      <c r="D1384" s="26"/>
      <c r="E1384" s="26"/>
      <c r="F1384" s="26"/>
      <c r="G1384" s="26"/>
      <c r="H1384" s="26"/>
      <c r="I1384" s="25"/>
      <c r="J1384" s="25"/>
      <c r="K1384" s="25"/>
      <c r="L1384" s="25"/>
      <c r="M1384" s="25"/>
      <c r="N1384" s="25"/>
      <c r="O1384" s="25"/>
      <c r="P1384" s="25"/>
    </row>
    <row r="1385" spans="1:16" x14ac:dyDescent="0.3">
      <c r="A1385" s="25"/>
      <c r="B1385" s="25"/>
      <c r="C1385" s="25"/>
      <c r="D1385" s="26"/>
      <c r="E1385" s="26"/>
      <c r="F1385" s="26"/>
      <c r="G1385" s="26"/>
      <c r="H1385" s="26"/>
      <c r="I1385" s="25"/>
      <c r="J1385" s="25"/>
      <c r="K1385" s="25"/>
      <c r="L1385" s="25"/>
      <c r="M1385" s="25"/>
      <c r="N1385" s="25"/>
      <c r="O1385" s="25"/>
      <c r="P1385" s="25"/>
    </row>
    <row r="1386" spans="1:16" x14ac:dyDescent="0.3">
      <c r="A1386" s="25"/>
      <c r="B1386" s="25"/>
      <c r="C1386" s="25"/>
      <c r="D1386" s="26"/>
      <c r="E1386" s="26"/>
      <c r="F1386" s="26"/>
      <c r="G1386" s="26"/>
      <c r="H1386" s="26"/>
      <c r="I1386" s="25"/>
      <c r="J1386" s="25"/>
      <c r="K1386" s="25"/>
      <c r="L1386" s="25"/>
      <c r="M1386" s="25"/>
      <c r="N1386" s="25"/>
      <c r="O1386" s="25"/>
      <c r="P1386" s="25"/>
    </row>
    <row r="1387" spans="1:16" x14ac:dyDescent="0.3">
      <c r="A1387" s="25"/>
      <c r="B1387" s="25"/>
      <c r="C1387" s="25"/>
      <c r="D1387" s="26"/>
      <c r="E1387" s="26"/>
      <c r="F1387" s="26"/>
      <c r="G1387" s="26"/>
      <c r="H1387" s="26"/>
      <c r="I1387" s="25"/>
      <c r="J1387" s="25"/>
      <c r="K1387" s="25"/>
      <c r="L1387" s="25"/>
      <c r="M1387" s="25"/>
      <c r="N1387" s="25"/>
      <c r="O1387" s="25"/>
      <c r="P1387" s="25"/>
    </row>
    <row r="1388" spans="1:16" x14ac:dyDescent="0.3">
      <c r="A1388" s="25"/>
      <c r="B1388" s="25"/>
      <c r="C1388" s="25"/>
      <c r="D1388" s="26"/>
      <c r="E1388" s="26"/>
      <c r="F1388" s="26"/>
      <c r="G1388" s="26"/>
      <c r="H1388" s="26"/>
      <c r="I1388" s="25"/>
      <c r="J1388" s="25"/>
      <c r="K1388" s="25"/>
      <c r="L1388" s="25"/>
      <c r="M1388" s="25"/>
      <c r="N1388" s="25"/>
      <c r="O1388" s="25"/>
      <c r="P1388" s="25"/>
    </row>
    <row r="1389" spans="1:16" x14ac:dyDescent="0.3">
      <c r="A1389" s="25"/>
      <c r="B1389" s="25"/>
      <c r="C1389" s="25"/>
      <c r="D1389" s="26"/>
      <c r="E1389" s="26"/>
      <c r="F1389" s="26"/>
      <c r="G1389" s="26"/>
      <c r="H1389" s="26"/>
      <c r="I1389" s="25"/>
      <c r="J1389" s="25"/>
      <c r="K1389" s="25"/>
      <c r="L1389" s="25"/>
      <c r="M1389" s="25"/>
      <c r="N1389" s="25"/>
      <c r="O1389" s="25"/>
      <c r="P1389" s="25"/>
    </row>
    <row r="1390" spans="1:16" x14ac:dyDescent="0.3">
      <c r="A1390" s="25"/>
      <c r="B1390" s="25"/>
      <c r="C1390" s="25"/>
      <c r="D1390" s="26"/>
      <c r="E1390" s="26"/>
      <c r="F1390" s="26"/>
      <c r="G1390" s="26"/>
      <c r="H1390" s="26"/>
      <c r="I1390" s="25"/>
      <c r="J1390" s="25"/>
      <c r="K1390" s="25"/>
      <c r="L1390" s="25"/>
      <c r="M1390" s="25"/>
      <c r="N1390" s="25"/>
      <c r="O1390" s="25"/>
      <c r="P1390" s="25"/>
    </row>
    <row r="1391" spans="1:16" x14ac:dyDescent="0.3">
      <c r="A1391" s="25"/>
      <c r="B1391" s="25"/>
      <c r="C1391" s="25"/>
      <c r="D1391" s="26"/>
      <c r="E1391" s="26"/>
      <c r="F1391" s="26"/>
      <c r="G1391" s="26"/>
      <c r="H1391" s="26"/>
      <c r="I1391" s="25"/>
      <c r="J1391" s="25"/>
      <c r="K1391" s="25"/>
      <c r="L1391" s="25"/>
      <c r="M1391" s="25"/>
      <c r="N1391" s="25"/>
      <c r="O1391" s="25"/>
      <c r="P1391" s="25"/>
    </row>
    <row r="1392" spans="1:16" x14ac:dyDescent="0.3">
      <c r="A1392" s="25"/>
      <c r="B1392" s="25"/>
      <c r="C1392" s="25"/>
      <c r="D1392" s="26"/>
      <c r="E1392" s="26"/>
      <c r="F1392" s="26"/>
      <c r="G1392" s="26"/>
      <c r="H1392" s="26"/>
      <c r="I1392" s="25"/>
      <c r="J1392" s="25"/>
      <c r="K1392" s="25"/>
      <c r="L1392" s="25"/>
      <c r="M1392" s="25"/>
      <c r="N1392" s="25"/>
      <c r="O1392" s="25"/>
      <c r="P1392" s="25"/>
    </row>
    <row r="1393" spans="1:16" x14ac:dyDescent="0.3">
      <c r="A1393" s="25"/>
      <c r="B1393" s="25"/>
      <c r="C1393" s="25"/>
      <c r="D1393" s="26"/>
      <c r="E1393" s="26"/>
      <c r="F1393" s="26"/>
      <c r="G1393" s="26"/>
      <c r="H1393" s="26"/>
      <c r="I1393" s="25"/>
      <c r="J1393" s="25"/>
      <c r="K1393" s="25"/>
      <c r="L1393" s="25"/>
      <c r="M1393" s="25"/>
      <c r="N1393" s="25"/>
      <c r="O1393" s="25"/>
      <c r="P1393" s="25"/>
    </row>
    <row r="1394" spans="1:16" x14ac:dyDescent="0.3">
      <c r="A1394" s="25"/>
      <c r="B1394" s="25"/>
      <c r="C1394" s="25"/>
      <c r="D1394" s="26"/>
      <c r="E1394" s="26"/>
      <c r="F1394" s="26"/>
      <c r="G1394" s="26"/>
      <c r="H1394" s="26"/>
      <c r="I1394" s="25"/>
      <c r="J1394" s="25"/>
      <c r="K1394" s="25"/>
      <c r="L1394" s="25"/>
      <c r="M1394" s="25"/>
      <c r="N1394" s="25"/>
      <c r="O1394" s="25"/>
      <c r="P1394" s="25"/>
    </row>
    <row r="1395" spans="1:16" x14ac:dyDescent="0.3">
      <c r="A1395" s="25"/>
      <c r="B1395" s="25"/>
      <c r="C1395" s="25"/>
      <c r="D1395" s="26"/>
      <c r="E1395" s="26"/>
      <c r="F1395" s="26"/>
      <c r="G1395" s="26"/>
      <c r="H1395" s="26"/>
      <c r="I1395" s="25"/>
      <c r="J1395" s="25"/>
      <c r="K1395" s="25"/>
      <c r="L1395" s="25"/>
      <c r="M1395" s="25"/>
      <c r="N1395" s="25"/>
      <c r="O1395" s="25"/>
      <c r="P1395" s="25"/>
    </row>
    <row r="1396" spans="1:16" x14ac:dyDescent="0.3">
      <c r="A1396" s="25"/>
      <c r="B1396" s="25"/>
      <c r="C1396" s="25"/>
      <c r="D1396" s="26"/>
      <c r="E1396" s="26"/>
      <c r="F1396" s="26"/>
      <c r="G1396" s="26"/>
      <c r="H1396" s="26"/>
      <c r="I1396" s="25"/>
      <c r="J1396" s="25"/>
      <c r="K1396" s="25"/>
      <c r="L1396" s="25"/>
      <c r="M1396" s="25"/>
      <c r="N1396" s="25"/>
      <c r="O1396" s="25"/>
      <c r="P1396" s="25"/>
    </row>
    <row r="1397" spans="1:16" x14ac:dyDescent="0.3">
      <c r="A1397" s="25"/>
      <c r="B1397" s="25"/>
      <c r="C1397" s="25"/>
      <c r="D1397" s="26"/>
      <c r="E1397" s="26"/>
      <c r="F1397" s="26"/>
      <c r="G1397" s="26"/>
      <c r="H1397" s="26"/>
      <c r="I1397" s="25"/>
      <c r="J1397" s="25"/>
      <c r="K1397" s="25"/>
      <c r="L1397" s="25"/>
      <c r="M1397" s="25"/>
      <c r="N1397" s="25"/>
      <c r="O1397" s="25"/>
      <c r="P1397" s="25"/>
    </row>
    <row r="1398" spans="1:16" x14ac:dyDescent="0.3">
      <c r="A1398" s="25"/>
      <c r="B1398" s="25"/>
      <c r="C1398" s="25"/>
      <c r="D1398" s="26"/>
      <c r="E1398" s="26"/>
      <c r="F1398" s="26"/>
      <c r="G1398" s="26"/>
      <c r="H1398" s="26"/>
      <c r="I1398" s="25"/>
      <c r="J1398" s="25"/>
      <c r="K1398" s="25"/>
      <c r="L1398" s="25"/>
      <c r="M1398" s="25"/>
      <c r="N1398" s="25"/>
      <c r="O1398" s="25"/>
      <c r="P1398" s="25"/>
    </row>
    <row r="1399" spans="1:16" x14ac:dyDescent="0.3">
      <c r="A1399" s="25"/>
      <c r="B1399" s="25"/>
      <c r="C1399" s="25"/>
      <c r="D1399" s="26"/>
      <c r="E1399" s="26"/>
      <c r="F1399" s="26"/>
      <c r="G1399" s="26"/>
      <c r="H1399" s="26"/>
      <c r="I1399" s="25"/>
      <c r="J1399" s="25"/>
      <c r="K1399" s="25"/>
      <c r="L1399" s="25"/>
      <c r="M1399" s="25"/>
      <c r="N1399" s="25"/>
      <c r="O1399" s="25"/>
      <c r="P1399" s="25"/>
    </row>
    <row r="1400" spans="1:16" x14ac:dyDescent="0.3">
      <c r="A1400" s="25"/>
      <c r="B1400" s="25"/>
      <c r="C1400" s="25"/>
      <c r="D1400" s="26"/>
      <c r="E1400" s="26"/>
      <c r="F1400" s="26"/>
      <c r="G1400" s="26"/>
      <c r="H1400" s="26"/>
      <c r="I1400" s="25"/>
      <c r="J1400" s="25"/>
      <c r="K1400" s="25"/>
      <c r="L1400" s="25"/>
      <c r="M1400" s="25"/>
      <c r="N1400" s="25"/>
      <c r="O1400" s="25"/>
      <c r="P1400" s="25"/>
    </row>
    <row r="1401" spans="1:16" x14ac:dyDescent="0.3">
      <c r="A1401" s="25"/>
      <c r="B1401" s="25"/>
      <c r="C1401" s="25"/>
      <c r="D1401" s="26"/>
      <c r="E1401" s="26"/>
      <c r="F1401" s="26"/>
      <c r="G1401" s="26"/>
      <c r="H1401" s="26"/>
      <c r="I1401" s="25"/>
      <c r="J1401" s="25"/>
      <c r="K1401" s="25"/>
      <c r="L1401" s="25"/>
      <c r="M1401" s="25"/>
      <c r="N1401" s="25"/>
      <c r="O1401" s="25"/>
      <c r="P1401" s="25"/>
    </row>
    <row r="1402" spans="1:16" x14ac:dyDescent="0.3">
      <c r="A1402" s="25"/>
      <c r="B1402" s="25"/>
      <c r="C1402" s="25"/>
      <c r="D1402" s="26"/>
      <c r="E1402" s="26"/>
      <c r="F1402" s="26"/>
      <c r="G1402" s="26"/>
      <c r="H1402" s="26"/>
      <c r="I1402" s="25"/>
      <c r="J1402" s="25"/>
      <c r="K1402" s="25"/>
      <c r="L1402" s="25"/>
      <c r="M1402" s="25"/>
      <c r="N1402" s="25"/>
      <c r="O1402" s="25"/>
      <c r="P1402" s="25"/>
    </row>
    <row r="1403" spans="1:16" x14ac:dyDescent="0.3">
      <c r="A1403" s="25"/>
      <c r="B1403" s="25"/>
      <c r="C1403" s="25"/>
      <c r="D1403" s="26"/>
      <c r="E1403" s="26"/>
      <c r="F1403" s="26"/>
      <c r="G1403" s="26"/>
      <c r="H1403" s="26"/>
      <c r="I1403" s="25"/>
      <c r="J1403" s="25"/>
      <c r="K1403" s="25"/>
      <c r="L1403" s="25"/>
      <c r="M1403" s="25"/>
      <c r="N1403" s="25"/>
      <c r="O1403" s="25"/>
      <c r="P1403" s="25"/>
    </row>
    <row r="1404" spans="1:16" x14ac:dyDescent="0.3">
      <c r="A1404" s="25"/>
      <c r="B1404" s="25"/>
      <c r="C1404" s="25"/>
      <c r="D1404" s="26"/>
      <c r="E1404" s="26"/>
      <c r="F1404" s="26"/>
      <c r="G1404" s="26"/>
      <c r="H1404" s="26"/>
      <c r="I1404" s="25"/>
      <c r="J1404" s="25"/>
      <c r="K1404" s="25"/>
      <c r="L1404" s="25"/>
      <c r="M1404" s="25"/>
      <c r="N1404" s="25"/>
      <c r="O1404" s="25"/>
      <c r="P1404" s="25"/>
    </row>
    <row r="1405" spans="1:16" x14ac:dyDescent="0.3">
      <c r="A1405" s="25"/>
      <c r="B1405" s="25"/>
      <c r="C1405" s="25"/>
      <c r="D1405" s="26"/>
      <c r="E1405" s="26"/>
      <c r="F1405" s="26"/>
      <c r="G1405" s="26"/>
      <c r="H1405" s="26"/>
      <c r="I1405" s="25"/>
      <c r="J1405" s="25"/>
      <c r="K1405" s="25"/>
      <c r="L1405" s="25"/>
      <c r="M1405" s="25"/>
      <c r="N1405" s="25"/>
      <c r="O1405" s="25"/>
      <c r="P1405" s="25"/>
    </row>
    <row r="1406" spans="1:16" x14ac:dyDescent="0.3">
      <c r="A1406" s="25"/>
      <c r="B1406" s="25"/>
      <c r="C1406" s="25"/>
      <c r="D1406" s="26"/>
      <c r="E1406" s="26"/>
      <c r="F1406" s="26"/>
      <c r="G1406" s="26"/>
      <c r="H1406" s="26"/>
      <c r="I1406" s="25"/>
      <c r="J1406" s="25"/>
      <c r="K1406" s="25"/>
      <c r="L1406" s="25"/>
      <c r="M1406" s="25"/>
      <c r="N1406" s="25"/>
      <c r="O1406" s="25"/>
      <c r="P1406" s="25"/>
    </row>
    <row r="1407" spans="1:16" x14ac:dyDescent="0.3">
      <c r="A1407" s="25"/>
      <c r="B1407" s="25"/>
      <c r="C1407" s="25"/>
      <c r="D1407" s="26"/>
      <c r="E1407" s="26"/>
      <c r="F1407" s="26"/>
      <c r="G1407" s="26"/>
      <c r="H1407" s="26"/>
      <c r="I1407" s="25"/>
      <c r="J1407" s="25"/>
      <c r="K1407" s="25"/>
      <c r="L1407" s="25"/>
      <c r="M1407" s="25"/>
      <c r="N1407" s="25"/>
      <c r="O1407" s="25"/>
      <c r="P1407" s="25"/>
    </row>
    <row r="1408" spans="1:16" x14ac:dyDescent="0.3">
      <c r="A1408" s="25"/>
      <c r="B1408" s="25"/>
      <c r="C1408" s="25"/>
      <c r="D1408" s="26"/>
      <c r="E1408" s="26"/>
      <c r="F1408" s="26"/>
      <c r="G1408" s="26"/>
      <c r="H1408" s="26"/>
      <c r="I1408" s="25"/>
      <c r="J1408" s="25"/>
      <c r="K1408" s="25"/>
      <c r="L1408" s="25"/>
      <c r="M1408" s="25"/>
      <c r="N1408" s="25"/>
      <c r="O1408" s="25"/>
      <c r="P1408" s="25"/>
    </row>
    <row r="1409" spans="1:16" x14ac:dyDescent="0.3">
      <c r="A1409" s="25"/>
      <c r="B1409" s="25"/>
      <c r="C1409" s="25"/>
      <c r="D1409" s="26"/>
      <c r="E1409" s="26"/>
      <c r="F1409" s="26"/>
      <c r="G1409" s="26"/>
      <c r="H1409" s="26"/>
      <c r="I1409" s="25"/>
      <c r="J1409" s="25"/>
      <c r="K1409" s="25"/>
      <c r="L1409" s="25"/>
      <c r="M1409" s="25"/>
      <c r="N1409" s="25"/>
      <c r="O1409" s="25"/>
      <c r="P1409" s="25"/>
    </row>
    <row r="1410" spans="1:16" x14ac:dyDescent="0.3">
      <c r="A1410" s="25"/>
      <c r="B1410" s="25"/>
      <c r="C1410" s="25"/>
      <c r="D1410" s="26"/>
      <c r="E1410" s="26"/>
      <c r="F1410" s="26"/>
      <c r="G1410" s="26"/>
      <c r="H1410" s="26"/>
      <c r="I1410" s="25"/>
      <c r="J1410" s="25"/>
      <c r="K1410" s="25"/>
      <c r="L1410" s="25"/>
      <c r="M1410" s="25"/>
      <c r="N1410" s="25"/>
      <c r="O1410" s="25"/>
      <c r="P1410" s="25"/>
    </row>
    <row r="1411" spans="1:16" x14ac:dyDescent="0.3">
      <c r="A1411" s="25"/>
      <c r="B1411" s="25"/>
      <c r="C1411" s="25"/>
      <c r="D1411" s="26"/>
      <c r="E1411" s="26"/>
      <c r="F1411" s="26"/>
      <c r="G1411" s="26"/>
      <c r="H1411" s="26"/>
      <c r="I1411" s="25"/>
      <c r="J1411" s="25"/>
      <c r="K1411" s="25"/>
      <c r="L1411" s="25"/>
      <c r="M1411" s="25"/>
      <c r="N1411" s="25"/>
      <c r="O1411" s="25"/>
      <c r="P1411" s="25"/>
    </row>
    <row r="1412" spans="1:16" x14ac:dyDescent="0.3">
      <c r="A1412" s="25"/>
      <c r="B1412" s="25"/>
      <c r="C1412" s="25"/>
      <c r="D1412" s="26"/>
      <c r="E1412" s="26"/>
      <c r="F1412" s="26"/>
      <c r="G1412" s="26"/>
      <c r="H1412" s="26"/>
      <c r="I1412" s="25"/>
      <c r="J1412" s="25"/>
      <c r="K1412" s="25"/>
      <c r="L1412" s="25"/>
      <c r="M1412" s="25"/>
      <c r="N1412" s="25"/>
      <c r="O1412" s="25"/>
      <c r="P1412" s="25"/>
    </row>
    <row r="1413" spans="1:16" x14ac:dyDescent="0.3">
      <c r="A1413" s="25"/>
      <c r="B1413" s="25"/>
      <c r="C1413" s="25"/>
      <c r="D1413" s="26"/>
      <c r="E1413" s="26"/>
      <c r="F1413" s="26"/>
      <c r="G1413" s="26"/>
      <c r="H1413" s="26"/>
      <c r="I1413" s="25"/>
      <c r="J1413" s="25"/>
      <c r="K1413" s="25"/>
      <c r="L1413" s="25"/>
      <c r="M1413" s="25"/>
      <c r="N1413" s="25"/>
      <c r="O1413" s="25"/>
      <c r="P1413" s="25"/>
    </row>
    <row r="1414" spans="1:16" x14ac:dyDescent="0.3">
      <c r="A1414" s="25"/>
      <c r="B1414" s="25"/>
      <c r="C1414" s="25"/>
      <c r="D1414" s="26"/>
      <c r="E1414" s="26"/>
      <c r="F1414" s="26"/>
      <c r="G1414" s="26"/>
      <c r="H1414" s="26"/>
      <c r="I1414" s="25"/>
      <c r="J1414" s="25"/>
      <c r="K1414" s="25"/>
      <c r="L1414" s="25"/>
      <c r="M1414" s="25"/>
      <c r="N1414" s="25"/>
      <c r="O1414" s="25"/>
      <c r="P1414" s="25"/>
    </row>
    <row r="1415" spans="1:16" x14ac:dyDescent="0.3">
      <c r="A1415" s="25"/>
      <c r="B1415" s="25"/>
      <c r="C1415" s="25"/>
      <c r="D1415" s="26"/>
      <c r="E1415" s="26"/>
      <c r="F1415" s="26"/>
      <c r="G1415" s="26"/>
      <c r="H1415" s="26"/>
      <c r="I1415" s="25"/>
      <c r="J1415" s="25"/>
      <c r="K1415" s="25"/>
      <c r="L1415" s="25"/>
      <c r="M1415" s="25"/>
      <c r="N1415" s="25"/>
      <c r="O1415" s="25"/>
      <c r="P1415" s="25"/>
    </row>
    <row r="1416" spans="1:16" x14ac:dyDescent="0.3">
      <c r="A1416" s="25"/>
      <c r="B1416" s="25"/>
      <c r="C1416" s="25"/>
      <c r="D1416" s="26"/>
      <c r="E1416" s="26"/>
      <c r="F1416" s="26"/>
      <c r="G1416" s="26"/>
      <c r="H1416" s="26"/>
      <c r="I1416" s="25"/>
      <c r="J1416" s="25"/>
      <c r="K1416" s="25"/>
      <c r="L1416" s="25"/>
      <c r="M1416" s="25"/>
      <c r="N1416" s="25"/>
      <c r="O1416" s="25"/>
      <c r="P1416" s="25"/>
    </row>
    <row r="1417" spans="1:16" x14ac:dyDescent="0.3">
      <c r="A1417" s="25"/>
      <c r="B1417" s="25"/>
      <c r="C1417" s="25"/>
      <c r="D1417" s="26"/>
      <c r="E1417" s="26"/>
      <c r="F1417" s="26"/>
      <c r="G1417" s="26"/>
      <c r="H1417" s="26"/>
      <c r="I1417" s="25"/>
      <c r="J1417" s="25"/>
      <c r="K1417" s="25"/>
      <c r="L1417" s="25"/>
      <c r="M1417" s="25"/>
      <c r="N1417" s="25"/>
      <c r="O1417" s="25"/>
      <c r="P1417" s="25"/>
    </row>
    <row r="1418" spans="1:16" x14ac:dyDescent="0.3">
      <c r="A1418" s="25"/>
      <c r="B1418" s="25"/>
      <c r="C1418" s="25"/>
      <c r="D1418" s="26"/>
      <c r="E1418" s="26"/>
      <c r="F1418" s="26"/>
      <c r="G1418" s="26"/>
      <c r="H1418" s="26"/>
      <c r="I1418" s="25"/>
      <c r="J1418" s="25"/>
      <c r="K1418" s="25"/>
      <c r="L1418" s="25"/>
      <c r="M1418" s="25"/>
      <c r="N1418" s="25"/>
      <c r="O1418" s="25"/>
      <c r="P1418" s="25"/>
    </row>
    <row r="1419" spans="1:16" x14ac:dyDescent="0.3">
      <c r="A1419" s="25"/>
      <c r="B1419" s="25"/>
      <c r="C1419" s="25"/>
      <c r="D1419" s="26"/>
      <c r="E1419" s="26"/>
      <c r="F1419" s="26"/>
      <c r="G1419" s="26"/>
      <c r="H1419" s="26"/>
      <c r="I1419" s="25"/>
      <c r="J1419" s="25"/>
      <c r="K1419" s="25"/>
      <c r="L1419" s="25"/>
      <c r="M1419" s="25"/>
      <c r="N1419" s="25"/>
      <c r="O1419" s="25"/>
      <c r="P1419" s="25"/>
    </row>
    <row r="1420" spans="1:16" x14ac:dyDescent="0.3">
      <c r="A1420" s="25"/>
      <c r="B1420" s="25"/>
      <c r="C1420" s="25"/>
      <c r="D1420" s="26"/>
      <c r="E1420" s="26"/>
      <c r="F1420" s="26"/>
      <c r="G1420" s="26"/>
      <c r="H1420" s="26"/>
      <c r="I1420" s="25"/>
      <c r="J1420" s="25"/>
      <c r="K1420" s="25"/>
      <c r="L1420" s="25"/>
      <c r="M1420" s="25"/>
      <c r="N1420" s="25"/>
      <c r="O1420" s="25"/>
      <c r="P1420" s="25"/>
    </row>
    <row r="1421" spans="1:16" x14ac:dyDescent="0.3">
      <c r="A1421" s="25"/>
      <c r="B1421" s="25"/>
      <c r="C1421" s="25"/>
      <c r="D1421" s="26"/>
      <c r="E1421" s="26"/>
      <c r="F1421" s="26"/>
      <c r="G1421" s="26"/>
      <c r="H1421" s="26"/>
      <c r="I1421" s="25"/>
      <c r="J1421" s="25"/>
      <c r="K1421" s="25"/>
      <c r="L1421" s="25"/>
      <c r="M1421" s="25"/>
      <c r="N1421" s="25"/>
      <c r="O1421" s="25"/>
      <c r="P1421" s="25"/>
    </row>
    <row r="1422" spans="1:16" x14ac:dyDescent="0.3">
      <c r="A1422" s="25"/>
      <c r="B1422" s="25"/>
      <c r="C1422" s="25"/>
      <c r="D1422" s="26"/>
      <c r="E1422" s="26"/>
      <c r="F1422" s="26"/>
      <c r="G1422" s="26"/>
      <c r="H1422" s="26"/>
      <c r="I1422" s="25"/>
      <c r="J1422" s="25"/>
      <c r="K1422" s="25"/>
      <c r="L1422" s="25"/>
      <c r="M1422" s="25"/>
      <c r="N1422" s="25"/>
      <c r="O1422" s="25"/>
      <c r="P1422" s="25"/>
    </row>
    <row r="1423" spans="1:16" x14ac:dyDescent="0.3">
      <c r="A1423" s="25"/>
      <c r="B1423" s="25"/>
      <c r="C1423" s="25"/>
      <c r="D1423" s="26"/>
      <c r="E1423" s="26"/>
      <c r="F1423" s="26"/>
      <c r="G1423" s="26"/>
      <c r="H1423" s="26"/>
      <c r="I1423" s="25"/>
      <c r="J1423" s="25"/>
      <c r="K1423" s="25"/>
      <c r="L1423" s="25"/>
      <c r="M1423" s="25"/>
      <c r="N1423" s="25"/>
      <c r="O1423" s="25"/>
      <c r="P1423" s="25"/>
    </row>
    <row r="1424" spans="1:16" x14ac:dyDescent="0.3">
      <c r="A1424" s="25"/>
      <c r="B1424" s="25"/>
      <c r="C1424" s="25"/>
      <c r="D1424" s="26"/>
      <c r="E1424" s="26"/>
      <c r="F1424" s="26"/>
      <c r="G1424" s="26"/>
      <c r="H1424" s="26"/>
      <c r="I1424" s="25"/>
      <c r="J1424" s="25"/>
      <c r="K1424" s="25"/>
      <c r="L1424" s="25"/>
      <c r="M1424" s="25"/>
      <c r="N1424" s="25"/>
      <c r="O1424" s="25"/>
      <c r="P1424" s="25"/>
    </row>
    <row r="1425" spans="1:16" x14ac:dyDescent="0.3">
      <c r="A1425" s="25"/>
      <c r="B1425" s="25"/>
      <c r="C1425" s="25"/>
      <c r="D1425" s="26"/>
      <c r="E1425" s="26"/>
      <c r="F1425" s="26"/>
      <c r="G1425" s="26"/>
      <c r="H1425" s="26"/>
      <c r="I1425" s="25"/>
      <c r="J1425" s="25"/>
      <c r="K1425" s="25"/>
      <c r="L1425" s="25"/>
      <c r="M1425" s="25"/>
      <c r="N1425" s="25"/>
      <c r="O1425" s="25"/>
      <c r="P1425" s="25"/>
    </row>
    <row r="1426" spans="1:16" x14ac:dyDescent="0.3">
      <c r="A1426" s="25"/>
      <c r="B1426" s="25"/>
      <c r="C1426" s="25"/>
      <c r="D1426" s="26"/>
      <c r="E1426" s="26"/>
      <c r="F1426" s="26"/>
      <c r="G1426" s="26"/>
      <c r="H1426" s="26"/>
      <c r="I1426" s="25"/>
      <c r="J1426" s="25"/>
      <c r="K1426" s="25"/>
      <c r="L1426" s="25"/>
      <c r="M1426" s="25"/>
      <c r="N1426" s="25"/>
      <c r="O1426" s="25"/>
      <c r="P1426" s="25"/>
    </row>
    <row r="1427" spans="1:16" x14ac:dyDescent="0.3">
      <c r="A1427" s="25"/>
      <c r="B1427" s="25"/>
      <c r="C1427" s="25"/>
      <c r="D1427" s="26"/>
      <c r="E1427" s="26"/>
      <c r="F1427" s="26"/>
      <c r="G1427" s="26"/>
      <c r="H1427" s="26"/>
      <c r="I1427" s="25"/>
      <c r="J1427" s="25"/>
      <c r="K1427" s="25"/>
      <c r="L1427" s="25"/>
      <c r="M1427" s="25"/>
      <c r="N1427" s="25"/>
      <c r="O1427" s="25"/>
      <c r="P1427" s="25"/>
    </row>
    <row r="1428" spans="1:16" x14ac:dyDescent="0.3">
      <c r="A1428" s="25"/>
      <c r="B1428" s="25"/>
      <c r="C1428" s="25"/>
      <c r="D1428" s="26"/>
      <c r="E1428" s="26"/>
      <c r="F1428" s="26"/>
      <c r="G1428" s="26"/>
      <c r="H1428" s="26"/>
      <c r="I1428" s="25"/>
      <c r="J1428" s="25"/>
      <c r="K1428" s="25"/>
      <c r="L1428" s="25"/>
      <c r="M1428" s="25"/>
      <c r="N1428" s="25"/>
      <c r="O1428" s="25"/>
      <c r="P1428" s="25"/>
    </row>
    <row r="1429" spans="1:16" x14ac:dyDescent="0.3">
      <c r="A1429" s="25"/>
      <c r="B1429" s="25"/>
      <c r="C1429" s="25"/>
      <c r="D1429" s="26"/>
      <c r="E1429" s="26"/>
      <c r="F1429" s="26"/>
      <c r="G1429" s="26"/>
      <c r="H1429" s="26"/>
      <c r="I1429" s="25"/>
      <c r="J1429" s="25"/>
      <c r="K1429" s="25"/>
      <c r="L1429" s="25"/>
      <c r="M1429" s="25"/>
      <c r="N1429" s="25"/>
      <c r="O1429" s="25"/>
      <c r="P1429" s="25"/>
    </row>
    <row r="1430" spans="1:16" x14ac:dyDescent="0.3">
      <c r="A1430" s="25"/>
      <c r="B1430" s="25"/>
      <c r="C1430" s="25"/>
      <c r="D1430" s="26"/>
      <c r="E1430" s="26"/>
      <c r="F1430" s="26"/>
      <c r="G1430" s="26"/>
      <c r="H1430" s="26"/>
      <c r="I1430" s="25"/>
      <c r="J1430" s="25"/>
      <c r="K1430" s="25"/>
      <c r="L1430" s="25"/>
      <c r="M1430" s="25"/>
      <c r="N1430" s="25"/>
      <c r="O1430" s="25"/>
      <c r="P1430" s="25"/>
    </row>
    <row r="1431" spans="1:16" x14ac:dyDescent="0.3">
      <c r="A1431" s="25"/>
      <c r="B1431" s="25"/>
      <c r="C1431" s="25"/>
      <c r="D1431" s="26"/>
      <c r="E1431" s="26"/>
      <c r="F1431" s="26"/>
      <c r="G1431" s="26"/>
      <c r="H1431" s="26"/>
      <c r="I1431" s="25"/>
      <c r="J1431" s="25"/>
      <c r="K1431" s="25"/>
      <c r="L1431" s="25"/>
      <c r="M1431" s="25"/>
      <c r="N1431" s="25"/>
      <c r="O1431" s="25"/>
      <c r="P1431" s="25"/>
    </row>
    <row r="1432" spans="1:16" x14ac:dyDescent="0.3">
      <c r="A1432" s="25"/>
      <c r="B1432" s="25"/>
      <c r="C1432" s="25"/>
      <c r="D1432" s="26"/>
      <c r="E1432" s="26"/>
      <c r="F1432" s="26"/>
      <c r="G1432" s="26"/>
      <c r="H1432" s="26"/>
      <c r="I1432" s="25"/>
      <c r="J1432" s="25"/>
      <c r="K1432" s="25"/>
      <c r="L1432" s="25"/>
      <c r="M1432" s="25"/>
      <c r="N1432" s="25"/>
      <c r="O1432" s="25"/>
      <c r="P1432" s="25"/>
    </row>
    <row r="1433" spans="1:16" x14ac:dyDescent="0.3">
      <c r="A1433" s="25"/>
      <c r="B1433" s="25"/>
      <c r="C1433" s="25"/>
      <c r="D1433" s="26"/>
      <c r="E1433" s="26"/>
      <c r="F1433" s="26"/>
      <c r="G1433" s="26"/>
      <c r="H1433" s="26"/>
      <c r="I1433" s="25"/>
      <c r="J1433" s="25"/>
      <c r="K1433" s="25"/>
      <c r="L1433" s="25"/>
      <c r="M1433" s="25"/>
      <c r="N1433" s="25"/>
      <c r="O1433" s="25"/>
      <c r="P1433" s="25"/>
    </row>
    <row r="1434" spans="1:16" x14ac:dyDescent="0.3">
      <c r="A1434" s="25"/>
      <c r="B1434" s="25"/>
      <c r="C1434" s="25"/>
      <c r="D1434" s="26"/>
      <c r="E1434" s="26"/>
      <c r="F1434" s="26"/>
      <c r="G1434" s="26"/>
      <c r="H1434" s="26"/>
      <c r="I1434" s="25"/>
      <c r="J1434" s="25"/>
      <c r="K1434" s="25"/>
      <c r="L1434" s="25"/>
      <c r="M1434" s="25"/>
      <c r="N1434" s="25"/>
      <c r="O1434" s="25"/>
      <c r="P1434" s="25"/>
    </row>
    <row r="1435" spans="1:16" x14ac:dyDescent="0.3">
      <c r="A1435" s="25"/>
      <c r="B1435" s="25"/>
      <c r="C1435" s="25"/>
      <c r="D1435" s="26"/>
      <c r="E1435" s="26"/>
      <c r="F1435" s="26"/>
      <c r="G1435" s="26"/>
      <c r="H1435" s="26"/>
      <c r="I1435" s="25"/>
      <c r="J1435" s="25"/>
      <c r="K1435" s="25"/>
      <c r="L1435" s="25"/>
      <c r="M1435" s="25"/>
      <c r="N1435" s="25"/>
      <c r="O1435" s="25"/>
      <c r="P1435" s="25"/>
    </row>
    <row r="1436" spans="1:16" x14ac:dyDescent="0.3">
      <c r="A1436" s="25"/>
      <c r="B1436" s="25"/>
      <c r="C1436" s="25"/>
      <c r="D1436" s="26"/>
      <c r="E1436" s="26"/>
      <c r="F1436" s="26"/>
      <c r="G1436" s="26"/>
      <c r="H1436" s="26"/>
      <c r="I1436" s="25"/>
      <c r="J1436" s="25"/>
      <c r="K1436" s="25"/>
      <c r="L1436" s="25"/>
      <c r="M1436" s="25"/>
      <c r="N1436" s="25"/>
      <c r="O1436" s="25"/>
      <c r="P1436" s="25"/>
    </row>
    <row r="1437" spans="1:16" x14ac:dyDescent="0.3">
      <c r="A1437" s="25"/>
      <c r="B1437" s="25"/>
      <c r="C1437" s="25"/>
      <c r="D1437" s="26"/>
      <c r="E1437" s="26"/>
      <c r="F1437" s="26"/>
      <c r="G1437" s="26"/>
      <c r="H1437" s="26"/>
      <c r="I1437" s="25"/>
      <c r="J1437" s="25"/>
      <c r="K1437" s="25"/>
      <c r="L1437" s="25"/>
      <c r="M1437" s="25"/>
      <c r="N1437" s="25"/>
      <c r="O1437" s="25"/>
      <c r="P1437" s="25"/>
    </row>
    <row r="1438" spans="1:16" x14ac:dyDescent="0.3">
      <c r="A1438" s="25"/>
      <c r="B1438" s="25"/>
      <c r="C1438" s="25"/>
      <c r="D1438" s="26"/>
      <c r="E1438" s="26"/>
      <c r="F1438" s="26"/>
      <c r="G1438" s="26"/>
      <c r="H1438" s="26"/>
      <c r="I1438" s="25"/>
      <c r="J1438" s="25"/>
      <c r="K1438" s="25"/>
      <c r="L1438" s="25"/>
      <c r="M1438" s="25"/>
      <c r="N1438" s="25"/>
      <c r="O1438" s="25"/>
      <c r="P1438" s="25"/>
    </row>
    <row r="1439" spans="1:16" x14ac:dyDescent="0.3">
      <c r="A1439" s="25"/>
      <c r="B1439" s="25"/>
      <c r="C1439" s="25"/>
      <c r="D1439" s="26"/>
      <c r="E1439" s="26"/>
      <c r="F1439" s="26"/>
      <c r="G1439" s="26"/>
      <c r="H1439" s="26"/>
      <c r="I1439" s="25"/>
      <c r="J1439" s="25"/>
      <c r="K1439" s="25"/>
      <c r="L1439" s="25"/>
      <c r="M1439" s="25"/>
      <c r="N1439" s="25"/>
      <c r="O1439" s="25"/>
      <c r="P1439" s="25"/>
    </row>
    <row r="1440" spans="1:16" x14ac:dyDescent="0.3">
      <c r="A1440" s="25"/>
      <c r="B1440" s="25"/>
      <c r="C1440" s="25"/>
      <c r="D1440" s="26"/>
      <c r="E1440" s="26"/>
      <c r="F1440" s="26"/>
      <c r="G1440" s="26"/>
      <c r="H1440" s="26"/>
      <c r="I1440" s="25"/>
      <c r="J1440" s="25"/>
      <c r="K1440" s="25"/>
      <c r="L1440" s="25"/>
      <c r="M1440" s="25"/>
      <c r="N1440" s="25"/>
      <c r="O1440" s="25"/>
      <c r="P1440" s="25"/>
    </row>
    <row r="1441" spans="1:16" x14ac:dyDescent="0.3">
      <c r="A1441" s="25"/>
      <c r="B1441" s="25"/>
      <c r="C1441" s="25"/>
      <c r="D1441" s="26"/>
      <c r="E1441" s="26"/>
      <c r="F1441" s="26"/>
      <c r="G1441" s="26"/>
      <c r="H1441" s="26"/>
      <c r="I1441" s="25"/>
      <c r="J1441" s="25"/>
      <c r="K1441" s="25"/>
      <c r="L1441" s="25"/>
      <c r="M1441" s="25"/>
      <c r="N1441" s="25"/>
      <c r="O1441" s="25"/>
      <c r="P1441" s="25"/>
    </row>
    <row r="1442" spans="1:16" x14ac:dyDescent="0.3">
      <c r="A1442" s="25"/>
      <c r="B1442" s="25"/>
      <c r="C1442" s="25"/>
      <c r="D1442" s="26"/>
      <c r="E1442" s="26"/>
      <c r="F1442" s="26"/>
      <c r="G1442" s="26"/>
      <c r="H1442" s="26"/>
      <c r="I1442" s="25"/>
      <c r="J1442" s="25"/>
      <c r="K1442" s="25"/>
      <c r="L1442" s="25"/>
      <c r="M1442" s="25"/>
      <c r="N1442" s="25"/>
      <c r="O1442" s="25"/>
      <c r="P1442" s="25"/>
    </row>
    <row r="1443" spans="1:16" x14ac:dyDescent="0.3">
      <c r="A1443" s="25"/>
      <c r="B1443" s="25"/>
      <c r="C1443" s="25"/>
      <c r="D1443" s="26"/>
      <c r="E1443" s="26"/>
      <c r="F1443" s="26"/>
      <c r="G1443" s="26"/>
      <c r="H1443" s="26"/>
      <c r="I1443" s="25"/>
      <c r="J1443" s="25"/>
      <c r="K1443" s="25"/>
      <c r="L1443" s="25"/>
      <c r="M1443" s="25"/>
      <c r="N1443" s="25"/>
      <c r="O1443" s="25"/>
      <c r="P1443" s="25"/>
    </row>
    <row r="1444" spans="1:16" x14ac:dyDescent="0.3">
      <c r="A1444" s="25"/>
      <c r="B1444" s="25"/>
      <c r="C1444" s="25"/>
      <c r="D1444" s="26"/>
      <c r="E1444" s="26"/>
      <c r="F1444" s="26"/>
      <c r="G1444" s="26"/>
      <c r="H1444" s="26"/>
      <c r="I1444" s="25"/>
      <c r="J1444" s="25"/>
      <c r="K1444" s="25"/>
      <c r="L1444" s="25"/>
      <c r="M1444" s="25"/>
      <c r="N1444" s="25"/>
      <c r="O1444" s="25"/>
      <c r="P1444" s="25"/>
    </row>
    <row r="1445" spans="1:16" x14ac:dyDescent="0.3">
      <c r="A1445" s="25"/>
      <c r="B1445" s="25"/>
      <c r="C1445" s="25"/>
      <c r="D1445" s="26"/>
      <c r="E1445" s="26"/>
      <c r="F1445" s="26"/>
      <c r="G1445" s="26"/>
      <c r="H1445" s="26"/>
      <c r="I1445" s="25"/>
      <c r="J1445" s="25"/>
      <c r="K1445" s="25"/>
      <c r="L1445" s="25"/>
      <c r="M1445" s="25"/>
      <c r="N1445" s="25"/>
      <c r="O1445" s="25"/>
      <c r="P1445" s="25"/>
    </row>
    <row r="1446" spans="1:16" x14ac:dyDescent="0.3">
      <c r="A1446" s="25"/>
      <c r="B1446" s="25"/>
      <c r="C1446" s="25"/>
      <c r="D1446" s="26"/>
      <c r="E1446" s="26"/>
      <c r="F1446" s="26"/>
      <c r="G1446" s="26"/>
      <c r="H1446" s="26"/>
      <c r="I1446" s="25"/>
      <c r="J1446" s="25"/>
      <c r="K1446" s="25"/>
      <c r="L1446" s="25"/>
      <c r="M1446" s="25"/>
      <c r="N1446" s="25"/>
      <c r="O1446" s="25"/>
      <c r="P1446" s="25"/>
    </row>
    <row r="1447" spans="1:16" x14ac:dyDescent="0.3">
      <c r="A1447" s="25"/>
      <c r="B1447" s="25"/>
      <c r="C1447" s="25"/>
      <c r="D1447" s="26"/>
      <c r="E1447" s="26"/>
      <c r="F1447" s="26"/>
      <c r="G1447" s="26"/>
      <c r="H1447" s="26"/>
      <c r="I1447" s="25"/>
      <c r="J1447" s="25"/>
      <c r="K1447" s="25"/>
      <c r="L1447" s="25"/>
      <c r="M1447" s="25"/>
      <c r="N1447" s="25"/>
      <c r="O1447" s="25"/>
      <c r="P1447" s="25"/>
    </row>
    <row r="1448" spans="1:16" x14ac:dyDescent="0.3">
      <c r="A1448" s="25"/>
      <c r="B1448" s="25"/>
      <c r="C1448" s="25"/>
      <c r="D1448" s="26"/>
      <c r="E1448" s="26"/>
      <c r="F1448" s="26"/>
      <c r="G1448" s="26"/>
      <c r="H1448" s="26"/>
      <c r="I1448" s="25"/>
      <c r="J1448" s="25"/>
      <c r="K1448" s="25"/>
      <c r="L1448" s="25"/>
      <c r="M1448" s="25"/>
      <c r="N1448" s="25"/>
      <c r="O1448" s="25"/>
      <c r="P1448" s="25"/>
    </row>
    <row r="1449" spans="1:16" x14ac:dyDescent="0.3">
      <c r="A1449" s="25"/>
      <c r="B1449" s="25"/>
      <c r="C1449" s="25"/>
      <c r="D1449" s="26"/>
      <c r="E1449" s="26"/>
      <c r="F1449" s="26"/>
      <c r="G1449" s="26"/>
      <c r="H1449" s="26"/>
      <c r="I1449" s="25"/>
      <c r="J1449" s="25"/>
      <c r="K1449" s="25"/>
      <c r="L1449" s="25"/>
      <c r="M1449" s="25"/>
      <c r="N1449" s="25"/>
      <c r="O1449" s="25"/>
      <c r="P1449" s="25"/>
    </row>
    <row r="1450" spans="1:16" x14ac:dyDescent="0.3">
      <c r="A1450" s="25"/>
      <c r="B1450" s="25"/>
      <c r="C1450" s="25"/>
      <c r="D1450" s="26"/>
      <c r="E1450" s="26"/>
      <c r="F1450" s="26"/>
      <c r="G1450" s="26"/>
      <c r="H1450" s="26"/>
      <c r="I1450" s="25"/>
      <c r="J1450" s="25"/>
      <c r="K1450" s="25"/>
      <c r="L1450" s="25"/>
      <c r="M1450" s="25"/>
      <c r="N1450" s="25"/>
      <c r="O1450" s="25"/>
      <c r="P1450" s="25"/>
    </row>
    <row r="1451" spans="1:16" x14ac:dyDescent="0.3">
      <c r="A1451" s="25"/>
      <c r="B1451" s="25"/>
      <c r="C1451" s="25"/>
      <c r="D1451" s="26"/>
      <c r="E1451" s="26"/>
      <c r="F1451" s="26"/>
      <c r="G1451" s="26"/>
      <c r="H1451" s="26"/>
      <c r="I1451" s="25"/>
      <c r="J1451" s="25"/>
      <c r="K1451" s="25"/>
      <c r="L1451" s="25"/>
      <c r="M1451" s="25"/>
      <c r="N1451" s="25"/>
      <c r="O1451" s="25"/>
      <c r="P1451" s="25"/>
    </row>
    <row r="1452" spans="1:16" x14ac:dyDescent="0.3">
      <c r="A1452" s="25"/>
      <c r="B1452" s="25"/>
      <c r="C1452" s="25"/>
      <c r="D1452" s="26"/>
      <c r="E1452" s="26"/>
      <c r="F1452" s="26"/>
      <c r="G1452" s="26"/>
      <c r="H1452" s="26"/>
      <c r="I1452" s="25"/>
      <c r="J1452" s="25"/>
      <c r="K1452" s="25"/>
      <c r="L1452" s="25"/>
      <c r="M1452" s="25"/>
      <c r="N1452" s="25"/>
      <c r="O1452" s="25"/>
      <c r="P1452" s="25"/>
    </row>
    <row r="1453" spans="1:16" x14ac:dyDescent="0.3">
      <c r="A1453" s="25"/>
      <c r="B1453" s="25"/>
      <c r="C1453" s="25"/>
      <c r="D1453" s="26"/>
      <c r="E1453" s="26"/>
      <c r="F1453" s="26"/>
      <c r="G1453" s="26"/>
      <c r="H1453" s="26"/>
      <c r="I1453" s="25"/>
      <c r="J1453" s="25"/>
      <c r="K1453" s="25"/>
      <c r="L1453" s="25"/>
      <c r="M1453" s="25"/>
      <c r="N1453" s="25"/>
      <c r="O1453" s="25"/>
      <c r="P1453" s="25"/>
    </row>
    <row r="1454" spans="1:16" x14ac:dyDescent="0.3">
      <c r="A1454" s="25"/>
      <c r="B1454" s="25"/>
      <c r="C1454" s="25"/>
      <c r="D1454" s="26"/>
      <c r="E1454" s="26"/>
      <c r="F1454" s="26"/>
      <c r="G1454" s="26"/>
      <c r="H1454" s="26"/>
      <c r="I1454" s="25"/>
      <c r="J1454" s="25"/>
      <c r="K1454" s="25"/>
      <c r="L1454" s="25"/>
      <c r="M1454" s="25"/>
      <c r="N1454" s="25"/>
      <c r="O1454" s="25"/>
      <c r="P1454" s="25"/>
    </row>
    <row r="1455" spans="1:16" x14ac:dyDescent="0.3">
      <c r="A1455" s="25"/>
      <c r="B1455" s="25"/>
      <c r="C1455" s="25"/>
      <c r="D1455" s="26"/>
      <c r="E1455" s="26"/>
      <c r="F1455" s="26"/>
      <c r="G1455" s="26"/>
      <c r="H1455" s="26"/>
      <c r="I1455" s="25"/>
      <c r="J1455" s="25"/>
      <c r="K1455" s="25"/>
      <c r="L1455" s="25"/>
      <c r="M1455" s="25"/>
      <c r="N1455" s="25"/>
      <c r="O1455" s="25"/>
      <c r="P1455" s="25"/>
    </row>
    <row r="1456" spans="1:16" x14ac:dyDescent="0.3">
      <c r="A1456" s="25"/>
      <c r="B1456" s="25"/>
      <c r="C1456" s="25"/>
      <c r="D1456" s="26"/>
      <c r="E1456" s="26"/>
      <c r="F1456" s="26"/>
      <c r="G1456" s="26"/>
      <c r="H1456" s="26"/>
      <c r="I1456" s="25"/>
      <c r="J1456" s="25"/>
      <c r="K1456" s="25"/>
      <c r="L1456" s="25"/>
      <c r="M1456" s="25"/>
      <c r="N1456" s="25"/>
      <c r="O1456" s="25"/>
      <c r="P1456" s="25"/>
    </row>
    <row r="1457" spans="1:16" x14ac:dyDescent="0.3">
      <c r="A1457" s="25"/>
      <c r="B1457" s="25"/>
      <c r="C1457" s="25"/>
      <c r="D1457" s="26"/>
      <c r="E1457" s="26"/>
      <c r="F1457" s="26"/>
      <c r="G1457" s="26"/>
      <c r="H1457" s="26"/>
      <c r="I1457" s="25"/>
      <c r="J1457" s="25"/>
      <c r="K1457" s="25"/>
      <c r="L1457" s="25"/>
      <c r="M1457" s="25"/>
      <c r="N1457" s="25"/>
      <c r="O1457" s="25"/>
      <c r="P1457" s="25"/>
    </row>
    <row r="1458" spans="1:16" x14ac:dyDescent="0.3">
      <c r="A1458" s="25"/>
      <c r="B1458" s="25"/>
      <c r="C1458" s="25"/>
      <c r="D1458" s="26"/>
      <c r="E1458" s="26"/>
      <c r="F1458" s="26"/>
      <c r="G1458" s="26"/>
      <c r="H1458" s="26"/>
      <c r="I1458" s="25"/>
      <c r="J1458" s="25"/>
      <c r="K1458" s="25"/>
      <c r="L1458" s="25"/>
      <c r="M1458" s="25"/>
      <c r="N1458" s="25"/>
      <c r="O1458" s="25"/>
      <c r="P1458" s="25"/>
    </row>
    <row r="1459" spans="1:16" x14ac:dyDescent="0.3">
      <c r="A1459" s="25"/>
      <c r="B1459" s="25"/>
      <c r="C1459" s="25"/>
      <c r="D1459" s="26"/>
      <c r="E1459" s="26"/>
      <c r="F1459" s="26"/>
      <c r="G1459" s="26"/>
      <c r="H1459" s="26"/>
      <c r="I1459" s="25"/>
      <c r="J1459" s="25"/>
      <c r="K1459" s="25"/>
      <c r="L1459" s="25"/>
      <c r="M1459" s="25"/>
      <c r="N1459" s="25"/>
      <c r="O1459" s="25"/>
      <c r="P1459" s="25"/>
    </row>
    <row r="1460" spans="1:16" x14ac:dyDescent="0.3">
      <c r="A1460" s="25"/>
      <c r="B1460" s="25"/>
      <c r="C1460" s="25"/>
      <c r="D1460" s="26"/>
      <c r="E1460" s="26"/>
      <c r="F1460" s="26"/>
      <c r="G1460" s="26"/>
      <c r="H1460" s="26"/>
      <c r="I1460" s="25"/>
      <c r="J1460" s="25"/>
      <c r="K1460" s="25"/>
      <c r="L1460" s="25"/>
      <c r="M1460" s="25"/>
      <c r="N1460" s="25"/>
      <c r="O1460" s="25"/>
      <c r="P1460" s="25"/>
    </row>
    <row r="1461" spans="1:16" x14ac:dyDescent="0.3">
      <c r="A1461" s="25"/>
      <c r="B1461" s="25"/>
      <c r="C1461" s="25"/>
      <c r="D1461" s="26"/>
      <c r="E1461" s="26"/>
      <c r="F1461" s="26"/>
      <c r="G1461" s="26"/>
      <c r="H1461" s="26"/>
      <c r="I1461" s="25"/>
      <c r="J1461" s="25"/>
      <c r="K1461" s="25"/>
      <c r="L1461" s="25"/>
      <c r="M1461" s="25"/>
      <c r="N1461" s="25"/>
      <c r="O1461" s="25"/>
      <c r="P1461" s="25"/>
    </row>
    <row r="1462" spans="1:16" x14ac:dyDescent="0.3">
      <c r="A1462" s="25"/>
      <c r="B1462" s="25"/>
      <c r="C1462" s="25"/>
      <c r="D1462" s="26"/>
      <c r="E1462" s="26"/>
      <c r="F1462" s="26"/>
      <c r="G1462" s="26"/>
      <c r="H1462" s="26"/>
      <c r="I1462" s="25"/>
      <c r="J1462" s="25"/>
      <c r="K1462" s="25"/>
      <c r="L1462" s="25"/>
      <c r="M1462" s="25"/>
      <c r="N1462" s="25"/>
      <c r="O1462" s="25"/>
      <c r="P1462" s="25"/>
    </row>
    <row r="1463" spans="1:16" x14ac:dyDescent="0.3">
      <c r="A1463" s="25"/>
      <c r="B1463" s="25"/>
      <c r="C1463" s="25"/>
      <c r="D1463" s="26"/>
      <c r="E1463" s="26"/>
      <c r="F1463" s="26"/>
      <c r="G1463" s="26"/>
      <c r="H1463" s="26"/>
      <c r="I1463" s="25"/>
      <c r="J1463" s="25"/>
      <c r="K1463" s="25"/>
      <c r="L1463" s="25"/>
      <c r="M1463" s="25"/>
      <c r="N1463" s="25"/>
      <c r="O1463" s="25"/>
      <c r="P1463" s="25"/>
    </row>
    <row r="1464" spans="1:16" x14ac:dyDescent="0.3">
      <c r="A1464" s="25"/>
      <c r="B1464" s="25"/>
      <c r="C1464" s="25"/>
      <c r="D1464" s="26"/>
      <c r="E1464" s="26"/>
      <c r="F1464" s="26"/>
      <c r="G1464" s="26"/>
      <c r="H1464" s="26"/>
      <c r="I1464" s="25"/>
      <c r="J1464" s="25"/>
      <c r="K1464" s="25"/>
      <c r="L1464" s="25"/>
      <c r="M1464" s="25"/>
      <c r="N1464" s="25"/>
      <c r="O1464" s="25"/>
      <c r="P1464" s="25"/>
    </row>
    <row r="1465" spans="1:16" x14ac:dyDescent="0.3">
      <c r="A1465" s="25"/>
      <c r="B1465" s="25"/>
      <c r="C1465" s="25"/>
      <c r="D1465" s="26"/>
      <c r="E1465" s="26"/>
      <c r="F1465" s="26"/>
      <c r="G1465" s="26"/>
      <c r="H1465" s="26"/>
      <c r="I1465" s="25"/>
      <c r="J1465" s="25"/>
      <c r="K1465" s="25"/>
      <c r="L1465" s="25"/>
      <c r="M1465" s="25"/>
      <c r="N1465" s="25"/>
      <c r="O1465" s="25"/>
      <c r="P1465" s="25"/>
    </row>
    <row r="1466" spans="1:16" x14ac:dyDescent="0.3">
      <c r="A1466" s="25"/>
      <c r="B1466" s="25"/>
      <c r="C1466" s="25"/>
      <c r="D1466" s="26"/>
      <c r="E1466" s="26"/>
      <c r="F1466" s="26"/>
      <c r="G1466" s="26"/>
      <c r="H1466" s="26"/>
      <c r="I1466" s="25"/>
      <c r="J1466" s="25"/>
      <c r="K1466" s="25"/>
      <c r="L1466" s="25"/>
      <c r="M1466" s="25"/>
      <c r="N1466" s="25"/>
      <c r="O1466" s="25"/>
      <c r="P1466" s="25"/>
    </row>
    <row r="1467" spans="1:16" x14ac:dyDescent="0.3">
      <c r="A1467" s="25"/>
      <c r="B1467" s="25"/>
      <c r="C1467" s="25"/>
      <c r="D1467" s="26"/>
      <c r="E1467" s="26"/>
      <c r="F1467" s="26"/>
      <c r="G1467" s="26"/>
      <c r="H1467" s="26"/>
      <c r="I1467" s="25"/>
      <c r="J1467" s="25"/>
      <c r="K1467" s="25"/>
      <c r="L1467" s="25"/>
      <c r="M1467" s="25"/>
      <c r="N1467" s="25"/>
      <c r="O1467" s="25"/>
      <c r="P1467" s="25"/>
    </row>
    <row r="1468" spans="1:16" x14ac:dyDescent="0.3">
      <c r="A1468" s="25"/>
      <c r="B1468" s="25"/>
      <c r="C1468" s="25"/>
      <c r="D1468" s="26"/>
      <c r="E1468" s="26"/>
      <c r="F1468" s="26"/>
      <c r="G1468" s="26"/>
      <c r="H1468" s="26"/>
      <c r="I1468" s="25"/>
      <c r="J1468" s="25"/>
      <c r="K1468" s="25"/>
      <c r="L1468" s="25"/>
      <c r="M1468" s="25"/>
      <c r="N1468" s="25"/>
      <c r="O1468" s="25"/>
      <c r="P1468" s="25"/>
    </row>
    <row r="1469" spans="1:16" x14ac:dyDescent="0.3">
      <c r="A1469" s="25"/>
      <c r="B1469" s="25"/>
      <c r="C1469" s="25"/>
      <c r="D1469" s="26"/>
      <c r="E1469" s="26"/>
      <c r="F1469" s="26"/>
      <c r="G1469" s="26"/>
      <c r="H1469" s="26"/>
      <c r="I1469" s="25"/>
      <c r="J1469" s="25"/>
      <c r="K1469" s="25"/>
      <c r="L1469" s="25"/>
      <c r="M1469" s="25"/>
      <c r="N1469" s="25"/>
      <c r="O1469" s="25"/>
      <c r="P1469" s="25"/>
    </row>
    <row r="1470" spans="1:16" x14ac:dyDescent="0.3">
      <c r="A1470" s="25"/>
      <c r="B1470" s="25"/>
      <c r="C1470" s="25"/>
      <c r="D1470" s="26"/>
      <c r="E1470" s="26"/>
      <c r="F1470" s="26"/>
      <c r="G1470" s="26"/>
      <c r="H1470" s="26"/>
      <c r="I1470" s="25"/>
      <c r="J1470" s="25"/>
      <c r="K1470" s="25"/>
      <c r="L1470" s="25"/>
      <c r="M1470" s="25"/>
      <c r="N1470" s="25"/>
      <c r="O1470" s="25"/>
      <c r="P1470" s="25"/>
    </row>
    <row r="1471" spans="1:16" x14ac:dyDescent="0.3">
      <c r="A1471" s="25"/>
      <c r="B1471" s="25"/>
      <c r="C1471" s="25"/>
      <c r="D1471" s="26"/>
      <c r="E1471" s="26"/>
      <c r="F1471" s="26"/>
      <c r="G1471" s="26"/>
      <c r="H1471" s="26"/>
      <c r="I1471" s="25"/>
      <c r="J1471" s="25"/>
      <c r="K1471" s="25"/>
      <c r="L1471" s="25"/>
      <c r="M1471" s="25"/>
      <c r="N1471" s="25"/>
      <c r="O1471" s="25"/>
      <c r="P1471" s="25"/>
    </row>
    <row r="1472" spans="1:16" x14ac:dyDescent="0.3">
      <c r="A1472" s="25"/>
      <c r="B1472" s="25"/>
      <c r="C1472" s="25"/>
      <c r="D1472" s="26"/>
      <c r="E1472" s="26"/>
      <c r="F1472" s="26"/>
      <c r="G1472" s="26"/>
      <c r="H1472" s="26"/>
      <c r="I1472" s="25"/>
      <c r="J1472" s="25"/>
      <c r="K1472" s="25"/>
      <c r="L1472" s="25"/>
      <c r="M1472" s="25"/>
      <c r="N1472" s="25"/>
      <c r="O1472" s="25"/>
      <c r="P1472" s="25"/>
    </row>
    <row r="1473" spans="1:16" x14ac:dyDescent="0.3">
      <c r="A1473" s="25"/>
      <c r="B1473" s="25"/>
      <c r="C1473" s="25"/>
      <c r="D1473" s="26"/>
      <c r="E1473" s="26"/>
      <c r="F1473" s="26"/>
      <c r="G1473" s="26"/>
      <c r="H1473" s="26"/>
      <c r="I1473" s="25"/>
      <c r="J1473" s="25"/>
      <c r="K1473" s="25"/>
      <c r="L1473" s="25"/>
      <c r="M1473" s="25"/>
      <c r="N1473" s="25"/>
      <c r="O1473" s="25"/>
      <c r="P1473" s="25"/>
    </row>
    <row r="1474" spans="1:16" x14ac:dyDescent="0.3">
      <c r="A1474" s="25"/>
      <c r="B1474" s="25"/>
      <c r="C1474" s="25"/>
      <c r="D1474" s="26"/>
      <c r="E1474" s="26"/>
      <c r="F1474" s="26"/>
      <c r="G1474" s="26"/>
      <c r="H1474" s="26"/>
      <c r="I1474" s="25"/>
      <c r="J1474" s="25"/>
      <c r="K1474" s="25"/>
      <c r="L1474" s="25"/>
      <c r="M1474" s="25"/>
      <c r="N1474" s="25"/>
      <c r="O1474" s="25"/>
      <c r="P1474" s="25"/>
    </row>
    <row r="1475" spans="1:16" x14ac:dyDescent="0.3">
      <c r="A1475" s="25"/>
      <c r="B1475" s="25"/>
      <c r="C1475" s="25"/>
      <c r="D1475" s="26"/>
      <c r="E1475" s="26"/>
      <c r="F1475" s="26"/>
      <c r="G1475" s="26"/>
      <c r="H1475" s="26"/>
      <c r="I1475" s="25"/>
      <c r="J1475" s="25"/>
      <c r="K1475" s="25"/>
      <c r="L1475" s="25"/>
      <c r="M1475" s="25"/>
      <c r="N1475" s="25"/>
      <c r="O1475" s="25"/>
      <c r="P1475" s="25"/>
    </row>
    <row r="1476" spans="1:16" x14ac:dyDescent="0.3">
      <c r="A1476" s="25"/>
      <c r="B1476" s="25"/>
      <c r="C1476" s="25"/>
      <c r="D1476" s="26"/>
      <c r="E1476" s="26"/>
      <c r="F1476" s="26"/>
      <c r="G1476" s="26"/>
      <c r="H1476" s="26"/>
      <c r="I1476" s="25"/>
      <c r="J1476" s="25"/>
      <c r="K1476" s="25"/>
      <c r="L1476" s="25"/>
      <c r="M1476" s="25"/>
      <c r="N1476" s="25"/>
      <c r="O1476" s="25"/>
      <c r="P1476" s="25"/>
    </row>
    <row r="1477" spans="1:16" x14ac:dyDescent="0.3">
      <c r="A1477" s="25"/>
      <c r="B1477" s="25"/>
      <c r="C1477" s="25"/>
      <c r="D1477" s="26"/>
      <c r="E1477" s="26"/>
      <c r="F1477" s="26"/>
      <c r="G1477" s="26"/>
      <c r="H1477" s="26"/>
      <c r="I1477" s="25"/>
      <c r="J1477" s="25"/>
      <c r="K1477" s="25"/>
      <c r="L1477" s="25"/>
      <c r="M1477" s="25"/>
      <c r="N1477" s="25"/>
      <c r="O1477" s="25"/>
      <c r="P1477" s="25"/>
    </row>
    <row r="1478" spans="1:16" x14ac:dyDescent="0.3">
      <c r="A1478" s="25"/>
      <c r="B1478" s="25"/>
      <c r="C1478" s="25"/>
      <c r="D1478" s="26"/>
      <c r="E1478" s="26"/>
      <c r="F1478" s="26"/>
      <c r="G1478" s="26"/>
      <c r="H1478" s="26"/>
      <c r="I1478" s="25"/>
      <c r="J1478" s="25"/>
      <c r="K1478" s="25"/>
      <c r="L1478" s="25"/>
      <c r="M1478" s="25"/>
      <c r="N1478" s="25"/>
      <c r="O1478" s="25"/>
      <c r="P1478" s="25"/>
    </row>
    <row r="1479" spans="1:16" x14ac:dyDescent="0.3">
      <c r="A1479" s="25"/>
      <c r="B1479" s="25"/>
      <c r="C1479" s="25"/>
      <c r="D1479" s="26"/>
      <c r="E1479" s="26"/>
      <c r="F1479" s="26"/>
      <c r="G1479" s="26"/>
      <c r="H1479" s="26"/>
      <c r="I1479" s="25"/>
      <c r="J1479" s="25"/>
      <c r="K1479" s="25"/>
      <c r="L1479" s="25"/>
      <c r="M1479" s="25"/>
      <c r="N1479" s="25"/>
      <c r="O1479" s="25"/>
      <c r="P1479" s="25"/>
    </row>
    <row r="1480" spans="1:16" x14ac:dyDescent="0.3">
      <c r="A1480" s="25"/>
      <c r="B1480" s="25"/>
      <c r="C1480" s="25"/>
      <c r="D1480" s="26"/>
      <c r="E1480" s="26"/>
      <c r="F1480" s="26"/>
      <c r="G1480" s="26"/>
      <c r="H1480" s="26"/>
      <c r="I1480" s="25"/>
      <c r="J1480" s="25"/>
      <c r="K1480" s="25"/>
      <c r="L1480" s="25"/>
      <c r="M1480" s="25"/>
      <c r="N1480" s="25"/>
      <c r="O1480" s="25"/>
      <c r="P1480" s="25"/>
    </row>
    <row r="1481" spans="1:16" x14ac:dyDescent="0.3">
      <c r="A1481" s="25"/>
      <c r="B1481" s="25"/>
      <c r="C1481" s="25"/>
      <c r="D1481" s="26"/>
      <c r="E1481" s="26"/>
      <c r="F1481" s="26"/>
      <c r="G1481" s="26"/>
      <c r="H1481" s="26"/>
      <c r="I1481" s="25"/>
      <c r="J1481" s="25"/>
      <c r="K1481" s="25"/>
      <c r="L1481" s="25"/>
      <c r="M1481" s="25"/>
      <c r="N1481" s="25"/>
      <c r="O1481" s="25"/>
      <c r="P1481" s="25"/>
    </row>
    <row r="1482" spans="1:16" x14ac:dyDescent="0.3">
      <c r="A1482" s="25"/>
      <c r="B1482" s="25"/>
      <c r="C1482" s="25"/>
      <c r="D1482" s="26"/>
      <c r="E1482" s="26"/>
      <c r="F1482" s="26"/>
      <c r="G1482" s="26"/>
      <c r="H1482" s="26"/>
      <c r="I1482" s="25"/>
      <c r="J1482" s="25"/>
      <c r="K1482" s="25"/>
      <c r="L1482" s="25"/>
      <c r="M1482" s="25"/>
      <c r="N1482" s="25"/>
      <c r="O1482" s="25"/>
      <c r="P1482" s="25"/>
    </row>
    <row r="1483" spans="1:16" x14ac:dyDescent="0.3">
      <c r="A1483" s="25"/>
      <c r="B1483" s="25"/>
      <c r="C1483" s="25"/>
      <c r="D1483" s="26"/>
      <c r="E1483" s="26"/>
      <c r="F1483" s="26"/>
      <c r="G1483" s="26"/>
      <c r="H1483" s="26"/>
      <c r="I1483" s="25"/>
      <c r="J1483" s="25"/>
      <c r="K1483" s="25"/>
      <c r="L1483" s="25"/>
      <c r="M1483" s="25"/>
      <c r="N1483" s="25"/>
      <c r="O1483" s="25"/>
      <c r="P1483" s="25"/>
    </row>
    <row r="1484" spans="1:16" x14ac:dyDescent="0.3">
      <c r="A1484" s="25"/>
      <c r="B1484" s="25"/>
      <c r="C1484" s="25"/>
      <c r="D1484" s="26"/>
      <c r="E1484" s="26"/>
      <c r="F1484" s="26"/>
      <c r="G1484" s="26"/>
      <c r="H1484" s="26"/>
      <c r="I1484" s="25"/>
      <c r="J1484" s="25"/>
      <c r="K1484" s="25"/>
      <c r="L1484" s="25"/>
      <c r="M1484" s="25"/>
      <c r="N1484" s="25"/>
      <c r="O1484" s="25"/>
      <c r="P1484" s="25"/>
    </row>
    <row r="1485" spans="1:16" x14ac:dyDescent="0.3">
      <c r="A1485" s="25"/>
      <c r="B1485" s="25"/>
      <c r="C1485" s="25"/>
      <c r="D1485" s="26"/>
      <c r="E1485" s="26"/>
      <c r="F1485" s="26"/>
      <c r="G1485" s="26"/>
      <c r="H1485" s="26"/>
      <c r="I1485" s="25"/>
      <c r="J1485" s="25"/>
      <c r="K1485" s="25"/>
      <c r="L1485" s="25"/>
      <c r="M1485" s="25"/>
      <c r="N1485" s="25"/>
      <c r="O1485" s="25"/>
      <c r="P1485" s="25"/>
    </row>
    <row r="1486" spans="1:16" x14ac:dyDescent="0.3">
      <c r="A1486" s="25"/>
      <c r="B1486" s="25"/>
      <c r="C1486" s="25"/>
      <c r="D1486" s="26"/>
      <c r="E1486" s="26"/>
      <c r="F1486" s="26"/>
      <c r="G1486" s="26"/>
      <c r="H1486" s="26"/>
      <c r="I1486" s="25"/>
      <c r="J1486" s="25"/>
      <c r="K1486" s="25"/>
      <c r="L1486" s="25"/>
      <c r="M1486" s="25"/>
      <c r="N1486" s="25"/>
      <c r="O1486" s="25"/>
      <c r="P1486" s="25"/>
    </row>
    <row r="1487" spans="1:16" x14ac:dyDescent="0.3">
      <c r="A1487" s="25"/>
      <c r="B1487" s="25"/>
      <c r="C1487" s="25"/>
      <c r="D1487" s="26"/>
      <c r="E1487" s="26"/>
      <c r="F1487" s="26"/>
      <c r="G1487" s="26"/>
      <c r="H1487" s="26"/>
      <c r="I1487" s="25"/>
      <c r="J1487" s="25"/>
      <c r="K1487" s="25"/>
      <c r="L1487" s="25"/>
      <c r="M1487" s="25"/>
      <c r="N1487" s="25"/>
      <c r="O1487" s="25"/>
      <c r="P1487" s="25"/>
    </row>
    <row r="1488" spans="1:16" x14ac:dyDescent="0.3">
      <c r="A1488" s="25"/>
      <c r="B1488" s="25"/>
      <c r="C1488" s="25"/>
      <c r="D1488" s="26"/>
      <c r="E1488" s="26"/>
      <c r="F1488" s="26"/>
      <c r="G1488" s="26"/>
      <c r="H1488" s="26"/>
      <c r="I1488" s="25"/>
      <c r="J1488" s="25"/>
      <c r="K1488" s="25"/>
      <c r="L1488" s="25"/>
      <c r="M1488" s="25"/>
      <c r="N1488" s="25"/>
      <c r="O1488" s="25"/>
      <c r="P1488" s="25"/>
    </row>
    <row r="1489" spans="1:16" x14ac:dyDescent="0.3">
      <c r="A1489" s="25"/>
      <c r="B1489" s="25"/>
      <c r="C1489" s="25"/>
      <c r="D1489" s="26"/>
      <c r="E1489" s="26"/>
      <c r="F1489" s="26"/>
      <c r="G1489" s="26"/>
      <c r="H1489" s="26"/>
      <c r="I1489" s="25"/>
      <c r="J1489" s="25"/>
      <c r="K1489" s="25"/>
      <c r="L1489" s="25"/>
      <c r="M1489" s="25"/>
      <c r="N1489" s="25"/>
      <c r="O1489" s="25"/>
      <c r="P1489" s="25"/>
    </row>
    <row r="1490" spans="1:16" x14ac:dyDescent="0.3">
      <c r="A1490" s="25"/>
      <c r="B1490" s="25"/>
      <c r="C1490" s="25"/>
      <c r="D1490" s="26"/>
      <c r="E1490" s="26"/>
      <c r="F1490" s="26"/>
      <c r="G1490" s="26"/>
      <c r="H1490" s="26"/>
      <c r="I1490" s="25"/>
      <c r="J1490" s="25"/>
      <c r="K1490" s="25"/>
      <c r="L1490" s="25"/>
      <c r="M1490" s="25"/>
      <c r="N1490" s="25"/>
      <c r="O1490" s="25"/>
      <c r="P1490" s="25"/>
    </row>
    <row r="1491" spans="1:16" x14ac:dyDescent="0.3">
      <c r="A1491" s="25"/>
      <c r="B1491" s="25"/>
      <c r="C1491" s="25"/>
      <c r="D1491" s="26"/>
      <c r="E1491" s="26"/>
      <c r="F1491" s="26"/>
      <c r="G1491" s="26"/>
      <c r="H1491" s="26"/>
      <c r="I1491" s="25"/>
      <c r="J1491" s="25"/>
      <c r="K1491" s="25"/>
      <c r="L1491" s="25"/>
      <c r="M1491" s="25"/>
      <c r="N1491" s="25"/>
      <c r="O1491" s="25"/>
      <c r="P1491" s="25"/>
    </row>
    <row r="1492" spans="1:16" x14ac:dyDescent="0.3">
      <c r="A1492" s="25"/>
      <c r="B1492" s="25"/>
      <c r="C1492" s="25"/>
      <c r="D1492" s="26"/>
      <c r="E1492" s="26"/>
      <c r="F1492" s="26"/>
      <c r="G1492" s="26"/>
      <c r="H1492" s="26"/>
      <c r="I1492" s="25"/>
      <c r="J1492" s="25"/>
      <c r="K1492" s="25"/>
      <c r="L1492" s="25"/>
      <c r="M1492" s="25"/>
      <c r="N1492" s="25"/>
      <c r="O1492" s="25"/>
      <c r="P1492" s="25"/>
    </row>
    <row r="1493" spans="1:16" x14ac:dyDescent="0.3">
      <c r="A1493" s="25"/>
      <c r="B1493" s="25"/>
      <c r="C1493" s="25"/>
      <c r="D1493" s="26"/>
      <c r="E1493" s="26"/>
      <c r="F1493" s="26"/>
      <c r="G1493" s="26"/>
      <c r="H1493" s="26"/>
      <c r="I1493" s="25"/>
      <c r="J1493" s="25"/>
      <c r="K1493" s="25"/>
      <c r="L1493" s="25"/>
      <c r="M1493" s="25"/>
      <c r="N1493" s="25"/>
      <c r="O1493" s="25"/>
      <c r="P1493" s="25"/>
    </row>
    <row r="1494" spans="1:16" x14ac:dyDescent="0.3">
      <c r="A1494" s="25"/>
      <c r="B1494" s="25"/>
      <c r="C1494" s="25"/>
      <c r="D1494" s="26"/>
      <c r="E1494" s="26"/>
      <c r="F1494" s="26"/>
      <c r="G1494" s="26"/>
      <c r="H1494" s="26"/>
      <c r="I1494" s="25"/>
      <c r="J1494" s="25"/>
      <c r="K1494" s="25"/>
      <c r="L1494" s="25"/>
      <c r="M1494" s="25"/>
      <c r="N1494" s="25"/>
      <c r="O1494" s="25"/>
      <c r="P1494" s="25"/>
    </row>
    <row r="1495" spans="1:16" x14ac:dyDescent="0.3">
      <c r="A1495" s="25"/>
      <c r="B1495" s="25"/>
      <c r="C1495" s="25"/>
      <c r="D1495" s="26"/>
      <c r="E1495" s="26"/>
      <c r="F1495" s="26"/>
      <c r="G1495" s="26"/>
      <c r="H1495" s="26"/>
      <c r="I1495" s="25"/>
      <c r="J1495" s="25"/>
      <c r="K1495" s="25"/>
      <c r="L1495" s="25"/>
      <c r="M1495" s="25"/>
      <c r="N1495" s="25"/>
      <c r="O1495" s="25"/>
      <c r="P1495" s="25"/>
    </row>
    <row r="1496" spans="1:16" x14ac:dyDescent="0.3">
      <c r="A1496" s="25"/>
      <c r="B1496" s="25"/>
      <c r="C1496" s="25"/>
      <c r="D1496" s="26"/>
      <c r="E1496" s="26"/>
      <c r="F1496" s="26"/>
      <c r="G1496" s="26"/>
      <c r="H1496" s="26"/>
      <c r="I1496" s="25"/>
      <c r="J1496" s="25"/>
      <c r="K1496" s="25"/>
      <c r="L1496" s="25"/>
      <c r="M1496" s="25"/>
      <c r="N1496" s="25"/>
      <c r="O1496" s="25"/>
      <c r="P1496" s="25"/>
    </row>
    <row r="1497" spans="1:16" x14ac:dyDescent="0.3">
      <c r="A1497" s="25"/>
      <c r="B1497" s="25"/>
      <c r="C1497" s="25"/>
      <c r="D1497" s="26"/>
      <c r="E1497" s="26"/>
      <c r="F1497" s="26"/>
      <c r="G1497" s="26"/>
      <c r="H1497" s="26"/>
      <c r="I1497" s="25"/>
      <c r="J1497" s="25"/>
      <c r="K1497" s="25"/>
      <c r="L1497" s="25"/>
      <c r="M1497" s="25"/>
      <c r="N1497" s="25"/>
      <c r="O1497" s="25"/>
      <c r="P1497" s="25"/>
    </row>
    <row r="1498" spans="1:16" x14ac:dyDescent="0.3">
      <c r="A1498" s="25"/>
      <c r="B1498" s="25"/>
      <c r="C1498" s="25"/>
      <c r="D1498" s="26"/>
      <c r="E1498" s="26"/>
      <c r="F1498" s="26"/>
      <c r="G1498" s="26"/>
      <c r="H1498" s="26"/>
      <c r="I1498" s="25"/>
      <c r="J1498" s="25"/>
      <c r="K1498" s="25"/>
      <c r="L1498" s="25"/>
      <c r="M1498" s="25"/>
      <c r="N1498" s="25"/>
      <c r="O1498" s="25"/>
      <c r="P1498" s="25"/>
    </row>
    <row r="1499" spans="1:16" x14ac:dyDescent="0.3">
      <c r="A1499" s="25"/>
      <c r="B1499" s="25"/>
      <c r="C1499" s="25"/>
      <c r="D1499" s="26"/>
      <c r="E1499" s="26"/>
      <c r="F1499" s="26"/>
      <c r="G1499" s="26"/>
      <c r="H1499" s="26"/>
      <c r="I1499" s="25"/>
      <c r="J1499" s="25"/>
      <c r="K1499" s="25"/>
      <c r="L1499" s="25"/>
      <c r="M1499" s="25"/>
      <c r="N1499" s="25"/>
      <c r="O1499" s="25"/>
      <c r="P1499" s="25"/>
    </row>
    <row r="1500" spans="1:16" x14ac:dyDescent="0.3">
      <c r="A1500" s="25"/>
      <c r="B1500" s="25"/>
      <c r="C1500" s="25"/>
      <c r="D1500" s="26"/>
      <c r="E1500" s="26"/>
      <c r="F1500" s="26"/>
      <c r="G1500" s="26"/>
      <c r="H1500" s="26"/>
      <c r="I1500" s="25"/>
      <c r="J1500" s="25"/>
      <c r="K1500" s="25"/>
      <c r="L1500" s="25"/>
      <c r="M1500" s="25"/>
      <c r="N1500" s="25"/>
      <c r="O1500" s="25"/>
      <c r="P1500" s="25"/>
    </row>
    <row r="1501" spans="1:16" x14ac:dyDescent="0.3">
      <c r="A1501" s="25"/>
      <c r="B1501" s="25"/>
      <c r="C1501" s="25"/>
      <c r="D1501" s="26"/>
      <c r="E1501" s="26"/>
      <c r="F1501" s="26"/>
      <c r="G1501" s="26"/>
      <c r="H1501" s="26"/>
      <c r="I1501" s="25"/>
      <c r="J1501" s="25"/>
      <c r="K1501" s="25"/>
      <c r="L1501" s="25"/>
      <c r="M1501" s="25"/>
      <c r="N1501" s="25"/>
      <c r="O1501" s="25"/>
      <c r="P1501" s="25"/>
    </row>
    <row r="1502" spans="1:16" x14ac:dyDescent="0.3">
      <c r="A1502" s="25"/>
      <c r="B1502" s="25"/>
      <c r="C1502" s="25"/>
      <c r="D1502" s="26"/>
      <c r="E1502" s="26"/>
      <c r="F1502" s="26"/>
      <c r="G1502" s="26"/>
      <c r="H1502" s="26"/>
      <c r="I1502" s="25"/>
      <c r="J1502" s="25"/>
      <c r="K1502" s="25"/>
      <c r="L1502" s="25"/>
      <c r="M1502" s="25"/>
      <c r="N1502" s="25"/>
      <c r="O1502" s="25"/>
      <c r="P1502" s="25"/>
    </row>
    <row r="1503" spans="1:16" x14ac:dyDescent="0.3">
      <c r="A1503" s="25"/>
      <c r="B1503" s="25"/>
      <c r="C1503" s="25"/>
      <c r="D1503" s="26"/>
      <c r="E1503" s="26"/>
      <c r="F1503" s="26"/>
      <c r="G1503" s="26"/>
      <c r="H1503" s="26"/>
      <c r="I1503" s="25"/>
      <c r="J1503" s="25"/>
      <c r="K1503" s="25"/>
      <c r="L1503" s="25"/>
      <c r="M1503" s="25"/>
      <c r="N1503" s="25"/>
      <c r="O1503" s="25"/>
      <c r="P1503" s="25"/>
    </row>
    <row r="1504" spans="1:16" x14ac:dyDescent="0.3">
      <c r="A1504" s="25"/>
      <c r="B1504" s="25"/>
      <c r="C1504" s="25"/>
      <c r="D1504" s="26"/>
      <c r="E1504" s="26"/>
      <c r="F1504" s="26"/>
      <c r="G1504" s="26"/>
      <c r="H1504" s="26"/>
      <c r="I1504" s="25"/>
      <c r="J1504" s="25"/>
      <c r="K1504" s="25"/>
      <c r="L1504" s="25"/>
      <c r="M1504" s="25"/>
      <c r="N1504" s="25"/>
      <c r="O1504" s="25"/>
      <c r="P1504" s="25"/>
    </row>
    <row r="1505" spans="1:16" x14ac:dyDescent="0.3">
      <c r="A1505" s="25"/>
      <c r="B1505" s="25"/>
      <c r="C1505" s="25"/>
      <c r="D1505" s="26"/>
      <c r="E1505" s="26"/>
      <c r="F1505" s="26"/>
      <c r="G1505" s="26"/>
      <c r="H1505" s="26"/>
      <c r="I1505" s="25"/>
      <c r="J1505" s="25"/>
      <c r="K1505" s="25"/>
      <c r="L1505" s="25"/>
      <c r="M1505" s="25"/>
      <c r="N1505" s="25"/>
      <c r="O1505" s="25"/>
      <c r="P1505" s="25"/>
    </row>
    <row r="1506" spans="1:16" x14ac:dyDescent="0.3">
      <c r="A1506" s="25"/>
      <c r="B1506" s="25"/>
      <c r="C1506" s="25"/>
      <c r="D1506" s="26"/>
      <c r="E1506" s="26"/>
      <c r="F1506" s="26"/>
      <c r="G1506" s="26"/>
      <c r="H1506" s="26"/>
      <c r="I1506" s="25"/>
      <c r="J1506" s="25"/>
      <c r="K1506" s="25"/>
      <c r="L1506" s="25"/>
      <c r="M1506" s="25"/>
      <c r="N1506" s="25"/>
      <c r="O1506" s="25"/>
      <c r="P1506" s="25"/>
    </row>
    <row r="1507" spans="1:16" x14ac:dyDescent="0.3">
      <c r="A1507" s="25"/>
      <c r="B1507" s="25"/>
      <c r="C1507" s="25"/>
      <c r="D1507" s="26"/>
      <c r="E1507" s="26"/>
      <c r="F1507" s="26"/>
      <c r="G1507" s="26"/>
      <c r="H1507" s="26"/>
      <c r="I1507" s="25"/>
      <c r="J1507" s="25"/>
      <c r="K1507" s="25"/>
      <c r="L1507" s="25"/>
      <c r="M1507" s="25"/>
      <c r="N1507" s="25"/>
      <c r="O1507" s="25"/>
      <c r="P1507" s="25"/>
    </row>
    <row r="1508" spans="1:16" x14ac:dyDescent="0.3">
      <c r="A1508" s="25"/>
      <c r="B1508" s="25"/>
      <c r="C1508" s="25"/>
      <c r="D1508" s="26"/>
      <c r="E1508" s="26"/>
      <c r="F1508" s="26"/>
      <c r="G1508" s="26"/>
      <c r="H1508" s="26"/>
      <c r="I1508" s="25"/>
      <c r="J1508" s="25"/>
      <c r="K1508" s="25"/>
      <c r="L1508" s="25"/>
      <c r="M1508" s="25"/>
      <c r="N1508" s="25"/>
      <c r="O1508" s="25"/>
      <c r="P1508" s="25"/>
    </row>
    <row r="1509" spans="1:16" x14ac:dyDescent="0.3">
      <c r="A1509" s="25"/>
      <c r="B1509" s="25"/>
      <c r="C1509" s="25"/>
      <c r="D1509" s="26"/>
      <c r="E1509" s="26"/>
      <c r="F1509" s="26"/>
      <c r="G1509" s="26"/>
      <c r="H1509" s="26"/>
      <c r="I1509" s="25"/>
      <c r="J1509" s="25"/>
      <c r="K1509" s="25"/>
      <c r="L1509" s="25"/>
      <c r="M1509" s="25"/>
      <c r="N1509" s="25"/>
      <c r="O1509" s="25"/>
      <c r="P1509" s="25"/>
    </row>
    <row r="1510" spans="1:16" x14ac:dyDescent="0.3">
      <c r="A1510" s="25"/>
      <c r="B1510" s="25"/>
      <c r="C1510" s="25"/>
      <c r="D1510" s="26"/>
      <c r="E1510" s="26"/>
      <c r="F1510" s="26"/>
      <c r="G1510" s="26"/>
      <c r="H1510" s="26"/>
      <c r="I1510" s="25"/>
      <c r="J1510" s="25"/>
      <c r="K1510" s="25"/>
      <c r="L1510" s="25"/>
      <c r="M1510" s="25"/>
      <c r="N1510" s="25"/>
      <c r="O1510" s="25"/>
      <c r="P1510" s="25"/>
    </row>
    <row r="1511" spans="1:16" x14ac:dyDescent="0.3">
      <c r="A1511" s="25"/>
      <c r="B1511" s="25"/>
      <c r="C1511" s="25"/>
      <c r="D1511" s="26"/>
      <c r="E1511" s="26"/>
      <c r="F1511" s="26"/>
      <c r="G1511" s="26"/>
      <c r="H1511" s="26"/>
      <c r="I1511" s="25"/>
      <c r="J1511" s="25"/>
      <c r="K1511" s="25"/>
      <c r="L1511" s="25"/>
      <c r="M1511" s="25"/>
      <c r="N1511" s="25"/>
      <c r="O1511" s="25"/>
      <c r="P1511" s="25"/>
    </row>
    <row r="1512" spans="1:16" x14ac:dyDescent="0.3">
      <c r="A1512" s="25"/>
      <c r="B1512" s="25"/>
      <c r="C1512" s="25"/>
      <c r="D1512" s="26"/>
      <c r="E1512" s="26"/>
      <c r="F1512" s="26"/>
      <c r="G1512" s="26"/>
      <c r="H1512" s="26"/>
      <c r="I1512" s="25"/>
      <c r="J1512" s="25"/>
      <c r="K1512" s="25"/>
      <c r="L1512" s="25"/>
      <c r="M1512" s="25"/>
      <c r="N1512" s="25"/>
      <c r="O1512" s="25"/>
      <c r="P1512" s="25"/>
    </row>
    <row r="1513" spans="1:16" x14ac:dyDescent="0.3">
      <c r="A1513" s="25"/>
      <c r="B1513" s="25"/>
      <c r="C1513" s="25"/>
      <c r="D1513" s="26"/>
      <c r="E1513" s="26"/>
      <c r="F1513" s="26"/>
      <c r="G1513" s="26"/>
      <c r="H1513" s="26"/>
      <c r="I1513" s="25"/>
      <c r="J1513" s="25"/>
      <c r="K1513" s="25"/>
      <c r="L1513" s="25"/>
      <c r="M1513" s="25"/>
      <c r="N1513" s="25"/>
      <c r="O1513" s="25"/>
      <c r="P1513" s="25"/>
    </row>
    <row r="1514" spans="1:16" x14ac:dyDescent="0.3">
      <c r="A1514" s="25"/>
      <c r="B1514" s="25"/>
      <c r="C1514" s="25"/>
      <c r="D1514" s="26"/>
      <c r="E1514" s="26"/>
      <c r="F1514" s="26"/>
      <c r="G1514" s="26"/>
      <c r="H1514" s="26"/>
      <c r="I1514" s="25"/>
      <c r="J1514" s="25"/>
      <c r="K1514" s="25"/>
      <c r="L1514" s="25"/>
      <c r="M1514" s="25"/>
      <c r="N1514" s="25"/>
      <c r="O1514" s="25"/>
      <c r="P1514" s="25"/>
    </row>
    <row r="1515" spans="1:16" x14ac:dyDescent="0.3">
      <c r="A1515" s="25"/>
      <c r="B1515" s="25"/>
      <c r="C1515" s="25"/>
      <c r="D1515" s="26"/>
      <c r="E1515" s="26"/>
      <c r="F1515" s="26"/>
      <c r="G1515" s="26"/>
      <c r="H1515" s="26"/>
      <c r="I1515" s="25"/>
      <c r="J1515" s="25"/>
      <c r="K1515" s="25"/>
      <c r="L1515" s="25"/>
      <c r="M1515" s="25"/>
      <c r="N1515" s="25"/>
      <c r="O1515" s="25"/>
      <c r="P1515" s="25"/>
    </row>
    <row r="1516" spans="1:16" x14ac:dyDescent="0.3">
      <c r="A1516" s="25"/>
      <c r="B1516" s="25"/>
      <c r="C1516" s="25"/>
      <c r="D1516" s="26"/>
      <c r="E1516" s="26"/>
      <c r="F1516" s="26"/>
      <c r="G1516" s="26"/>
      <c r="H1516" s="26"/>
      <c r="I1516" s="25"/>
      <c r="J1516" s="25"/>
      <c r="K1516" s="25"/>
      <c r="L1516" s="25"/>
      <c r="M1516" s="25"/>
      <c r="N1516" s="25"/>
      <c r="O1516" s="25"/>
      <c r="P1516" s="25"/>
    </row>
    <row r="1517" spans="1:16" x14ac:dyDescent="0.3">
      <c r="A1517" s="25"/>
      <c r="B1517" s="25"/>
      <c r="C1517" s="25"/>
      <c r="D1517" s="26"/>
      <c r="E1517" s="26"/>
      <c r="F1517" s="26"/>
      <c r="G1517" s="26"/>
      <c r="H1517" s="26"/>
      <c r="I1517" s="25"/>
      <c r="J1517" s="25"/>
      <c r="K1517" s="25"/>
      <c r="L1517" s="25"/>
      <c r="M1517" s="25"/>
      <c r="N1517" s="25"/>
      <c r="O1517" s="25"/>
      <c r="P1517" s="25"/>
    </row>
    <row r="1518" spans="1:16" x14ac:dyDescent="0.3">
      <c r="A1518" s="25"/>
      <c r="B1518" s="25"/>
      <c r="C1518" s="25"/>
      <c r="D1518" s="26"/>
      <c r="E1518" s="26"/>
      <c r="F1518" s="26"/>
      <c r="G1518" s="26"/>
      <c r="H1518" s="26"/>
      <c r="I1518" s="25"/>
      <c r="J1518" s="25"/>
      <c r="K1518" s="25"/>
      <c r="L1518" s="25"/>
      <c r="M1518" s="25"/>
      <c r="N1518" s="25"/>
      <c r="O1518" s="25"/>
      <c r="P1518" s="25"/>
    </row>
    <row r="1519" spans="1:16" x14ac:dyDescent="0.3">
      <c r="A1519" s="25"/>
      <c r="B1519" s="25"/>
      <c r="C1519" s="25"/>
      <c r="D1519" s="26"/>
      <c r="E1519" s="26"/>
      <c r="F1519" s="26"/>
      <c r="G1519" s="26"/>
      <c r="H1519" s="26"/>
      <c r="I1519" s="25"/>
      <c r="J1519" s="25"/>
      <c r="K1519" s="25"/>
      <c r="L1519" s="25"/>
      <c r="M1519" s="25"/>
      <c r="N1519" s="25"/>
      <c r="O1519" s="25"/>
      <c r="P1519" s="25"/>
    </row>
    <row r="1520" spans="1:16" x14ac:dyDescent="0.3">
      <c r="A1520" s="25"/>
      <c r="B1520" s="25"/>
      <c r="C1520" s="25"/>
      <c r="D1520" s="26"/>
      <c r="E1520" s="26"/>
      <c r="F1520" s="26"/>
      <c r="G1520" s="26"/>
      <c r="H1520" s="26"/>
      <c r="I1520" s="25"/>
      <c r="J1520" s="25"/>
      <c r="K1520" s="25"/>
      <c r="L1520" s="25"/>
      <c r="M1520" s="25"/>
      <c r="N1520" s="25"/>
      <c r="O1520" s="25"/>
      <c r="P1520" s="25"/>
    </row>
    <row r="1521" spans="1:16" x14ac:dyDescent="0.3">
      <c r="A1521" s="25"/>
      <c r="B1521" s="25"/>
      <c r="C1521" s="25"/>
      <c r="D1521" s="26"/>
      <c r="E1521" s="26"/>
      <c r="F1521" s="26"/>
      <c r="G1521" s="26"/>
      <c r="H1521" s="26"/>
      <c r="I1521" s="25"/>
      <c r="J1521" s="25"/>
      <c r="K1521" s="25"/>
      <c r="L1521" s="25"/>
      <c r="M1521" s="25"/>
      <c r="N1521" s="25"/>
      <c r="O1521" s="25"/>
      <c r="P1521" s="25"/>
    </row>
    <row r="1522" spans="1:16" x14ac:dyDescent="0.3">
      <c r="A1522" s="25"/>
      <c r="B1522" s="25"/>
      <c r="C1522" s="25"/>
      <c r="D1522" s="26"/>
      <c r="E1522" s="26"/>
      <c r="F1522" s="26"/>
      <c r="G1522" s="26"/>
      <c r="H1522" s="26"/>
      <c r="I1522" s="25"/>
      <c r="J1522" s="25"/>
      <c r="K1522" s="25"/>
      <c r="L1522" s="25"/>
      <c r="M1522" s="25"/>
      <c r="N1522" s="25"/>
      <c r="O1522" s="25"/>
      <c r="P1522" s="25"/>
    </row>
    <row r="1523" spans="1:16" x14ac:dyDescent="0.3">
      <c r="A1523" s="25"/>
      <c r="B1523" s="25"/>
      <c r="C1523" s="25"/>
      <c r="D1523" s="26"/>
      <c r="E1523" s="26"/>
      <c r="F1523" s="26"/>
      <c r="G1523" s="26"/>
      <c r="H1523" s="26"/>
      <c r="I1523" s="25"/>
      <c r="J1523" s="25"/>
      <c r="K1523" s="25"/>
      <c r="L1523" s="25"/>
      <c r="M1523" s="25"/>
      <c r="N1523" s="25"/>
      <c r="O1523" s="25"/>
      <c r="P1523" s="25"/>
    </row>
    <row r="1524" spans="1:16" x14ac:dyDescent="0.3">
      <c r="A1524" s="25"/>
      <c r="B1524" s="25"/>
      <c r="C1524" s="25"/>
      <c r="D1524" s="26"/>
      <c r="E1524" s="26"/>
      <c r="F1524" s="26"/>
      <c r="G1524" s="26"/>
      <c r="H1524" s="26"/>
      <c r="I1524" s="25"/>
      <c r="J1524" s="25"/>
      <c r="K1524" s="25"/>
      <c r="L1524" s="25"/>
      <c r="M1524" s="25"/>
      <c r="N1524" s="25"/>
      <c r="O1524" s="25"/>
      <c r="P1524" s="25"/>
    </row>
    <row r="1525" spans="1:16" x14ac:dyDescent="0.3">
      <c r="A1525" s="25"/>
      <c r="B1525" s="25"/>
      <c r="C1525" s="25"/>
      <c r="D1525" s="26"/>
      <c r="E1525" s="26"/>
      <c r="F1525" s="26"/>
      <c r="G1525" s="26"/>
      <c r="H1525" s="26"/>
      <c r="I1525" s="25"/>
      <c r="J1525" s="25"/>
      <c r="K1525" s="25"/>
      <c r="L1525" s="25"/>
      <c r="M1525" s="25"/>
      <c r="N1525" s="25"/>
      <c r="O1525" s="25"/>
      <c r="P1525" s="25"/>
    </row>
    <row r="1526" spans="1:16" x14ac:dyDescent="0.3">
      <c r="A1526" s="25"/>
      <c r="B1526" s="25"/>
      <c r="C1526" s="25"/>
      <c r="D1526" s="26"/>
      <c r="E1526" s="26"/>
      <c r="F1526" s="26"/>
      <c r="G1526" s="26"/>
      <c r="H1526" s="26"/>
      <c r="I1526" s="25"/>
      <c r="J1526" s="25"/>
      <c r="K1526" s="25"/>
      <c r="L1526" s="25"/>
      <c r="M1526" s="25"/>
      <c r="N1526" s="25"/>
      <c r="O1526" s="25"/>
      <c r="P1526" s="25"/>
    </row>
    <row r="1527" spans="1:16" x14ac:dyDescent="0.3">
      <c r="A1527" s="25"/>
      <c r="B1527" s="25"/>
      <c r="C1527" s="25"/>
      <c r="D1527" s="26"/>
      <c r="E1527" s="26"/>
      <c r="F1527" s="26"/>
      <c r="G1527" s="26"/>
      <c r="H1527" s="26"/>
      <c r="I1527" s="25"/>
      <c r="J1527" s="25"/>
      <c r="K1527" s="25"/>
      <c r="L1527" s="25"/>
      <c r="M1527" s="25"/>
      <c r="N1527" s="25"/>
      <c r="O1527" s="25"/>
      <c r="P1527" s="25"/>
    </row>
    <row r="1528" spans="1:16" x14ac:dyDescent="0.3">
      <c r="A1528" s="25"/>
      <c r="B1528" s="25"/>
      <c r="C1528" s="25"/>
      <c r="D1528" s="26"/>
      <c r="E1528" s="26"/>
      <c r="F1528" s="26"/>
      <c r="G1528" s="26"/>
      <c r="H1528" s="26"/>
      <c r="I1528" s="25"/>
      <c r="J1528" s="25"/>
      <c r="K1528" s="25"/>
      <c r="L1528" s="25"/>
      <c r="M1528" s="25"/>
      <c r="N1528" s="25"/>
      <c r="O1528" s="25"/>
      <c r="P1528" s="25"/>
    </row>
    <row r="1529" spans="1:16" x14ac:dyDescent="0.3">
      <c r="A1529" s="25"/>
      <c r="B1529" s="25"/>
      <c r="C1529" s="25"/>
      <c r="D1529" s="26"/>
      <c r="E1529" s="26"/>
      <c r="F1529" s="26"/>
      <c r="G1529" s="26"/>
      <c r="H1529" s="26"/>
      <c r="I1529" s="25"/>
      <c r="J1529" s="25"/>
      <c r="K1529" s="25"/>
      <c r="L1529" s="25"/>
      <c r="M1529" s="25"/>
      <c r="N1529" s="25"/>
      <c r="O1529" s="25"/>
      <c r="P1529" s="25"/>
    </row>
    <row r="1530" spans="1:16" x14ac:dyDescent="0.3">
      <c r="A1530" s="25"/>
      <c r="B1530" s="25"/>
      <c r="C1530" s="25"/>
      <c r="D1530" s="26"/>
      <c r="E1530" s="26"/>
      <c r="F1530" s="26"/>
      <c r="G1530" s="26"/>
      <c r="H1530" s="26"/>
      <c r="I1530" s="25"/>
      <c r="J1530" s="25"/>
      <c r="K1530" s="25"/>
      <c r="L1530" s="25"/>
      <c r="M1530" s="25"/>
      <c r="N1530" s="25"/>
      <c r="O1530" s="25"/>
      <c r="P1530" s="25"/>
    </row>
    <row r="1531" spans="1:16" x14ac:dyDescent="0.3">
      <c r="A1531" s="25"/>
      <c r="B1531" s="25"/>
      <c r="C1531" s="25"/>
      <c r="D1531" s="26"/>
      <c r="E1531" s="26"/>
      <c r="F1531" s="26"/>
      <c r="G1531" s="26"/>
      <c r="H1531" s="26"/>
      <c r="I1531" s="25"/>
      <c r="J1531" s="25"/>
      <c r="K1531" s="25"/>
      <c r="L1531" s="25"/>
      <c r="M1531" s="25"/>
      <c r="N1531" s="25"/>
      <c r="O1531" s="25"/>
      <c r="P1531" s="25"/>
    </row>
    <row r="1532" spans="1:16" x14ac:dyDescent="0.3">
      <c r="A1532" s="25"/>
      <c r="B1532" s="25"/>
      <c r="C1532" s="25"/>
      <c r="D1532" s="26"/>
      <c r="E1532" s="26"/>
      <c r="F1532" s="26"/>
      <c r="G1532" s="26"/>
      <c r="H1532" s="26"/>
      <c r="I1532" s="25"/>
      <c r="J1532" s="25"/>
      <c r="K1532" s="25"/>
      <c r="L1532" s="25"/>
      <c r="M1532" s="25"/>
      <c r="N1532" s="25"/>
      <c r="O1532" s="25"/>
      <c r="P1532" s="25"/>
    </row>
    <row r="1533" spans="1:16" x14ac:dyDescent="0.3">
      <c r="A1533" s="25"/>
      <c r="B1533" s="25"/>
      <c r="C1533" s="25"/>
      <c r="D1533" s="26"/>
      <c r="E1533" s="26"/>
      <c r="F1533" s="26"/>
      <c r="G1533" s="26"/>
      <c r="H1533" s="26"/>
      <c r="I1533" s="25"/>
      <c r="J1533" s="25"/>
      <c r="K1533" s="25"/>
      <c r="L1533" s="25"/>
      <c r="M1533" s="25"/>
      <c r="N1533" s="25"/>
      <c r="O1533" s="25"/>
      <c r="P1533" s="25"/>
    </row>
    <row r="1534" spans="1:16" x14ac:dyDescent="0.3">
      <c r="A1534" s="25"/>
      <c r="B1534" s="25"/>
      <c r="C1534" s="25"/>
      <c r="D1534" s="26"/>
      <c r="E1534" s="26"/>
      <c r="F1534" s="26"/>
      <c r="G1534" s="26"/>
      <c r="H1534" s="26"/>
      <c r="I1534" s="25"/>
      <c r="J1534" s="25"/>
      <c r="K1534" s="25"/>
      <c r="L1534" s="25"/>
      <c r="M1534" s="25"/>
      <c r="N1534" s="25"/>
      <c r="O1534" s="25"/>
      <c r="P1534" s="25"/>
    </row>
    <row r="1535" spans="1:16" x14ac:dyDescent="0.3">
      <c r="A1535" s="25"/>
      <c r="B1535" s="25"/>
      <c r="C1535" s="25"/>
      <c r="D1535" s="26"/>
      <c r="E1535" s="26"/>
      <c r="F1535" s="26"/>
      <c r="G1535" s="26"/>
      <c r="H1535" s="26"/>
      <c r="I1535" s="25"/>
      <c r="J1535" s="25"/>
      <c r="K1535" s="25"/>
      <c r="L1535" s="25"/>
      <c r="M1535" s="25"/>
      <c r="N1535" s="25"/>
      <c r="O1535" s="25"/>
      <c r="P1535" s="25"/>
    </row>
    <row r="1536" spans="1:16" x14ac:dyDescent="0.3">
      <c r="A1536" s="25"/>
      <c r="B1536" s="25"/>
      <c r="C1536" s="25"/>
      <c r="D1536" s="26"/>
      <c r="E1536" s="26"/>
      <c r="F1536" s="26"/>
      <c r="G1536" s="26"/>
      <c r="H1536" s="26"/>
      <c r="I1536" s="25"/>
      <c r="J1536" s="25"/>
      <c r="K1536" s="25"/>
      <c r="L1536" s="25"/>
      <c r="M1536" s="25"/>
      <c r="N1536" s="25"/>
      <c r="O1536" s="25"/>
      <c r="P1536" s="25"/>
    </row>
    <row r="1537" spans="1:16" x14ac:dyDescent="0.3">
      <c r="A1537" s="25"/>
      <c r="B1537" s="25"/>
      <c r="C1537" s="25"/>
      <c r="D1537" s="26"/>
      <c r="E1537" s="26"/>
      <c r="F1537" s="26"/>
      <c r="G1537" s="26"/>
      <c r="H1537" s="26"/>
      <c r="I1537" s="25"/>
      <c r="J1537" s="25"/>
      <c r="K1537" s="25"/>
      <c r="L1537" s="25"/>
      <c r="M1537" s="25"/>
      <c r="N1537" s="25"/>
      <c r="O1537" s="25"/>
      <c r="P1537" s="25"/>
    </row>
    <row r="1538" spans="1:16" x14ac:dyDescent="0.3">
      <c r="A1538" s="25"/>
      <c r="B1538" s="25"/>
      <c r="C1538" s="25"/>
      <c r="D1538" s="26"/>
      <c r="E1538" s="26"/>
      <c r="F1538" s="26"/>
      <c r="G1538" s="26"/>
      <c r="H1538" s="26"/>
      <c r="I1538" s="25"/>
      <c r="J1538" s="25"/>
      <c r="K1538" s="25"/>
      <c r="L1538" s="25"/>
      <c r="M1538" s="25"/>
      <c r="N1538" s="25"/>
      <c r="O1538" s="25"/>
      <c r="P1538" s="25"/>
    </row>
    <row r="1539" spans="1:16" x14ac:dyDescent="0.3">
      <c r="A1539" s="25"/>
      <c r="B1539" s="25"/>
      <c r="C1539" s="25"/>
      <c r="D1539" s="26"/>
      <c r="E1539" s="26"/>
      <c r="F1539" s="26"/>
      <c r="G1539" s="26"/>
      <c r="H1539" s="26"/>
      <c r="I1539" s="25"/>
      <c r="J1539" s="25"/>
      <c r="K1539" s="25"/>
      <c r="L1539" s="25"/>
      <c r="M1539" s="25"/>
      <c r="N1539" s="25"/>
      <c r="O1539" s="25"/>
      <c r="P1539" s="25"/>
    </row>
    <row r="1540" spans="1:16" x14ac:dyDescent="0.3">
      <c r="A1540" s="25"/>
      <c r="B1540" s="25"/>
      <c r="C1540" s="25"/>
      <c r="D1540" s="26"/>
      <c r="E1540" s="26"/>
      <c r="F1540" s="26"/>
      <c r="G1540" s="26"/>
      <c r="H1540" s="26"/>
      <c r="I1540" s="25"/>
      <c r="J1540" s="25"/>
      <c r="K1540" s="25"/>
      <c r="L1540" s="25"/>
      <c r="M1540" s="25"/>
      <c r="N1540" s="25"/>
      <c r="O1540" s="25"/>
      <c r="P1540" s="25"/>
    </row>
    <row r="1541" spans="1:16" x14ac:dyDescent="0.3">
      <c r="A1541" s="25"/>
      <c r="B1541" s="25"/>
      <c r="C1541" s="25"/>
      <c r="D1541" s="26"/>
      <c r="E1541" s="26"/>
      <c r="F1541" s="26"/>
      <c r="G1541" s="26"/>
      <c r="H1541" s="26"/>
      <c r="I1541" s="25"/>
      <c r="J1541" s="25"/>
      <c r="K1541" s="25"/>
      <c r="L1541" s="25"/>
      <c r="M1541" s="25"/>
      <c r="N1541" s="25"/>
      <c r="O1541" s="25"/>
      <c r="P1541" s="25"/>
    </row>
    <row r="1542" spans="1:16" x14ac:dyDescent="0.3">
      <c r="A1542" s="25"/>
      <c r="B1542" s="25"/>
      <c r="C1542" s="25"/>
      <c r="D1542" s="26"/>
      <c r="E1542" s="26"/>
      <c r="F1542" s="26"/>
      <c r="G1542" s="26"/>
      <c r="H1542" s="26"/>
      <c r="I1542" s="25"/>
      <c r="J1542" s="25"/>
      <c r="K1542" s="25"/>
      <c r="L1542" s="25"/>
      <c r="M1542" s="25"/>
      <c r="N1542" s="25"/>
      <c r="O1542" s="25"/>
      <c r="P1542" s="25"/>
    </row>
    <row r="1543" spans="1:16" x14ac:dyDescent="0.3">
      <c r="A1543" s="25"/>
      <c r="B1543" s="25"/>
      <c r="C1543" s="25"/>
      <c r="D1543" s="26"/>
      <c r="E1543" s="26"/>
      <c r="F1543" s="26"/>
      <c r="G1543" s="26"/>
      <c r="H1543" s="26"/>
      <c r="I1543" s="25"/>
      <c r="J1543" s="25"/>
      <c r="K1543" s="25"/>
      <c r="L1543" s="25"/>
      <c r="M1543" s="25"/>
      <c r="N1543" s="25"/>
      <c r="O1543" s="25"/>
      <c r="P1543" s="25"/>
    </row>
    <row r="1544" spans="1:16" x14ac:dyDescent="0.3">
      <c r="A1544" s="25"/>
      <c r="B1544" s="25"/>
      <c r="C1544" s="25"/>
      <c r="D1544" s="26"/>
      <c r="E1544" s="26"/>
      <c r="F1544" s="26"/>
      <c r="G1544" s="26"/>
      <c r="H1544" s="26"/>
      <c r="I1544" s="25"/>
      <c r="J1544" s="25"/>
      <c r="K1544" s="25"/>
      <c r="L1544" s="25"/>
      <c r="M1544" s="25"/>
      <c r="N1544" s="25"/>
      <c r="O1544" s="25"/>
      <c r="P1544" s="25"/>
    </row>
    <row r="1545" spans="1:16" x14ac:dyDescent="0.3">
      <c r="A1545" s="25"/>
      <c r="B1545" s="25"/>
      <c r="C1545" s="25"/>
      <c r="D1545" s="26"/>
      <c r="E1545" s="26"/>
      <c r="F1545" s="26"/>
      <c r="G1545" s="26"/>
      <c r="H1545" s="26"/>
      <c r="I1545" s="25"/>
      <c r="J1545" s="25"/>
      <c r="K1545" s="25"/>
      <c r="L1545" s="25"/>
      <c r="M1545" s="25"/>
      <c r="N1545" s="25"/>
      <c r="O1545" s="25"/>
      <c r="P1545" s="25"/>
    </row>
    <row r="1546" spans="1:16" x14ac:dyDescent="0.3">
      <c r="A1546" s="25"/>
      <c r="B1546" s="25"/>
      <c r="C1546" s="25"/>
      <c r="D1546" s="26"/>
      <c r="E1546" s="26"/>
      <c r="F1546" s="26"/>
      <c r="G1546" s="26"/>
      <c r="H1546" s="26"/>
      <c r="I1546" s="25"/>
      <c r="J1546" s="25"/>
      <c r="K1546" s="25"/>
      <c r="L1546" s="25"/>
      <c r="M1546" s="25"/>
      <c r="N1546" s="25"/>
      <c r="O1546" s="25"/>
      <c r="P1546" s="25"/>
    </row>
    <row r="1547" spans="1:16" x14ac:dyDescent="0.3">
      <c r="A1547" s="25"/>
      <c r="B1547" s="25"/>
      <c r="C1547" s="25"/>
      <c r="D1547" s="26"/>
      <c r="E1547" s="26"/>
      <c r="F1547" s="26"/>
      <c r="G1547" s="26"/>
      <c r="H1547" s="26"/>
      <c r="I1547" s="25"/>
      <c r="J1547" s="25"/>
      <c r="K1547" s="25"/>
      <c r="L1547" s="25"/>
      <c r="M1547" s="25"/>
      <c r="N1547" s="25"/>
      <c r="O1547" s="25"/>
      <c r="P1547" s="25"/>
    </row>
    <row r="1548" spans="1:16" x14ac:dyDescent="0.3">
      <c r="A1548" s="25"/>
      <c r="B1548" s="25"/>
      <c r="C1548" s="25"/>
      <c r="D1548" s="26"/>
      <c r="E1548" s="26"/>
      <c r="F1548" s="26"/>
      <c r="G1548" s="26"/>
      <c r="H1548" s="26"/>
      <c r="I1548" s="25"/>
      <c r="J1548" s="25"/>
      <c r="K1548" s="25"/>
      <c r="L1548" s="25"/>
      <c r="M1548" s="25"/>
      <c r="N1548" s="25"/>
      <c r="O1548" s="25"/>
      <c r="P1548" s="25"/>
    </row>
    <row r="1549" spans="1:16" x14ac:dyDescent="0.3">
      <c r="A1549" s="25"/>
      <c r="B1549" s="25"/>
      <c r="C1549" s="25"/>
      <c r="D1549" s="26"/>
      <c r="E1549" s="26"/>
      <c r="F1549" s="26"/>
      <c r="G1549" s="26"/>
      <c r="H1549" s="26"/>
      <c r="I1549" s="25"/>
      <c r="J1549" s="25"/>
      <c r="K1549" s="25"/>
      <c r="L1549" s="25"/>
      <c r="M1549" s="25"/>
      <c r="N1549" s="25"/>
      <c r="O1549" s="25"/>
      <c r="P1549" s="25"/>
    </row>
    <row r="1550" spans="1:16" x14ac:dyDescent="0.3">
      <c r="A1550" s="25"/>
      <c r="B1550" s="25"/>
      <c r="C1550" s="25"/>
      <c r="D1550" s="26"/>
      <c r="E1550" s="26"/>
      <c r="F1550" s="26"/>
      <c r="G1550" s="26"/>
      <c r="H1550" s="26"/>
      <c r="I1550" s="25"/>
      <c r="J1550" s="25"/>
      <c r="K1550" s="25"/>
      <c r="L1550" s="25"/>
      <c r="M1550" s="25"/>
      <c r="N1550" s="25"/>
      <c r="O1550" s="25"/>
      <c r="P1550" s="25"/>
    </row>
    <row r="1551" spans="1:16" x14ac:dyDescent="0.3">
      <c r="A1551" s="25"/>
      <c r="B1551" s="25"/>
      <c r="C1551" s="25"/>
      <c r="D1551" s="26"/>
      <c r="E1551" s="26"/>
      <c r="F1551" s="26"/>
      <c r="G1551" s="26"/>
      <c r="H1551" s="26"/>
      <c r="I1551" s="25"/>
      <c r="J1551" s="25"/>
      <c r="K1551" s="25"/>
      <c r="L1551" s="25"/>
      <c r="M1551" s="25"/>
      <c r="N1551" s="25"/>
      <c r="O1551" s="25"/>
      <c r="P1551" s="25"/>
    </row>
    <row r="1552" spans="1:16" x14ac:dyDescent="0.3">
      <c r="A1552" s="25"/>
      <c r="B1552" s="25"/>
      <c r="C1552" s="25"/>
      <c r="D1552" s="26"/>
      <c r="E1552" s="26"/>
      <c r="F1552" s="26"/>
      <c r="G1552" s="26"/>
      <c r="H1552" s="26"/>
      <c r="I1552" s="25"/>
      <c r="J1552" s="25"/>
      <c r="K1552" s="25"/>
      <c r="L1552" s="25"/>
      <c r="M1552" s="25"/>
      <c r="N1552" s="25"/>
      <c r="O1552" s="25"/>
      <c r="P1552" s="25"/>
    </row>
    <row r="1553" spans="1:16" x14ac:dyDescent="0.3">
      <c r="A1553" s="25"/>
      <c r="B1553" s="25"/>
      <c r="C1553" s="25"/>
      <c r="D1553" s="26"/>
      <c r="E1553" s="26"/>
      <c r="F1553" s="26"/>
      <c r="G1553" s="26"/>
      <c r="H1553" s="26"/>
      <c r="I1553" s="25"/>
      <c r="J1553" s="25"/>
      <c r="K1553" s="25"/>
      <c r="L1553" s="25"/>
      <c r="M1553" s="25"/>
      <c r="N1553" s="25"/>
      <c r="O1553" s="25"/>
      <c r="P1553" s="25"/>
    </row>
    <row r="1554" spans="1:16" x14ac:dyDescent="0.3">
      <c r="A1554" s="25"/>
      <c r="B1554" s="25"/>
      <c r="C1554" s="25"/>
      <c r="D1554" s="26"/>
      <c r="E1554" s="26"/>
      <c r="F1554" s="26"/>
      <c r="G1554" s="26"/>
      <c r="H1554" s="26"/>
      <c r="I1554" s="25"/>
      <c r="J1554" s="25"/>
      <c r="K1554" s="25"/>
      <c r="L1554" s="25"/>
      <c r="M1554" s="25"/>
      <c r="N1554" s="25"/>
      <c r="O1554" s="25"/>
      <c r="P1554" s="25"/>
    </row>
    <row r="1555" spans="1:16" x14ac:dyDescent="0.3">
      <c r="A1555" s="25"/>
      <c r="B1555" s="25"/>
      <c r="C1555" s="25"/>
      <c r="D1555" s="26"/>
      <c r="E1555" s="26"/>
      <c r="F1555" s="26"/>
      <c r="G1555" s="26"/>
      <c r="H1555" s="26"/>
      <c r="I1555" s="25"/>
      <c r="J1555" s="25"/>
      <c r="K1555" s="25"/>
      <c r="L1555" s="25"/>
      <c r="M1555" s="25"/>
      <c r="N1555" s="25"/>
      <c r="O1555" s="25"/>
      <c r="P1555" s="25"/>
    </row>
    <row r="1556" spans="1:16" x14ac:dyDescent="0.3">
      <c r="A1556" s="25"/>
      <c r="B1556" s="25"/>
      <c r="C1556" s="25"/>
      <c r="D1556" s="26"/>
      <c r="E1556" s="26"/>
      <c r="F1556" s="26"/>
      <c r="G1556" s="26"/>
      <c r="H1556" s="26"/>
      <c r="I1556" s="25"/>
      <c r="J1556" s="25"/>
      <c r="K1556" s="25"/>
      <c r="L1556" s="25"/>
      <c r="M1556" s="25"/>
      <c r="N1556" s="25"/>
      <c r="O1556" s="25"/>
      <c r="P1556" s="25"/>
    </row>
    <row r="1557" spans="1:16" x14ac:dyDescent="0.3">
      <c r="A1557" s="25"/>
      <c r="B1557" s="25"/>
      <c r="C1557" s="25"/>
      <c r="D1557" s="26"/>
      <c r="E1557" s="26"/>
      <c r="F1557" s="26"/>
      <c r="G1557" s="26"/>
      <c r="H1557" s="26"/>
      <c r="I1557" s="25"/>
      <c r="J1557" s="25"/>
      <c r="K1557" s="25"/>
      <c r="L1557" s="25"/>
      <c r="M1557" s="25"/>
      <c r="N1557" s="25"/>
      <c r="O1557" s="25"/>
      <c r="P1557" s="25"/>
    </row>
    <row r="1558" spans="1:16" x14ac:dyDescent="0.3">
      <c r="A1558" s="25"/>
      <c r="B1558" s="25"/>
      <c r="C1558" s="25"/>
      <c r="D1558" s="26"/>
      <c r="E1558" s="26"/>
      <c r="F1558" s="26"/>
      <c r="G1558" s="26"/>
      <c r="H1558" s="26"/>
      <c r="I1558" s="25"/>
      <c r="J1558" s="25"/>
      <c r="K1558" s="25"/>
      <c r="L1558" s="25"/>
      <c r="M1558" s="25"/>
      <c r="N1558" s="25"/>
      <c r="O1558" s="25"/>
      <c r="P1558" s="25"/>
    </row>
    <row r="1559" spans="1:16" x14ac:dyDescent="0.3">
      <c r="A1559" s="25"/>
      <c r="B1559" s="25"/>
      <c r="C1559" s="25"/>
      <c r="D1559" s="26"/>
      <c r="E1559" s="26"/>
      <c r="F1559" s="26"/>
      <c r="G1559" s="26"/>
      <c r="H1559" s="26"/>
      <c r="I1559" s="25"/>
      <c r="J1559" s="25"/>
      <c r="K1559" s="25"/>
      <c r="L1559" s="25"/>
      <c r="M1559" s="25"/>
      <c r="N1559" s="25"/>
      <c r="O1559" s="25"/>
      <c r="P1559" s="25"/>
    </row>
    <row r="1560" spans="1:16" x14ac:dyDescent="0.3">
      <c r="A1560" s="25"/>
      <c r="B1560" s="25"/>
      <c r="C1560" s="25"/>
      <c r="D1560" s="26"/>
      <c r="E1560" s="26"/>
      <c r="F1560" s="26"/>
      <c r="G1560" s="26"/>
      <c r="H1560" s="26"/>
      <c r="I1560" s="25"/>
      <c r="J1560" s="25"/>
      <c r="K1560" s="25"/>
      <c r="L1560" s="25"/>
      <c r="M1560" s="25"/>
      <c r="N1560" s="25"/>
      <c r="O1560" s="25"/>
      <c r="P1560" s="25"/>
    </row>
    <row r="1561" spans="1:16" x14ac:dyDescent="0.3">
      <c r="A1561" s="25"/>
      <c r="B1561" s="25"/>
      <c r="C1561" s="25"/>
      <c r="D1561" s="26"/>
      <c r="E1561" s="26"/>
      <c r="F1561" s="26"/>
      <c r="G1561" s="26"/>
      <c r="H1561" s="26"/>
      <c r="I1561" s="25"/>
      <c r="J1561" s="25"/>
      <c r="K1561" s="25"/>
      <c r="L1561" s="25"/>
      <c r="M1561" s="25"/>
      <c r="N1561" s="25"/>
      <c r="O1561" s="25"/>
      <c r="P1561" s="25"/>
    </row>
    <row r="1562" spans="1:16" x14ac:dyDescent="0.3">
      <c r="A1562" s="25"/>
      <c r="B1562" s="25"/>
      <c r="C1562" s="25"/>
      <c r="D1562" s="26"/>
      <c r="E1562" s="26"/>
      <c r="F1562" s="26"/>
      <c r="G1562" s="26"/>
      <c r="H1562" s="26"/>
      <c r="I1562" s="25"/>
      <c r="J1562" s="25"/>
      <c r="K1562" s="25"/>
      <c r="L1562" s="25"/>
      <c r="M1562" s="25"/>
      <c r="N1562" s="25"/>
      <c r="O1562" s="25"/>
      <c r="P1562" s="25"/>
    </row>
    <row r="1563" spans="1:16" x14ac:dyDescent="0.3">
      <c r="A1563" s="25"/>
      <c r="B1563" s="25"/>
      <c r="C1563" s="25"/>
      <c r="D1563" s="26"/>
      <c r="E1563" s="26"/>
      <c r="F1563" s="26"/>
      <c r="G1563" s="26"/>
      <c r="H1563" s="26"/>
      <c r="I1563" s="25"/>
      <c r="J1563" s="25"/>
      <c r="K1563" s="25"/>
      <c r="L1563" s="25"/>
      <c r="M1563" s="25"/>
      <c r="N1563" s="25"/>
      <c r="O1563" s="25"/>
      <c r="P1563" s="25"/>
    </row>
    <row r="1564" spans="1:16" x14ac:dyDescent="0.3">
      <c r="A1564" s="25"/>
      <c r="B1564" s="25"/>
      <c r="C1564" s="25"/>
      <c r="D1564" s="26"/>
      <c r="E1564" s="26"/>
      <c r="F1564" s="26"/>
      <c r="G1564" s="26"/>
      <c r="H1564" s="26"/>
      <c r="I1564" s="25"/>
      <c r="J1564" s="25"/>
      <c r="K1564" s="25"/>
      <c r="L1564" s="25"/>
      <c r="M1564" s="25"/>
      <c r="N1564" s="25"/>
      <c r="O1564" s="25"/>
      <c r="P1564" s="25"/>
    </row>
    <row r="1565" spans="1:16" x14ac:dyDescent="0.3">
      <c r="A1565" s="25"/>
      <c r="B1565" s="25"/>
      <c r="C1565" s="25"/>
      <c r="D1565" s="26"/>
      <c r="E1565" s="26"/>
      <c r="F1565" s="26"/>
      <c r="G1565" s="26"/>
      <c r="H1565" s="26"/>
      <c r="I1565" s="25"/>
      <c r="J1565" s="25"/>
      <c r="K1565" s="25"/>
      <c r="L1565" s="25"/>
      <c r="M1565" s="25"/>
      <c r="N1565" s="25"/>
      <c r="O1565" s="25"/>
      <c r="P1565" s="25"/>
    </row>
    <row r="1566" spans="1:16" x14ac:dyDescent="0.3">
      <c r="A1566" s="25"/>
      <c r="B1566" s="25"/>
      <c r="C1566" s="25"/>
      <c r="D1566" s="26"/>
      <c r="E1566" s="26"/>
      <c r="F1566" s="26"/>
      <c r="G1566" s="26"/>
      <c r="H1566" s="26"/>
      <c r="I1566" s="25"/>
      <c r="J1566" s="25"/>
      <c r="K1566" s="25"/>
      <c r="L1566" s="25"/>
      <c r="M1566" s="25"/>
      <c r="N1566" s="25"/>
      <c r="O1566" s="25"/>
      <c r="P1566" s="25"/>
    </row>
    <row r="1567" spans="1:16" x14ac:dyDescent="0.3">
      <c r="A1567" s="25"/>
      <c r="B1567" s="25"/>
      <c r="C1567" s="25"/>
      <c r="D1567" s="26"/>
      <c r="E1567" s="26"/>
      <c r="F1567" s="26"/>
      <c r="G1567" s="26"/>
      <c r="H1567" s="26"/>
      <c r="I1567" s="25"/>
      <c r="J1567" s="25"/>
      <c r="K1567" s="25"/>
      <c r="L1567" s="25"/>
      <c r="M1567" s="25"/>
      <c r="N1567" s="25"/>
      <c r="O1567" s="25"/>
      <c r="P1567" s="25"/>
    </row>
    <row r="1568" spans="1:16" x14ac:dyDescent="0.3">
      <c r="A1568" s="25"/>
      <c r="B1568" s="25"/>
      <c r="C1568" s="25"/>
      <c r="D1568" s="26"/>
      <c r="E1568" s="26"/>
      <c r="F1568" s="26"/>
      <c r="G1568" s="26"/>
      <c r="H1568" s="26"/>
      <c r="I1568" s="25"/>
      <c r="J1568" s="25"/>
      <c r="K1568" s="25"/>
      <c r="L1568" s="25"/>
      <c r="M1568" s="25"/>
      <c r="N1568" s="25"/>
      <c r="O1568" s="25"/>
      <c r="P1568" s="25"/>
    </row>
    <row r="1569" spans="1:16" x14ac:dyDescent="0.3">
      <c r="A1569" s="25"/>
      <c r="B1569" s="25"/>
      <c r="C1569" s="25"/>
      <c r="D1569" s="26"/>
      <c r="E1569" s="26"/>
      <c r="F1569" s="26"/>
      <c r="G1569" s="26"/>
      <c r="H1569" s="26"/>
      <c r="I1569" s="25"/>
      <c r="J1569" s="25"/>
      <c r="K1569" s="25"/>
      <c r="L1569" s="25"/>
      <c r="M1569" s="25"/>
      <c r="N1569" s="25"/>
      <c r="O1569" s="25"/>
      <c r="P1569" s="25"/>
    </row>
    <row r="1570" spans="1:16" x14ac:dyDescent="0.3">
      <c r="A1570" s="25"/>
      <c r="B1570" s="25"/>
      <c r="C1570" s="25"/>
      <c r="D1570" s="26"/>
      <c r="E1570" s="26"/>
      <c r="F1570" s="26"/>
      <c r="G1570" s="26"/>
      <c r="H1570" s="26"/>
      <c r="I1570" s="25"/>
      <c r="J1570" s="25"/>
      <c r="K1570" s="25"/>
      <c r="L1570" s="25"/>
      <c r="M1570" s="25"/>
      <c r="N1570" s="25"/>
      <c r="O1570" s="25"/>
      <c r="P1570" s="25"/>
    </row>
    <row r="1571" spans="1:16" x14ac:dyDescent="0.3">
      <c r="A1571" s="25"/>
      <c r="B1571" s="25"/>
      <c r="C1571" s="25"/>
      <c r="D1571" s="26"/>
      <c r="E1571" s="26"/>
      <c r="F1571" s="26"/>
      <c r="G1571" s="26"/>
      <c r="H1571" s="26"/>
      <c r="I1571" s="25"/>
      <c r="J1571" s="25"/>
      <c r="K1571" s="25"/>
      <c r="L1571" s="25"/>
      <c r="M1571" s="25"/>
      <c r="N1571" s="25"/>
      <c r="O1571" s="25"/>
      <c r="P1571" s="25"/>
    </row>
    <row r="1572" spans="1:16" x14ac:dyDescent="0.3">
      <c r="A1572" s="25"/>
      <c r="B1572" s="25"/>
      <c r="C1572" s="25"/>
      <c r="D1572" s="26"/>
      <c r="E1572" s="26"/>
      <c r="F1572" s="26"/>
      <c r="G1572" s="26"/>
      <c r="H1572" s="26"/>
      <c r="I1572" s="25"/>
      <c r="J1572" s="25"/>
      <c r="K1572" s="25"/>
      <c r="L1572" s="25"/>
      <c r="M1572" s="25"/>
      <c r="N1572" s="25"/>
      <c r="O1572" s="25"/>
      <c r="P1572" s="25"/>
    </row>
    <row r="1573" spans="1:16" x14ac:dyDescent="0.3">
      <c r="A1573" s="25"/>
      <c r="B1573" s="25"/>
      <c r="C1573" s="25"/>
      <c r="D1573" s="26"/>
      <c r="E1573" s="26"/>
      <c r="F1573" s="26"/>
      <c r="G1573" s="26"/>
      <c r="H1573" s="26"/>
      <c r="I1573" s="25"/>
      <c r="J1573" s="25"/>
      <c r="K1573" s="25"/>
      <c r="L1573" s="25"/>
      <c r="M1573" s="25"/>
      <c r="N1573" s="25"/>
      <c r="O1573" s="25"/>
      <c r="P1573" s="25"/>
    </row>
    <row r="1574" spans="1:16" x14ac:dyDescent="0.3">
      <c r="A1574" s="25"/>
      <c r="B1574" s="25"/>
      <c r="C1574" s="25"/>
      <c r="D1574" s="26"/>
      <c r="E1574" s="26"/>
      <c r="F1574" s="26"/>
      <c r="G1574" s="26"/>
      <c r="H1574" s="26"/>
      <c r="I1574" s="25"/>
      <c r="J1574" s="25"/>
      <c r="K1574" s="25"/>
      <c r="L1574" s="25"/>
      <c r="M1574" s="25"/>
      <c r="N1574" s="25"/>
      <c r="O1574" s="25"/>
      <c r="P1574" s="25"/>
    </row>
    <row r="1575" spans="1:16" x14ac:dyDescent="0.3">
      <c r="A1575" s="25"/>
      <c r="B1575" s="25"/>
      <c r="C1575" s="25"/>
      <c r="D1575" s="26"/>
      <c r="E1575" s="26"/>
      <c r="F1575" s="26"/>
      <c r="G1575" s="26"/>
      <c r="H1575" s="26"/>
      <c r="I1575" s="25"/>
      <c r="J1575" s="25"/>
      <c r="K1575" s="25"/>
      <c r="L1575" s="25"/>
      <c r="M1575" s="25"/>
      <c r="N1575" s="25"/>
      <c r="O1575" s="25"/>
      <c r="P1575" s="25"/>
    </row>
    <row r="1576" spans="1:16" x14ac:dyDescent="0.3">
      <c r="A1576" s="25"/>
      <c r="B1576" s="25"/>
      <c r="C1576" s="25"/>
      <c r="D1576" s="26"/>
      <c r="E1576" s="26"/>
      <c r="F1576" s="26"/>
      <c r="G1576" s="26"/>
      <c r="H1576" s="26"/>
      <c r="I1576" s="25"/>
      <c r="J1576" s="25"/>
      <c r="K1576" s="25"/>
      <c r="L1576" s="25"/>
      <c r="M1576" s="25"/>
      <c r="N1576" s="25"/>
      <c r="O1576" s="25"/>
      <c r="P1576" s="25"/>
    </row>
    <row r="1577" spans="1:16" x14ac:dyDescent="0.3">
      <c r="A1577" s="25"/>
      <c r="B1577" s="25"/>
      <c r="C1577" s="25"/>
      <c r="D1577" s="26"/>
      <c r="E1577" s="26"/>
      <c r="F1577" s="26"/>
      <c r="G1577" s="26"/>
      <c r="H1577" s="26"/>
      <c r="I1577" s="25"/>
      <c r="J1577" s="25"/>
      <c r="K1577" s="25"/>
      <c r="L1577" s="25"/>
      <c r="M1577" s="25"/>
      <c r="N1577" s="25"/>
      <c r="O1577" s="25"/>
      <c r="P1577" s="25"/>
    </row>
    <row r="1578" spans="1:16" x14ac:dyDescent="0.3">
      <c r="A1578" s="25"/>
      <c r="B1578" s="25"/>
      <c r="C1578" s="25"/>
      <c r="D1578" s="26"/>
      <c r="E1578" s="26"/>
      <c r="F1578" s="26"/>
      <c r="G1578" s="26"/>
      <c r="H1578" s="26"/>
      <c r="I1578" s="25"/>
      <c r="J1578" s="25"/>
      <c r="K1578" s="25"/>
      <c r="L1578" s="25"/>
      <c r="M1578" s="25"/>
      <c r="N1578" s="25"/>
      <c r="O1578" s="25"/>
      <c r="P1578" s="25"/>
    </row>
    <row r="1579" spans="1:16" x14ac:dyDescent="0.3">
      <c r="A1579" s="25"/>
      <c r="B1579" s="25"/>
      <c r="C1579" s="25"/>
      <c r="D1579" s="26"/>
      <c r="E1579" s="26"/>
      <c r="F1579" s="26"/>
      <c r="G1579" s="26"/>
      <c r="H1579" s="26"/>
      <c r="I1579" s="25"/>
      <c r="J1579" s="25"/>
      <c r="K1579" s="25"/>
      <c r="L1579" s="25"/>
      <c r="M1579" s="25"/>
      <c r="N1579" s="25"/>
      <c r="O1579" s="25"/>
      <c r="P1579" s="25"/>
    </row>
    <row r="1580" spans="1:16" x14ac:dyDescent="0.3">
      <c r="A1580" s="25"/>
      <c r="B1580" s="25"/>
      <c r="C1580" s="25"/>
      <c r="D1580" s="26"/>
      <c r="E1580" s="26"/>
      <c r="F1580" s="26"/>
      <c r="G1580" s="26"/>
      <c r="H1580" s="26"/>
      <c r="I1580" s="25"/>
      <c r="J1580" s="25"/>
      <c r="K1580" s="25"/>
      <c r="L1580" s="25"/>
      <c r="M1580" s="25"/>
      <c r="N1580" s="25"/>
      <c r="O1580" s="25"/>
      <c r="P1580" s="25"/>
    </row>
    <row r="1581" spans="1:16" x14ac:dyDescent="0.3">
      <c r="A1581" s="25"/>
      <c r="B1581" s="25"/>
      <c r="C1581" s="25"/>
      <c r="D1581" s="26"/>
      <c r="E1581" s="26"/>
      <c r="F1581" s="26"/>
      <c r="G1581" s="26"/>
      <c r="H1581" s="26"/>
      <c r="I1581" s="25"/>
      <c r="J1581" s="25"/>
      <c r="K1581" s="25"/>
      <c r="L1581" s="25"/>
      <c r="M1581" s="25"/>
      <c r="N1581" s="25"/>
      <c r="O1581" s="25"/>
      <c r="P1581" s="25"/>
    </row>
    <row r="1582" spans="1:16" x14ac:dyDescent="0.3">
      <c r="A1582" s="25"/>
      <c r="B1582" s="25"/>
      <c r="C1582" s="25"/>
      <c r="D1582" s="26"/>
      <c r="E1582" s="26"/>
      <c r="F1582" s="26"/>
      <c r="G1582" s="26"/>
      <c r="H1582" s="26"/>
      <c r="I1582" s="25"/>
      <c r="J1582" s="25"/>
      <c r="K1582" s="25"/>
      <c r="L1582" s="25"/>
      <c r="M1582" s="25"/>
      <c r="N1582" s="25"/>
      <c r="O1582" s="25"/>
      <c r="P1582" s="25"/>
    </row>
    <row r="1583" spans="1:16" x14ac:dyDescent="0.3">
      <c r="A1583" s="25"/>
      <c r="B1583" s="25"/>
      <c r="C1583" s="25"/>
      <c r="D1583" s="26"/>
      <c r="E1583" s="26"/>
      <c r="F1583" s="26"/>
      <c r="G1583" s="26"/>
      <c r="H1583" s="26"/>
      <c r="I1583" s="25"/>
      <c r="J1583" s="25"/>
      <c r="K1583" s="25"/>
      <c r="L1583" s="25"/>
      <c r="M1583" s="25"/>
      <c r="N1583" s="25"/>
      <c r="O1583" s="25"/>
      <c r="P1583" s="25"/>
    </row>
    <row r="1584" spans="1:16" x14ac:dyDescent="0.3">
      <c r="A1584" s="25"/>
      <c r="B1584" s="25"/>
      <c r="C1584" s="25"/>
      <c r="D1584" s="26"/>
      <c r="E1584" s="26"/>
      <c r="F1584" s="26"/>
      <c r="G1584" s="26"/>
      <c r="H1584" s="26"/>
      <c r="I1584" s="25"/>
      <c r="J1584" s="25"/>
      <c r="K1584" s="25"/>
      <c r="L1584" s="25"/>
      <c r="M1584" s="25"/>
      <c r="N1584" s="25"/>
      <c r="O1584" s="25"/>
      <c r="P1584" s="25"/>
    </row>
    <row r="1585" spans="1:16" x14ac:dyDescent="0.3">
      <c r="A1585" s="25"/>
      <c r="B1585" s="25"/>
      <c r="C1585" s="25"/>
      <c r="D1585" s="26"/>
      <c r="E1585" s="26"/>
      <c r="F1585" s="26"/>
      <c r="G1585" s="26"/>
      <c r="H1585" s="26"/>
      <c r="I1585" s="25"/>
      <c r="J1585" s="25"/>
      <c r="K1585" s="25"/>
      <c r="L1585" s="25"/>
      <c r="M1585" s="25"/>
      <c r="N1585" s="25"/>
      <c r="O1585" s="25"/>
      <c r="P1585" s="25"/>
    </row>
    <row r="1586" spans="1:16" x14ac:dyDescent="0.3">
      <c r="A1586" s="25"/>
      <c r="B1586" s="25"/>
      <c r="C1586" s="25"/>
      <c r="D1586" s="26"/>
      <c r="E1586" s="26"/>
      <c r="F1586" s="26"/>
      <c r="G1586" s="26"/>
      <c r="H1586" s="26"/>
      <c r="I1586" s="25"/>
      <c r="J1586" s="25"/>
      <c r="K1586" s="25"/>
      <c r="L1586" s="25"/>
      <c r="M1586" s="25"/>
      <c r="N1586" s="25"/>
      <c r="O1586" s="25"/>
      <c r="P1586" s="25"/>
    </row>
    <row r="1587" spans="1:16" x14ac:dyDescent="0.3">
      <c r="A1587" s="25"/>
      <c r="B1587" s="25"/>
      <c r="C1587" s="25"/>
      <c r="D1587" s="26"/>
      <c r="E1587" s="26"/>
      <c r="F1587" s="26"/>
      <c r="G1587" s="26"/>
      <c r="H1587" s="26"/>
      <c r="I1587" s="25"/>
      <c r="J1587" s="25"/>
      <c r="K1587" s="25"/>
      <c r="L1587" s="25"/>
      <c r="M1587" s="25"/>
      <c r="N1587" s="25"/>
      <c r="O1587" s="25"/>
      <c r="P1587" s="25"/>
    </row>
    <row r="1588" spans="1:16" x14ac:dyDescent="0.3">
      <c r="A1588" s="25"/>
      <c r="B1588" s="25"/>
      <c r="C1588" s="25"/>
      <c r="D1588" s="26"/>
      <c r="E1588" s="26"/>
      <c r="F1588" s="26"/>
      <c r="G1588" s="26"/>
      <c r="H1588" s="26"/>
      <c r="I1588" s="25"/>
      <c r="J1588" s="25"/>
      <c r="K1588" s="25"/>
      <c r="L1588" s="25"/>
      <c r="M1588" s="25"/>
      <c r="N1588" s="25"/>
      <c r="O1588" s="25"/>
      <c r="P1588" s="25"/>
    </row>
    <row r="1589" spans="1:16" x14ac:dyDescent="0.3">
      <c r="A1589" s="25"/>
      <c r="B1589" s="25"/>
      <c r="C1589" s="25"/>
      <c r="D1589" s="26"/>
      <c r="E1589" s="26"/>
      <c r="F1589" s="26"/>
      <c r="G1589" s="26"/>
      <c r="H1589" s="26"/>
      <c r="I1589" s="25"/>
      <c r="J1589" s="25"/>
      <c r="K1589" s="25"/>
      <c r="L1589" s="25"/>
      <c r="M1589" s="25"/>
      <c r="N1589" s="25"/>
      <c r="O1589" s="25"/>
      <c r="P1589" s="25"/>
    </row>
    <row r="1590" spans="1:16" x14ac:dyDescent="0.3">
      <c r="A1590" s="25"/>
      <c r="B1590" s="25"/>
      <c r="C1590" s="25"/>
      <c r="D1590" s="26"/>
      <c r="E1590" s="26"/>
      <c r="F1590" s="26"/>
      <c r="G1590" s="26"/>
      <c r="H1590" s="26"/>
      <c r="I1590" s="25"/>
      <c r="J1590" s="25"/>
      <c r="K1590" s="25"/>
      <c r="L1590" s="25"/>
      <c r="M1590" s="25"/>
      <c r="N1590" s="25"/>
      <c r="O1590" s="25"/>
      <c r="P1590" s="25"/>
    </row>
    <row r="1591" spans="1:16" x14ac:dyDescent="0.3">
      <c r="A1591" s="25"/>
      <c r="B1591" s="25"/>
      <c r="C1591" s="25"/>
      <c r="D1591" s="26"/>
      <c r="E1591" s="26"/>
      <c r="F1591" s="26"/>
      <c r="G1591" s="26"/>
      <c r="H1591" s="26"/>
      <c r="I1591" s="25"/>
      <c r="J1591" s="25"/>
      <c r="K1591" s="25"/>
      <c r="L1591" s="25"/>
      <c r="M1591" s="25"/>
      <c r="N1591" s="25"/>
      <c r="O1591" s="25"/>
      <c r="P1591" s="25"/>
    </row>
    <row r="1592" spans="1:16" x14ac:dyDescent="0.3">
      <c r="A1592" s="25"/>
      <c r="B1592" s="25"/>
      <c r="C1592" s="25"/>
      <c r="D1592" s="26"/>
      <c r="E1592" s="26"/>
      <c r="F1592" s="26"/>
      <c r="G1592" s="26"/>
      <c r="H1592" s="26"/>
      <c r="I1592" s="25"/>
      <c r="J1592" s="25"/>
      <c r="K1592" s="25"/>
      <c r="L1592" s="25"/>
      <c r="M1592" s="25"/>
      <c r="N1592" s="25"/>
      <c r="O1592" s="25"/>
      <c r="P1592" s="25"/>
    </row>
    <row r="1593" spans="1:16" x14ac:dyDescent="0.3">
      <c r="A1593" s="25"/>
      <c r="B1593" s="25"/>
      <c r="C1593" s="25"/>
      <c r="D1593" s="26"/>
      <c r="E1593" s="26"/>
      <c r="F1593" s="26"/>
      <c r="G1593" s="26"/>
      <c r="H1593" s="26"/>
      <c r="I1593" s="25"/>
      <c r="J1593" s="25"/>
      <c r="K1593" s="25"/>
      <c r="L1593" s="25"/>
      <c r="M1593" s="25"/>
      <c r="N1593" s="25"/>
      <c r="O1593" s="25"/>
      <c r="P1593" s="25"/>
    </row>
    <row r="1594" spans="1:16" x14ac:dyDescent="0.3">
      <c r="A1594" s="25"/>
      <c r="B1594" s="25"/>
      <c r="C1594" s="25"/>
      <c r="D1594" s="26"/>
      <c r="E1594" s="26"/>
      <c r="F1594" s="26"/>
      <c r="G1594" s="26"/>
      <c r="H1594" s="26"/>
      <c r="I1594" s="25"/>
      <c r="J1594" s="25"/>
      <c r="K1594" s="25"/>
      <c r="L1594" s="25"/>
      <c r="M1594" s="25"/>
      <c r="N1594" s="25"/>
      <c r="O1594" s="25"/>
      <c r="P1594" s="25"/>
    </row>
    <row r="1595" spans="1:16" x14ac:dyDescent="0.3">
      <c r="A1595" s="25"/>
      <c r="B1595" s="25"/>
      <c r="C1595" s="25"/>
      <c r="D1595" s="26"/>
      <c r="E1595" s="26"/>
      <c r="F1595" s="26"/>
      <c r="G1595" s="26"/>
      <c r="H1595" s="26"/>
      <c r="I1595" s="25"/>
      <c r="J1595" s="25"/>
      <c r="K1595" s="25"/>
      <c r="L1595" s="25"/>
      <c r="M1595" s="25"/>
      <c r="N1595" s="25"/>
      <c r="O1595" s="25"/>
      <c r="P1595" s="25"/>
    </row>
    <row r="1596" spans="1:16" x14ac:dyDescent="0.3">
      <c r="A1596" s="25"/>
      <c r="B1596" s="25"/>
      <c r="C1596" s="25"/>
      <c r="D1596" s="26"/>
      <c r="E1596" s="26"/>
      <c r="F1596" s="26"/>
      <c r="G1596" s="26"/>
      <c r="H1596" s="26"/>
      <c r="I1596" s="25"/>
      <c r="J1596" s="25"/>
      <c r="K1596" s="25"/>
      <c r="L1596" s="25"/>
      <c r="M1596" s="25"/>
      <c r="N1596" s="25"/>
      <c r="O1596" s="25"/>
      <c r="P1596" s="25"/>
    </row>
    <row r="1597" spans="1:16" x14ac:dyDescent="0.3">
      <c r="A1597" s="25"/>
      <c r="B1597" s="25"/>
      <c r="C1597" s="25"/>
      <c r="D1597" s="26"/>
      <c r="E1597" s="26"/>
      <c r="F1597" s="26"/>
      <c r="G1597" s="26"/>
      <c r="H1597" s="26"/>
      <c r="I1597" s="25"/>
      <c r="J1597" s="25"/>
      <c r="K1597" s="25"/>
      <c r="L1597" s="25"/>
      <c r="M1597" s="25"/>
      <c r="N1597" s="25"/>
      <c r="O1597" s="25"/>
      <c r="P1597" s="25"/>
    </row>
    <row r="1598" spans="1:16" x14ac:dyDescent="0.3">
      <c r="A1598" s="25"/>
      <c r="B1598" s="25"/>
      <c r="C1598" s="25"/>
      <c r="D1598" s="26"/>
      <c r="E1598" s="26"/>
      <c r="F1598" s="26"/>
      <c r="G1598" s="26"/>
      <c r="H1598" s="26"/>
      <c r="I1598" s="25"/>
      <c r="J1598" s="25"/>
      <c r="K1598" s="25"/>
      <c r="L1598" s="25"/>
      <c r="M1598" s="25"/>
      <c r="N1598" s="25"/>
      <c r="O1598" s="25"/>
      <c r="P1598" s="25"/>
    </row>
    <row r="1599" spans="1:16" x14ac:dyDescent="0.3">
      <c r="A1599" s="25"/>
      <c r="B1599" s="25"/>
      <c r="C1599" s="25"/>
      <c r="D1599" s="26"/>
      <c r="E1599" s="26"/>
      <c r="F1599" s="26"/>
      <c r="G1599" s="26"/>
      <c r="H1599" s="26"/>
      <c r="I1599" s="25"/>
      <c r="J1599" s="25"/>
      <c r="K1599" s="25"/>
      <c r="L1599" s="25"/>
      <c r="M1599" s="25"/>
      <c r="N1599" s="25"/>
      <c r="O1599" s="25"/>
      <c r="P1599" s="25"/>
    </row>
    <row r="1600" spans="1:16" x14ac:dyDescent="0.3">
      <c r="A1600" s="25"/>
      <c r="B1600" s="25"/>
      <c r="C1600" s="25"/>
      <c r="D1600" s="26"/>
      <c r="E1600" s="26"/>
      <c r="F1600" s="26"/>
      <c r="G1600" s="26"/>
      <c r="H1600" s="26"/>
      <c r="I1600" s="25"/>
      <c r="J1600" s="25"/>
      <c r="K1600" s="25"/>
      <c r="L1600" s="25"/>
      <c r="M1600" s="25"/>
      <c r="N1600" s="25"/>
      <c r="O1600" s="25"/>
      <c r="P1600" s="25"/>
    </row>
    <row r="1601" spans="1:16" x14ac:dyDescent="0.3">
      <c r="A1601" s="25"/>
      <c r="B1601" s="25"/>
      <c r="C1601" s="25"/>
      <c r="D1601" s="26"/>
      <c r="E1601" s="26"/>
      <c r="F1601" s="26"/>
      <c r="G1601" s="26"/>
      <c r="H1601" s="26"/>
      <c r="I1601" s="25"/>
      <c r="J1601" s="25"/>
      <c r="K1601" s="25"/>
      <c r="L1601" s="25"/>
      <c r="M1601" s="25"/>
      <c r="N1601" s="25"/>
      <c r="O1601" s="25"/>
      <c r="P1601" s="25"/>
    </row>
    <row r="1602" spans="1:16" x14ac:dyDescent="0.3">
      <c r="A1602" s="25"/>
      <c r="B1602" s="25"/>
      <c r="C1602" s="25"/>
      <c r="D1602" s="26"/>
      <c r="E1602" s="26"/>
      <c r="F1602" s="26"/>
      <c r="G1602" s="26"/>
      <c r="H1602" s="26"/>
      <c r="I1602" s="25"/>
      <c r="J1602" s="25"/>
      <c r="K1602" s="25"/>
      <c r="L1602" s="25"/>
      <c r="M1602" s="25"/>
      <c r="N1602" s="25"/>
      <c r="O1602" s="25"/>
      <c r="P1602" s="25"/>
    </row>
    <row r="1603" spans="1:16" x14ac:dyDescent="0.3">
      <c r="A1603" s="25"/>
      <c r="B1603" s="25"/>
      <c r="C1603" s="25"/>
      <c r="D1603" s="26"/>
      <c r="E1603" s="26"/>
      <c r="F1603" s="26"/>
      <c r="G1603" s="26"/>
      <c r="H1603" s="26"/>
      <c r="I1603" s="25"/>
      <c r="J1603" s="25"/>
      <c r="K1603" s="25"/>
      <c r="L1603" s="25"/>
      <c r="M1603" s="25"/>
      <c r="N1603" s="25"/>
      <c r="O1603" s="25"/>
      <c r="P1603" s="25"/>
    </row>
    <row r="1604" spans="1:16" x14ac:dyDescent="0.3">
      <c r="A1604" s="25"/>
      <c r="B1604" s="25"/>
      <c r="C1604" s="25"/>
      <c r="D1604" s="26"/>
      <c r="E1604" s="26"/>
      <c r="F1604" s="26"/>
      <c r="G1604" s="26"/>
      <c r="H1604" s="26"/>
      <c r="I1604" s="25"/>
      <c r="J1604" s="25"/>
      <c r="K1604" s="25"/>
      <c r="L1604" s="25"/>
      <c r="M1604" s="25"/>
      <c r="N1604" s="25"/>
      <c r="O1604" s="25"/>
      <c r="P1604" s="25"/>
    </row>
    <row r="1605" spans="1:16" x14ac:dyDescent="0.3">
      <c r="A1605" s="25"/>
      <c r="B1605" s="25"/>
      <c r="C1605" s="25"/>
      <c r="D1605" s="26"/>
      <c r="E1605" s="26"/>
      <c r="F1605" s="26"/>
      <c r="G1605" s="26"/>
      <c r="H1605" s="26"/>
      <c r="I1605" s="25"/>
      <c r="J1605" s="25"/>
      <c r="K1605" s="25"/>
      <c r="L1605" s="25"/>
      <c r="M1605" s="25"/>
      <c r="N1605" s="25"/>
      <c r="O1605" s="25"/>
      <c r="P1605" s="25"/>
    </row>
    <row r="1606" spans="1:16" x14ac:dyDescent="0.3">
      <c r="A1606" s="25"/>
      <c r="B1606" s="25"/>
      <c r="C1606" s="25"/>
      <c r="D1606" s="26"/>
      <c r="E1606" s="26"/>
      <c r="F1606" s="26"/>
      <c r="G1606" s="26"/>
      <c r="H1606" s="26"/>
      <c r="I1606" s="25"/>
      <c r="J1606" s="25"/>
      <c r="K1606" s="25"/>
      <c r="L1606" s="25"/>
      <c r="M1606" s="25"/>
      <c r="N1606" s="25"/>
      <c r="O1606" s="25"/>
      <c r="P1606" s="25"/>
    </row>
    <row r="1607" spans="1:16" x14ac:dyDescent="0.3">
      <c r="A1607" s="25"/>
      <c r="B1607" s="25"/>
      <c r="C1607" s="25"/>
      <c r="D1607" s="26"/>
      <c r="E1607" s="26"/>
      <c r="F1607" s="26"/>
      <c r="G1607" s="26"/>
      <c r="H1607" s="26"/>
      <c r="I1607" s="25"/>
      <c r="J1607" s="25"/>
      <c r="K1607" s="25"/>
      <c r="L1607" s="25"/>
      <c r="M1607" s="25"/>
      <c r="N1607" s="25"/>
      <c r="O1607" s="25"/>
      <c r="P1607" s="25"/>
    </row>
    <row r="1608" spans="1:16" x14ac:dyDescent="0.3">
      <c r="A1608" s="25"/>
      <c r="B1608" s="25"/>
      <c r="C1608" s="25"/>
      <c r="D1608" s="26"/>
      <c r="E1608" s="26"/>
      <c r="F1608" s="26"/>
      <c r="G1608" s="26"/>
      <c r="H1608" s="26"/>
      <c r="I1608" s="25"/>
      <c r="J1608" s="25"/>
      <c r="K1608" s="25"/>
      <c r="L1608" s="25"/>
      <c r="M1608" s="25"/>
      <c r="N1608" s="25"/>
      <c r="O1608" s="25"/>
      <c r="P1608" s="25"/>
    </row>
    <row r="1609" spans="1:16" x14ac:dyDescent="0.3">
      <c r="A1609" s="25"/>
      <c r="B1609" s="25"/>
      <c r="C1609" s="25"/>
      <c r="D1609" s="26"/>
      <c r="E1609" s="26"/>
      <c r="F1609" s="26"/>
      <c r="G1609" s="26"/>
      <c r="H1609" s="26"/>
      <c r="I1609" s="25"/>
      <c r="J1609" s="25"/>
      <c r="K1609" s="25"/>
      <c r="L1609" s="25"/>
      <c r="M1609" s="25"/>
      <c r="N1609" s="25"/>
      <c r="O1609" s="25"/>
      <c r="P1609" s="25"/>
    </row>
    <row r="1610" spans="1:16" x14ac:dyDescent="0.3">
      <c r="A1610" s="25"/>
      <c r="B1610" s="25"/>
      <c r="C1610" s="25"/>
      <c r="D1610" s="26"/>
      <c r="E1610" s="26"/>
      <c r="F1610" s="26"/>
      <c r="G1610" s="26"/>
      <c r="H1610" s="26"/>
      <c r="I1610" s="25"/>
      <c r="J1610" s="25"/>
      <c r="K1610" s="25"/>
      <c r="L1610" s="25"/>
      <c r="M1610" s="25"/>
      <c r="N1610" s="25"/>
      <c r="O1610" s="25"/>
      <c r="P1610" s="25"/>
    </row>
    <row r="1611" spans="1:16" x14ac:dyDescent="0.3">
      <c r="A1611" s="25"/>
      <c r="B1611" s="25"/>
      <c r="C1611" s="25"/>
      <c r="D1611" s="26"/>
      <c r="E1611" s="26"/>
      <c r="F1611" s="26"/>
      <c r="G1611" s="26"/>
      <c r="H1611" s="26"/>
      <c r="I1611" s="25"/>
      <c r="J1611" s="25"/>
      <c r="K1611" s="25"/>
      <c r="L1611" s="25"/>
      <c r="M1611" s="25"/>
      <c r="N1611" s="25"/>
      <c r="O1611" s="25"/>
      <c r="P1611" s="25"/>
    </row>
    <row r="1612" spans="1:16" x14ac:dyDescent="0.3">
      <c r="A1612" s="25"/>
      <c r="B1612" s="25"/>
      <c r="C1612" s="25"/>
      <c r="D1612" s="26"/>
      <c r="E1612" s="26"/>
      <c r="F1612" s="26"/>
      <c r="G1612" s="26"/>
      <c r="H1612" s="26"/>
      <c r="I1612" s="25"/>
      <c r="J1612" s="25"/>
      <c r="K1612" s="25"/>
      <c r="L1612" s="25"/>
      <c r="M1612" s="25"/>
      <c r="N1612" s="25"/>
      <c r="O1612" s="25"/>
      <c r="P1612" s="25"/>
    </row>
    <row r="1613" spans="1:16" x14ac:dyDescent="0.3">
      <c r="A1613" s="25"/>
      <c r="B1613" s="25"/>
      <c r="C1613" s="25"/>
      <c r="D1613" s="26"/>
      <c r="E1613" s="26"/>
      <c r="F1613" s="26"/>
      <c r="G1613" s="26"/>
      <c r="H1613" s="26"/>
      <c r="I1613" s="25"/>
      <c r="J1613" s="25"/>
      <c r="K1613" s="25"/>
      <c r="L1613" s="25"/>
      <c r="M1613" s="25"/>
      <c r="N1613" s="25"/>
      <c r="O1613" s="25"/>
      <c r="P1613" s="25"/>
    </row>
    <row r="1614" spans="1:16" x14ac:dyDescent="0.3">
      <c r="A1614" s="25"/>
      <c r="B1614" s="25"/>
      <c r="C1614" s="25"/>
      <c r="D1614" s="26"/>
      <c r="E1614" s="26"/>
      <c r="F1614" s="26"/>
      <c r="G1614" s="26"/>
      <c r="H1614" s="26"/>
      <c r="I1614" s="25"/>
      <c r="J1614" s="25"/>
      <c r="K1614" s="25"/>
      <c r="L1614" s="25"/>
      <c r="M1614" s="25"/>
      <c r="N1614" s="25"/>
      <c r="O1614" s="25"/>
      <c r="P1614" s="25"/>
    </row>
    <row r="1615" spans="1:16" x14ac:dyDescent="0.3">
      <c r="A1615" s="25"/>
      <c r="B1615" s="25"/>
      <c r="C1615" s="25"/>
      <c r="D1615" s="26"/>
      <c r="E1615" s="26"/>
      <c r="F1615" s="26"/>
      <c r="G1615" s="26"/>
      <c r="H1615" s="26"/>
      <c r="I1615" s="25"/>
      <c r="J1615" s="25"/>
      <c r="K1615" s="25"/>
      <c r="L1615" s="25"/>
      <c r="M1615" s="25"/>
      <c r="N1615" s="25"/>
      <c r="O1615" s="25"/>
      <c r="P1615" s="25"/>
    </row>
    <row r="1616" spans="1:16" x14ac:dyDescent="0.3">
      <c r="A1616" s="25"/>
      <c r="B1616" s="25"/>
      <c r="C1616" s="25"/>
      <c r="D1616" s="26"/>
      <c r="E1616" s="26"/>
      <c r="F1616" s="26"/>
      <c r="G1616" s="26"/>
      <c r="H1616" s="26"/>
      <c r="I1616" s="25"/>
      <c r="J1616" s="25"/>
      <c r="K1616" s="25"/>
      <c r="L1616" s="25"/>
      <c r="M1616" s="25"/>
      <c r="N1616" s="25"/>
      <c r="O1616" s="25"/>
      <c r="P1616" s="25"/>
    </row>
    <row r="1617" spans="1:16" x14ac:dyDescent="0.3">
      <c r="A1617" s="25"/>
      <c r="B1617" s="25"/>
      <c r="C1617" s="25"/>
      <c r="D1617" s="26"/>
      <c r="E1617" s="26"/>
      <c r="F1617" s="26"/>
      <c r="G1617" s="26"/>
      <c r="H1617" s="26"/>
      <c r="I1617" s="25"/>
      <c r="J1617" s="25"/>
      <c r="K1617" s="25"/>
      <c r="L1617" s="25"/>
      <c r="M1617" s="25"/>
      <c r="N1617" s="25"/>
      <c r="O1617" s="25"/>
      <c r="P1617" s="25"/>
    </row>
    <row r="1618" spans="1:16" x14ac:dyDescent="0.3">
      <c r="A1618" s="25"/>
      <c r="B1618" s="25"/>
      <c r="C1618" s="25"/>
      <c r="D1618" s="26"/>
      <c r="E1618" s="26"/>
      <c r="F1618" s="26"/>
      <c r="G1618" s="26"/>
      <c r="H1618" s="26"/>
      <c r="I1618" s="25"/>
      <c r="J1618" s="25"/>
      <c r="K1618" s="25"/>
      <c r="L1618" s="25"/>
      <c r="M1618" s="25"/>
      <c r="N1618" s="25"/>
      <c r="O1618" s="25"/>
      <c r="P1618" s="25"/>
    </row>
    <row r="1619" spans="1:16" x14ac:dyDescent="0.3">
      <c r="A1619" s="25"/>
      <c r="B1619" s="25"/>
      <c r="C1619" s="25"/>
      <c r="D1619" s="26"/>
      <c r="E1619" s="26"/>
      <c r="F1619" s="26"/>
      <c r="G1619" s="26"/>
      <c r="H1619" s="26"/>
      <c r="I1619" s="25"/>
      <c r="J1619" s="25"/>
      <c r="K1619" s="25"/>
      <c r="L1619" s="25"/>
      <c r="M1619" s="25"/>
      <c r="N1619" s="25"/>
      <c r="O1619" s="25"/>
      <c r="P1619" s="25"/>
    </row>
    <row r="1620" spans="1:16" x14ac:dyDescent="0.3">
      <c r="A1620" s="25"/>
      <c r="B1620" s="25"/>
      <c r="C1620" s="25"/>
      <c r="D1620" s="26"/>
      <c r="E1620" s="26"/>
      <c r="F1620" s="26"/>
      <c r="G1620" s="26"/>
      <c r="H1620" s="26"/>
      <c r="I1620" s="25"/>
      <c r="J1620" s="25"/>
      <c r="K1620" s="25"/>
      <c r="L1620" s="25"/>
      <c r="M1620" s="25"/>
      <c r="N1620" s="25"/>
      <c r="O1620" s="25"/>
      <c r="P1620" s="25"/>
    </row>
    <row r="1621" spans="1:16" x14ac:dyDescent="0.3">
      <c r="A1621" s="25"/>
      <c r="B1621" s="25"/>
      <c r="C1621" s="25"/>
      <c r="D1621" s="26"/>
      <c r="E1621" s="26"/>
      <c r="F1621" s="26"/>
      <c r="G1621" s="26"/>
      <c r="H1621" s="26"/>
      <c r="I1621" s="25"/>
      <c r="J1621" s="25"/>
      <c r="K1621" s="25"/>
      <c r="L1621" s="25"/>
      <c r="M1621" s="25"/>
      <c r="N1621" s="25"/>
      <c r="O1621" s="25"/>
      <c r="P1621" s="25"/>
    </row>
    <row r="1622" spans="1:16" x14ac:dyDescent="0.3">
      <c r="A1622" s="25"/>
      <c r="B1622" s="25"/>
      <c r="C1622" s="25"/>
      <c r="D1622" s="26"/>
      <c r="E1622" s="26"/>
      <c r="F1622" s="26"/>
      <c r="G1622" s="26"/>
      <c r="H1622" s="26"/>
      <c r="I1622" s="25"/>
      <c r="J1622" s="25"/>
      <c r="K1622" s="25"/>
      <c r="L1622" s="25"/>
      <c r="M1622" s="25"/>
      <c r="N1622" s="25"/>
      <c r="O1622" s="25"/>
      <c r="P1622" s="25"/>
    </row>
    <row r="1623" spans="1:16" x14ac:dyDescent="0.3">
      <c r="A1623" s="25"/>
      <c r="B1623" s="25"/>
      <c r="C1623" s="25"/>
      <c r="D1623" s="26"/>
      <c r="E1623" s="26"/>
      <c r="F1623" s="26"/>
      <c r="G1623" s="26"/>
      <c r="H1623" s="26"/>
      <c r="I1623" s="25"/>
      <c r="J1623" s="25"/>
      <c r="K1623" s="25"/>
      <c r="L1623" s="25"/>
      <c r="M1623" s="25"/>
      <c r="N1623" s="25"/>
      <c r="O1623" s="25"/>
      <c r="P1623" s="25"/>
    </row>
    <row r="1624" spans="1:16" x14ac:dyDescent="0.3">
      <c r="A1624" s="25"/>
      <c r="B1624" s="25"/>
      <c r="C1624" s="25"/>
      <c r="D1624" s="26"/>
      <c r="E1624" s="26"/>
      <c r="F1624" s="26"/>
      <c r="G1624" s="26"/>
      <c r="H1624" s="26"/>
      <c r="I1624" s="25"/>
      <c r="J1624" s="25"/>
      <c r="K1624" s="25"/>
      <c r="L1624" s="25"/>
      <c r="M1624" s="25"/>
      <c r="N1624" s="25"/>
      <c r="O1624" s="25"/>
      <c r="P1624" s="25"/>
    </row>
    <row r="1625" spans="1:16" x14ac:dyDescent="0.3">
      <c r="A1625" s="25"/>
      <c r="B1625" s="25"/>
      <c r="C1625" s="25"/>
      <c r="D1625" s="26"/>
      <c r="E1625" s="26"/>
      <c r="F1625" s="26"/>
      <c r="G1625" s="26"/>
      <c r="H1625" s="26"/>
      <c r="I1625" s="25"/>
      <c r="J1625" s="25"/>
      <c r="K1625" s="25"/>
      <c r="L1625" s="25"/>
      <c r="M1625" s="25"/>
      <c r="N1625" s="25"/>
      <c r="O1625" s="25"/>
      <c r="P1625" s="25"/>
    </row>
    <row r="1626" spans="1:16" x14ac:dyDescent="0.3">
      <c r="A1626" s="25"/>
      <c r="B1626" s="25"/>
      <c r="C1626" s="25"/>
      <c r="D1626" s="26"/>
      <c r="E1626" s="26"/>
      <c r="F1626" s="26"/>
      <c r="G1626" s="26"/>
      <c r="H1626" s="26"/>
      <c r="I1626" s="25"/>
      <c r="J1626" s="25"/>
      <c r="K1626" s="25"/>
      <c r="L1626" s="25"/>
      <c r="M1626" s="25"/>
      <c r="N1626" s="25"/>
      <c r="O1626" s="25"/>
      <c r="P1626" s="25"/>
    </row>
    <row r="1627" spans="1:16" x14ac:dyDescent="0.3">
      <c r="A1627" s="25"/>
      <c r="B1627" s="25"/>
      <c r="C1627" s="25"/>
      <c r="D1627" s="26"/>
      <c r="E1627" s="26"/>
      <c r="F1627" s="26"/>
      <c r="G1627" s="26"/>
      <c r="H1627" s="26"/>
      <c r="I1627" s="25"/>
      <c r="J1627" s="25"/>
      <c r="K1627" s="25"/>
      <c r="L1627" s="25"/>
      <c r="M1627" s="25"/>
      <c r="N1627" s="25"/>
      <c r="O1627" s="25"/>
      <c r="P1627" s="25"/>
    </row>
    <row r="1628" spans="1:16" x14ac:dyDescent="0.3">
      <c r="A1628" s="25"/>
      <c r="B1628" s="25"/>
      <c r="C1628" s="25"/>
      <c r="D1628" s="26"/>
      <c r="E1628" s="26"/>
      <c r="F1628" s="26"/>
      <c r="G1628" s="26"/>
      <c r="H1628" s="26"/>
      <c r="I1628" s="25"/>
      <c r="J1628" s="25"/>
      <c r="K1628" s="25"/>
      <c r="L1628" s="25"/>
      <c r="M1628" s="25"/>
      <c r="N1628" s="25"/>
      <c r="O1628" s="25"/>
      <c r="P1628" s="25"/>
    </row>
    <row r="1629" spans="1:16" x14ac:dyDescent="0.3">
      <c r="A1629" s="25"/>
      <c r="B1629" s="25"/>
      <c r="C1629" s="25"/>
      <c r="D1629" s="26"/>
      <c r="E1629" s="26"/>
      <c r="F1629" s="26"/>
      <c r="G1629" s="26"/>
      <c r="H1629" s="26"/>
      <c r="I1629" s="25"/>
      <c r="J1629" s="25"/>
      <c r="K1629" s="25"/>
      <c r="L1629" s="25"/>
      <c r="M1629" s="25"/>
      <c r="N1629" s="25"/>
      <c r="O1629" s="25"/>
      <c r="P1629" s="25"/>
    </row>
    <row r="1630" spans="1:16" x14ac:dyDescent="0.3">
      <c r="A1630" s="25"/>
      <c r="B1630" s="25"/>
      <c r="C1630" s="25"/>
      <c r="D1630" s="26"/>
      <c r="E1630" s="26"/>
      <c r="F1630" s="26"/>
      <c r="G1630" s="26"/>
      <c r="H1630" s="26"/>
      <c r="I1630" s="25"/>
      <c r="J1630" s="25"/>
      <c r="K1630" s="25"/>
      <c r="L1630" s="25"/>
      <c r="M1630" s="25"/>
      <c r="N1630" s="25"/>
      <c r="O1630" s="25"/>
      <c r="P1630" s="25"/>
    </row>
    <row r="1631" spans="1:16" x14ac:dyDescent="0.3">
      <c r="A1631" s="25"/>
      <c r="B1631" s="25"/>
      <c r="C1631" s="25"/>
      <c r="D1631" s="26"/>
      <c r="E1631" s="26"/>
      <c r="F1631" s="26"/>
      <c r="G1631" s="26"/>
      <c r="H1631" s="26"/>
      <c r="I1631" s="25"/>
      <c r="J1631" s="25"/>
      <c r="K1631" s="25"/>
      <c r="L1631" s="25"/>
      <c r="M1631" s="25"/>
      <c r="N1631" s="25"/>
      <c r="O1631" s="25"/>
      <c r="P1631" s="25"/>
    </row>
    <row r="1632" spans="1:16" x14ac:dyDescent="0.3">
      <c r="A1632" s="25"/>
      <c r="B1632" s="25"/>
      <c r="C1632" s="25"/>
      <c r="D1632" s="26"/>
      <c r="E1632" s="26"/>
      <c r="F1632" s="26"/>
      <c r="G1632" s="26"/>
      <c r="H1632" s="26"/>
      <c r="I1632" s="25"/>
      <c r="J1632" s="25"/>
      <c r="K1632" s="25"/>
      <c r="L1632" s="25"/>
      <c r="M1632" s="25"/>
      <c r="N1632" s="25"/>
      <c r="O1632" s="25"/>
      <c r="P1632" s="25"/>
    </row>
    <row r="1633" spans="1:16" x14ac:dyDescent="0.3">
      <c r="A1633" s="25"/>
      <c r="B1633" s="25"/>
      <c r="C1633" s="25"/>
      <c r="D1633" s="26"/>
      <c r="E1633" s="26"/>
      <c r="F1633" s="26"/>
      <c r="G1633" s="26"/>
      <c r="H1633" s="26"/>
      <c r="I1633" s="25"/>
      <c r="J1633" s="25"/>
      <c r="K1633" s="25"/>
      <c r="L1633" s="25"/>
      <c r="M1633" s="25"/>
      <c r="N1633" s="25"/>
      <c r="O1633" s="25"/>
      <c r="P1633" s="25"/>
    </row>
    <row r="1634" spans="1:16" x14ac:dyDescent="0.3">
      <c r="A1634" s="25"/>
      <c r="B1634" s="25"/>
      <c r="C1634" s="25"/>
      <c r="D1634" s="26"/>
      <c r="E1634" s="26"/>
      <c r="F1634" s="26"/>
      <c r="G1634" s="26"/>
      <c r="H1634" s="26"/>
      <c r="I1634" s="25"/>
      <c r="J1634" s="25"/>
      <c r="K1634" s="25"/>
      <c r="L1634" s="25"/>
      <c r="M1634" s="25"/>
      <c r="N1634" s="25"/>
      <c r="O1634" s="25"/>
      <c r="P1634" s="25"/>
    </row>
    <row r="1635" spans="1:16" x14ac:dyDescent="0.3">
      <c r="A1635" s="25"/>
      <c r="B1635" s="25"/>
      <c r="C1635" s="25"/>
      <c r="D1635" s="26"/>
      <c r="E1635" s="26"/>
      <c r="F1635" s="26"/>
      <c r="G1635" s="26"/>
      <c r="H1635" s="26"/>
      <c r="I1635" s="25"/>
      <c r="J1635" s="25"/>
      <c r="K1635" s="25"/>
      <c r="L1635" s="25"/>
      <c r="M1635" s="25"/>
      <c r="N1635" s="25"/>
      <c r="O1635" s="25"/>
      <c r="P1635" s="25"/>
    </row>
    <row r="1636" spans="1:16" x14ac:dyDescent="0.3">
      <c r="A1636" s="25"/>
      <c r="B1636" s="25"/>
      <c r="C1636" s="25"/>
      <c r="D1636" s="26"/>
      <c r="E1636" s="26"/>
      <c r="F1636" s="26"/>
      <c r="G1636" s="26"/>
      <c r="H1636" s="26"/>
      <c r="I1636" s="25"/>
      <c r="J1636" s="25"/>
      <c r="K1636" s="25"/>
      <c r="L1636" s="25"/>
      <c r="M1636" s="25"/>
      <c r="N1636" s="25"/>
      <c r="O1636" s="25"/>
      <c r="P1636" s="25"/>
    </row>
    <row r="1637" spans="1:16" x14ac:dyDescent="0.3">
      <c r="A1637" s="25"/>
      <c r="B1637" s="25"/>
      <c r="C1637" s="25"/>
      <c r="D1637" s="26"/>
      <c r="E1637" s="26"/>
      <c r="F1637" s="26"/>
      <c r="G1637" s="26"/>
      <c r="H1637" s="26"/>
      <c r="I1637" s="25"/>
      <c r="J1637" s="25"/>
      <c r="K1637" s="25"/>
      <c r="L1637" s="25"/>
      <c r="M1637" s="25"/>
      <c r="N1637" s="25"/>
      <c r="O1637" s="25"/>
      <c r="P1637" s="25"/>
    </row>
    <row r="1638" spans="1:16" x14ac:dyDescent="0.3">
      <c r="A1638" s="25"/>
      <c r="B1638" s="25"/>
      <c r="C1638" s="25"/>
      <c r="D1638" s="26"/>
      <c r="E1638" s="26"/>
      <c r="F1638" s="26"/>
      <c r="G1638" s="26"/>
      <c r="H1638" s="26"/>
      <c r="I1638" s="25"/>
      <c r="J1638" s="25"/>
      <c r="K1638" s="25"/>
      <c r="L1638" s="25"/>
      <c r="M1638" s="25"/>
      <c r="N1638" s="25"/>
      <c r="O1638" s="25"/>
      <c r="P1638" s="25"/>
    </row>
    <row r="1639" spans="1:16" x14ac:dyDescent="0.3">
      <c r="A1639" s="25"/>
      <c r="B1639" s="25"/>
      <c r="C1639" s="25"/>
      <c r="D1639" s="26"/>
      <c r="E1639" s="26"/>
      <c r="F1639" s="26"/>
      <c r="G1639" s="26"/>
      <c r="H1639" s="26"/>
      <c r="I1639" s="25"/>
      <c r="J1639" s="25"/>
      <c r="K1639" s="25"/>
      <c r="L1639" s="25"/>
      <c r="M1639" s="25"/>
      <c r="N1639" s="25"/>
      <c r="O1639" s="25"/>
      <c r="P1639" s="25"/>
    </row>
    <row r="1640" spans="1:16" x14ac:dyDescent="0.3">
      <c r="A1640" s="25"/>
      <c r="B1640" s="25"/>
      <c r="C1640" s="25"/>
      <c r="D1640" s="26"/>
      <c r="E1640" s="26"/>
      <c r="F1640" s="26"/>
      <c r="G1640" s="26"/>
      <c r="H1640" s="26"/>
      <c r="I1640" s="25"/>
      <c r="J1640" s="25"/>
      <c r="K1640" s="25"/>
      <c r="L1640" s="25"/>
      <c r="M1640" s="25"/>
      <c r="N1640" s="25"/>
      <c r="O1640" s="25"/>
      <c r="P1640" s="25"/>
    </row>
    <row r="1641" spans="1:16" x14ac:dyDescent="0.3">
      <c r="A1641" s="25"/>
      <c r="B1641" s="25"/>
      <c r="C1641" s="25"/>
      <c r="D1641" s="26"/>
      <c r="E1641" s="26"/>
      <c r="F1641" s="26"/>
      <c r="G1641" s="26"/>
      <c r="H1641" s="26"/>
      <c r="I1641" s="25"/>
      <c r="J1641" s="25"/>
      <c r="K1641" s="25"/>
      <c r="L1641" s="25"/>
      <c r="M1641" s="25"/>
      <c r="N1641" s="25"/>
      <c r="O1641" s="25"/>
      <c r="P1641" s="25"/>
    </row>
    <row r="1642" spans="1:16" x14ac:dyDescent="0.3">
      <c r="A1642" s="25"/>
      <c r="B1642" s="25"/>
      <c r="C1642" s="25"/>
      <c r="D1642" s="26"/>
      <c r="E1642" s="26"/>
      <c r="F1642" s="26"/>
      <c r="G1642" s="26"/>
      <c r="H1642" s="26"/>
      <c r="I1642" s="25"/>
      <c r="J1642" s="25"/>
      <c r="K1642" s="25"/>
      <c r="L1642" s="25"/>
      <c r="M1642" s="25"/>
      <c r="N1642" s="25"/>
      <c r="O1642" s="25"/>
      <c r="P1642" s="25"/>
    </row>
    <row r="1643" spans="1:16" x14ac:dyDescent="0.3">
      <c r="A1643" s="25"/>
      <c r="B1643" s="25"/>
      <c r="C1643" s="25"/>
      <c r="D1643" s="26"/>
      <c r="E1643" s="26"/>
      <c r="F1643" s="26"/>
      <c r="G1643" s="26"/>
      <c r="H1643" s="26"/>
      <c r="I1643" s="25"/>
      <c r="J1643" s="25"/>
      <c r="K1643" s="25"/>
      <c r="L1643" s="25"/>
      <c r="M1643" s="25"/>
      <c r="N1643" s="25"/>
      <c r="O1643" s="25"/>
      <c r="P1643" s="25"/>
    </row>
    <row r="1644" spans="1:16" x14ac:dyDescent="0.3">
      <c r="A1644" s="25"/>
      <c r="B1644" s="25"/>
      <c r="C1644" s="25"/>
      <c r="D1644" s="26"/>
      <c r="E1644" s="26"/>
      <c r="F1644" s="26"/>
      <c r="G1644" s="26"/>
      <c r="H1644" s="26"/>
      <c r="I1644" s="25"/>
      <c r="J1644" s="25"/>
      <c r="K1644" s="25"/>
      <c r="L1644" s="25"/>
      <c r="M1644" s="25"/>
      <c r="N1644" s="25"/>
      <c r="O1644" s="25"/>
      <c r="P1644" s="25"/>
    </row>
    <row r="1645" spans="1:16" x14ac:dyDescent="0.3">
      <c r="A1645" s="25"/>
      <c r="B1645" s="25"/>
      <c r="C1645" s="25"/>
      <c r="D1645" s="26"/>
      <c r="E1645" s="26"/>
      <c r="F1645" s="26"/>
      <c r="G1645" s="26"/>
      <c r="H1645" s="26"/>
      <c r="I1645" s="25"/>
      <c r="J1645" s="25"/>
      <c r="K1645" s="25"/>
      <c r="L1645" s="25"/>
      <c r="M1645" s="25"/>
      <c r="N1645" s="25"/>
      <c r="O1645" s="25"/>
      <c r="P1645" s="25"/>
    </row>
    <row r="1646" spans="1:16" x14ac:dyDescent="0.3">
      <c r="A1646" s="25"/>
      <c r="B1646" s="25"/>
      <c r="C1646" s="25"/>
      <c r="D1646" s="26"/>
      <c r="E1646" s="26"/>
      <c r="F1646" s="26"/>
      <c r="G1646" s="26"/>
      <c r="H1646" s="26"/>
      <c r="I1646" s="25"/>
      <c r="J1646" s="25"/>
      <c r="K1646" s="25"/>
      <c r="L1646" s="25"/>
      <c r="M1646" s="25"/>
      <c r="N1646" s="25"/>
      <c r="O1646" s="25"/>
      <c r="P1646" s="25"/>
    </row>
    <row r="1647" spans="1:16" x14ac:dyDescent="0.3">
      <c r="A1647" s="25"/>
      <c r="B1647" s="25"/>
      <c r="C1647" s="25"/>
      <c r="D1647" s="26"/>
      <c r="E1647" s="26"/>
      <c r="F1647" s="26"/>
      <c r="G1647" s="26"/>
      <c r="H1647" s="26"/>
      <c r="I1647" s="25"/>
      <c r="J1647" s="25"/>
      <c r="K1647" s="25"/>
      <c r="L1647" s="25"/>
      <c r="M1647" s="25"/>
      <c r="N1647" s="25"/>
      <c r="O1647" s="25"/>
      <c r="P1647" s="25"/>
    </row>
    <row r="1648" spans="1:16" x14ac:dyDescent="0.3">
      <c r="A1648" s="25"/>
      <c r="B1648" s="25"/>
      <c r="C1648" s="25"/>
      <c r="D1648" s="26"/>
      <c r="E1648" s="26"/>
      <c r="F1648" s="26"/>
      <c r="G1648" s="26"/>
      <c r="H1648" s="26"/>
      <c r="I1648" s="25"/>
      <c r="J1648" s="25"/>
      <c r="K1648" s="25"/>
      <c r="L1648" s="25"/>
      <c r="M1648" s="25"/>
      <c r="N1648" s="25"/>
      <c r="O1648" s="25"/>
      <c r="P1648" s="25"/>
    </row>
    <row r="1649" spans="1:16" x14ac:dyDescent="0.3">
      <c r="A1649" s="25"/>
      <c r="B1649" s="25"/>
      <c r="C1649" s="25"/>
      <c r="D1649" s="26"/>
      <c r="E1649" s="26"/>
      <c r="F1649" s="26"/>
      <c r="G1649" s="26"/>
      <c r="H1649" s="26"/>
      <c r="I1649" s="25"/>
      <c r="J1649" s="25"/>
      <c r="K1649" s="25"/>
      <c r="L1649" s="25"/>
      <c r="M1649" s="25"/>
      <c r="N1649" s="25"/>
      <c r="O1649" s="25"/>
      <c r="P1649" s="25"/>
    </row>
    <row r="1650" spans="1:16" x14ac:dyDescent="0.3">
      <c r="A1650" s="25"/>
      <c r="B1650" s="25"/>
      <c r="C1650" s="25"/>
      <c r="D1650" s="26"/>
      <c r="E1650" s="26"/>
      <c r="F1650" s="26"/>
      <c r="G1650" s="26"/>
      <c r="H1650" s="26"/>
      <c r="I1650" s="25"/>
      <c r="J1650" s="25"/>
      <c r="K1650" s="25"/>
      <c r="L1650" s="25"/>
      <c r="M1650" s="25"/>
      <c r="N1650" s="25"/>
      <c r="O1650" s="25"/>
      <c r="P1650" s="25"/>
    </row>
    <row r="1651" spans="1:16" x14ac:dyDescent="0.3">
      <c r="A1651" s="25"/>
      <c r="B1651" s="25"/>
      <c r="C1651" s="25"/>
      <c r="D1651" s="26"/>
      <c r="E1651" s="26"/>
      <c r="F1651" s="26"/>
      <c r="G1651" s="26"/>
      <c r="H1651" s="26"/>
      <c r="I1651" s="25"/>
      <c r="J1651" s="25"/>
      <c r="K1651" s="25"/>
      <c r="L1651" s="25"/>
      <c r="M1651" s="25"/>
      <c r="N1651" s="25"/>
      <c r="O1651" s="25"/>
      <c r="P1651" s="25"/>
    </row>
    <row r="1652" spans="1:16" x14ac:dyDescent="0.3">
      <c r="A1652" s="25"/>
      <c r="B1652" s="25"/>
      <c r="C1652" s="25"/>
      <c r="D1652" s="26"/>
      <c r="E1652" s="26"/>
      <c r="F1652" s="26"/>
      <c r="G1652" s="26"/>
      <c r="H1652" s="26"/>
      <c r="I1652" s="25"/>
      <c r="J1652" s="25"/>
      <c r="K1652" s="25"/>
      <c r="L1652" s="25"/>
      <c r="M1652" s="25"/>
      <c r="N1652" s="25"/>
      <c r="O1652" s="25"/>
      <c r="P1652" s="25"/>
    </row>
    <row r="1653" spans="1:16" x14ac:dyDescent="0.3">
      <c r="A1653" s="25"/>
      <c r="B1653" s="25"/>
      <c r="C1653" s="25"/>
      <c r="D1653" s="26"/>
      <c r="E1653" s="26"/>
      <c r="F1653" s="26"/>
      <c r="G1653" s="26"/>
      <c r="H1653" s="26"/>
      <c r="I1653" s="25"/>
      <c r="J1653" s="25"/>
      <c r="K1653" s="25"/>
      <c r="L1653" s="25"/>
      <c r="M1653" s="25"/>
      <c r="N1653" s="25"/>
      <c r="O1653" s="25"/>
      <c r="P1653" s="25"/>
    </row>
    <row r="1654" spans="1:16" x14ac:dyDescent="0.3">
      <c r="A1654" s="25"/>
      <c r="B1654" s="25"/>
      <c r="C1654" s="25"/>
      <c r="D1654" s="26"/>
      <c r="E1654" s="26"/>
      <c r="F1654" s="26"/>
      <c r="G1654" s="26"/>
      <c r="H1654" s="26"/>
      <c r="I1654" s="25"/>
      <c r="J1654" s="25"/>
      <c r="K1654" s="25"/>
      <c r="L1654" s="25"/>
      <c r="M1654" s="25"/>
      <c r="N1654" s="25"/>
      <c r="O1654" s="25"/>
      <c r="P1654" s="25"/>
    </row>
    <row r="1655" spans="1:16" x14ac:dyDescent="0.3">
      <c r="A1655" s="25"/>
      <c r="B1655" s="25"/>
      <c r="C1655" s="25"/>
      <c r="D1655" s="26"/>
      <c r="E1655" s="26"/>
      <c r="F1655" s="26"/>
      <c r="G1655" s="26"/>
      <c r="H1655" s="26"/>
      <c r="I1655" s="25"/>
      <c r="J1655" s="25"/>
      <c r="K1655" s="25"/>
      <c r="L1655" s="25"/>
      <c r="M1655" s="25"/>
      <c r="N1655" s="25"/>
      <c r="O1655" s="25"/>
      <c r="P1655" s="25"/>
    </row>
    <row r="1656" spans="1:16" x14ac:dyDescent="0.3">
      <c r="A1656" s="25"/>
      <c r="B1656" s="25"/>
      <c r="C1656" s="25"/>
      <c r="D1656" s="26"/>
      <c r="E1656" s="26"/>
      <c r="F1656" s="26"/>
      <c r="G1656" s="26"/>
      <c r="H1656" s="26"/>
      <c r="I1656" s="25"/>
      <c r="J1656" s="25"/>
      <c r="K1656" s="25"/>
      <c r="L1656" s="25"/>
      <c r="M1656" s="25"/>
      <c r="N1656" s="25"/>
      <c r="O1656" s="25"/>
      <c r="P1656" s="25"/>
    </row>
    <row r="1657" spans="1:16" x14ac:dyDescent="0.3">
      <c r="A1657" s="25"/>
      <c r="B1657" s="25"/>
      <c r="C1657" s="25"/>
      <c r="D1657" s="26"/>
      <c r="E1657" s="26"/>
      <c r="F1657" s="26"/>
      <c r="G1657" s="26"/>
      <c r="H1657" s="26"/>
      <c r="I1657" s="25"/>
      <c r="J1657" s="25"/>
      <c r="K1657" s="25"/>
      <c r="L1657" s="25"/>
      <c r="M1657" s="25"/>
      <c r="N1657" s="25"/>
      <c r="O1657" s="25"/>
      <c r="P1657" s="25"/>
    </row>
    <row r="1658" spans="1:16" x14ac:dyDescent="0.3">
      <c r="A1658" s="25"/>
      <c r="B1658" s="25"/>
      <c r="C1658" s="25"/>
      <c r="D1658" s="26"/>
      <c r="E1658" s="26"/>
      <c r="F1658" s="26"/>
      <c r="G1658" s="26"/>
      <c r="H1658" s="26"/>
      <c r="I1658" s="25"/>
      <c r="J1658" s="25"/>
      <c r="K1658" s="25"/>
      <c r="L1658" s="25"/>
      <c r="M1658" s="25"/>
      <c r="N1658" s="25"/>
      <c r="O1658" s="25"/>
      <c r="P1658" s="25"/>
    </row>
    <row r="1659" spans="1:16" x14ac:dyDescent="0.3">
      <c r="A1659" s="25"/>
      <c r="B1659" s="25"/>
      <c r="C1659" s="25"/>
      <c r="D1659" s="26"/>
      <c r="E1659" s="26"/>
      <c r="F1659" s="26"/>
      <c r="G1659" s="26"/>
      <c r="H1659" s="26"/>
      <c r="I1659" s="25"/>
      <c r="J1659" s="25"/>
      <c r="K1659" s="25"/>
      <c r="L1659" s="25"/>
      <c r="M1659" s="25"/>
      <c r="N1659" s="25"/>
      <c r="O1659" s="25"/>
      <c r="P1659" s="25"/>
    </row>
    <row r="1660" spans="1:16" x14ac:dyDescent="0.3">
      <c r="A1660" s="25"/>
      <c r="B1660" s="25"/>
      <c r="C1660" s="25"/>
      <c r="D1660" s="26"/>
      <c r="E1660" s="26"/>
      <c r="F1660" s="26"/>
      <c r="G1660" s="26"/>
      <c r="H1660" s="26"/>
      <c r="I1660" s="25"/>
      <c r="J1660" s="25"/>
      <c r="K1660" s="25"/>
      <c r="L1660" s="25"/>
      <c r="M1660" s="25"/>
      <c r="N1660" s="25"/>
      <c r="O1660" s="25"/>
      <c r="P1660" s="25"/>
    </row>
    <row r="1661" spans="1:16" x14ac:dyDescent="0.3">
      <c r="A1661" s="25"/>
      <c r="B1661" s="25"/>
      <c r="C1661" s="25"/>
      <c r="D1661" s="26"/>
      <c r="E1661" s="26"/>
      <c r="F1661" s="26"/>
      <c r="G1661" s="26"/>
      <c r="H1661" s="26"/>
      <c r="I1661" s="25"/>
      <c r="J1661" s="25"/>
      <c r="K1661" s="25"/>
      <c r="L1661" s="25"/>
      <c r="M1661" s="25"/>
      <c r="N1661" s="25"/>
      <c r="O1661" s="25"/>
      <c r="P1661" s="25"/>
    </row>
    <row r="1662" spans="1:16" x14ac:dyDescent="0.3">
      <c r="A1662" s="25"/>
      <c r="B1662" s="25"/>
      <c r="C1662" s="25"/>
      <c r="D1662" s="26"/>
      <c r="E1662" s="26"/>
      <c r="F1662" s="26"/>
      <c r="G1662" s="26"/>
      <c r="H1662" s="26"/>
      <c r="I1662" s="25"/>
      <c r="J1662" s="25"/>
      <c r="K1662" s="25"/>
      <c r="L1662" s="25"/>
      <c r="M1662" s="25"/>
      <c r="N1662" s="25"/>
      <c r="O1662" s="25"/>
      <c r="P1662" s="25"/>
    </row>
    <row r="1663" spans="1:16" x14ac:dyDescent="0.3">
      <c r="A1663" s="25"/>
      <c r="B1663" s="25"/>
      <c r="C1663" s="25"/>
      <c r="D1663" s="26"/>
      <c r="E1663" s="26"/>
      <c r="F1663" s="26"/>
      <c r="G1663" s="26"/>
      <c r="H1663" s="26"/>
      <c r="I1663" s="25"/>
      <c r="J1663" s="25"/>
      <c r="K1663" s="25"/>
      <c r="L1663" s="25"/>
      <c r="M1663" s="25"/>
      <c r="N1663" s="25"/>
      <c r="O1663" s="25"/>
      <c r="P1663" s="25"/>
    </row>
    <row r="1664" spans="1:16" x14ac:dyDescent="0.3">
      <c r="A1664" s="25"/>
      <c r="B1664" s="25"/>
      <c r="C1664" s="25"/>
      <c r="D1664" s="26"/>
      <c r="E1664" s="26"/>
      <c r="F1664" s="26"/>
      <c r="G1664" s="26"/>
      <c r="H1664" s="26"/>
      <c r="I1664" s="25"/>
      <c r="J1664" s="25"/>
      <c r="K1664" s="25"/>
      <c r="L1664" s="25"/>
      <c r="M1664" s="25"/>
      <c r="N1664" s="25"/>
      <c r="O1664" s="25"/>
      <c r="P1664" s="25"/>
    </row>
    <row r="1665" spans="1:16" x14ac:dyDescent="0.3">
      <c r="A1665" s="25"/>
      <c r="B1665" s="25"/>
      <c r="C1665" s="25"/>
      <c r="D1665" s="26"/>
      <c r="E1665" s="26"/>
      <c r="F1665" s="26"/>
      <c r="G1665" s="26"/>
      <c r="H1665" s="26"/>
      <c r="I1665" s="25"/>
      <c r="J1665" s="25"/>
      <c r="K1665" s="25"/>
      <c r="L1665" s="25"/>
      <c r="M1665" s="25"/>
      <c r="N1665" s="25"/>
      <c r="O1665" s="25"/>
      <c r="P1665" s="25"/>
    </row>
    <row r="1666" spans="1:16" x14ac:dyDescent="0.3">
      <c r="A1666" s="25"/>
      <c r="B1666" s="25"/>
      <c r="C1666" s="25"/>
      <c r="D1666" s="26"/>
      <c r="E1666" s="26"/>
      <c r="F1666" s="26"/>
      <c r="G1666" s="26"/>
      <c r="H1666" s="26"/>
      <c r="I1666" s="25"/>
      <c r="J1666" s="25"/>
      <c r="K1666" s="25"/>
      <c r="L1666" s="25"/>
      <c r="M1666" s="25"/>
      <c r="N1666" s="25"/>
      <c r="O1666" s="25"/>
      <c r="P1666" s="25"/>
    </row>
    <row r="1667" spans="1:16" x14ac:dyDescent="0.3">
      <c r="A1667" s="25"/>
      <c r="B1667" s="25"/>
      <c r="C1667" s="25"/>
      <c r="D1667" s="26"/>
      <c r="E1667" s="26"/>
      <c r="F1667" s="26"/>
      <c r="G1667" s="26"/>
      <c r="H1667" s="26"/>
      <c r="I1667" s="25"/>
      <c r="J1667" s="25"/>
      <c r="K1667" s="25"/>
      <c r="L1667" s="25"/>
      <c r="M1667" s="25"/>
      <c r="N1667" s="25"/>
      <c r="O1667" s="25"/>
      <c r="P1667" s="25"/>
    </row>
    <row r="1668" spans="1:16" x14ac:dyDescent="0.3">
      <c r="A1668" s="25"/>
      <c r="B1668" s="25"/>
      <c r="C1668" s="25"/>
      <c r="D1668" s="26"/>
      <c r="E1668" s="26"/>
      <c r="F1668" s="26"/>
      <c r="G1668" s="26"/>
      <c r="H1668" s="26"/>
      <c r="I1668" s="25"/>
      <c r="J1668" s="25"/>
      <c r="K1668" s="25"/>
      <c r="L1668" s="25"/>
      <c r="M1668" s="25"/>
      <c r="N1668" s="25"/>
      <c r="O1668" s="25"/>
      <c r="P1668" s="25"/>
    </row>
    <row r="1669" spans="1:16" x14ac:dyDescent="0.3">
      <c r="A1669" s="25"/>
      <c r="B1669" s="25"/>
      <c r="C1669" s="25"/>
      <c r="D1669" s="26"/>
      <c r="E1669" s="26"/>
      <c r="F1669" s="26"/>
      <c r="G1669" s="26"/>
      <c r="H1669" s="26"/>
      <c r="I1669" s="25"/>
      <c r="J1669" s="25"/>
      <c r="K1669" s="25"/>
      <c r="L1669" s="25"/>
      <c r="M1669" s="25"/>
      <c r="N1669" s="25"/>
      <c r="O1669" s="25"/>
      <c r="P1669" s="25"/>
    </row>
    <row r="1670" spans="1:16" x14ac:dyDescent="0.3">
      <c r="A1670" s="25"/>
      <c r="B1670" s="25"/>
      <c r="C1670" s="25"/>
      <c r="D1670" s="26"/>
      <c r="E1670" s="26"/>
      <c r="F1670" s="26"/>
      <c r="G1670" s="26"/>
      <c r="H1670" s="26"/>
      <c r="I1670" s="25"/>
      <c r="J1670" s="25"/>
      <c r="K1670" s="25"/>
      <c r="L1670" s="25"/>
      <c r="M1670" s="25"/>
      <c r="N1670" s="25"/>
      <c r="O1670" s="25"/>
      <c r="P1670" s="25"/>
    </row>
    <row r="1671" spans="1:16" x14ac:dyDescent="0.3">
      <c r="A1671" s="25"/>
      <c r="B1671" s="25"/>
      <c r="C1671" s="25"/>
      <c r="D1671" s="26"/>
      <c r="E1671" s="26"/>
      <c r="F1671" s="26"/>
      <c r="G1671" s="26"/>
      <c r="H1671" s="26"/>
      <c r="I1671" s="25"/>
      <c r="J1671" s="25"/>
      <c r="K1671" s="25"/>
      <c r="L1671" s="25"/>
      <c r="M1671" s="25"/>
      <c r="N1671" s="25"/>
      <c r="O1671" s="25"/>
      <c r="P1671" s="25"/>
    </row>
    <row r="1672" spans="1:16" x14ac:dyDescent="0.3">
      <c r="A1672" s="25"/>
      <c r="B1672" s="25"/>
      <c r="C1672" s="25"/>
      <c r="D1672" s="26"/>
      <c r="E1672" s="26"/>
      <c r="F1672" s="26"/>
      <c r="G1672" s="26"/>
      <c r="H1672" s="26"/>
      <c r="I1672" s="25"/>
      <c r="J1672" s="25"/>
      <c r="K1672" s="25"/>
      <c r="L1672" s="25"/>
      <c r="M1672" s="25"/>
      <c r="N1672" s="25"/>
      <c r="O1672" s="25"/>
      <c r="P1672" s="25"/>
    </row>
    <row r="1673" spans="1:16" x14ac:dyDescent="0.3">
      <c r="A1673" s="25"/>
      <c r="B1673" s="25"/>
      <c r="C1673" s="25"/>
      <c r="D1673" s="26"/>
      <c r="E1673" s="26"/>
      <c r="F1673" s="26"/>
      <c r="G1673" s="26"/>
      <c r="H1673" s="26"/>
      <c r="I1673" s="25"/>
      <c r="J1673" s="25"/>
      <c r="K1673" s="25"/>
      <c r="L1673" s="25"/>
      <c r="M1673" s="25"/>
      <c r="N1673" s="25"/>
      <c r="O1673" s="25"/>
      <c r="P1673" s="25"/>
    </row>
    <row r="1674" spans="1:16" x14ac:dyDescent="0.3">
      <c r="A1674" s="25"/>
      <c r="B1674" s="25"/>
      <c r="C1674" s="25"/>
      <c r="D1674" s="26"/>
      <c r="E1674" s="26"/>
      <c r="F1674" s="26"/>
      <c r="G1674" s="26"/>
      <c r="H1674" s="26"/>
      <c r="I1674" s="25"/>
      <c r="J1674" s="25"/>
      <c r="K1674" s="25"/>
      <c r="L1674" s="25"/>
      <c r="M1674" s="25"/>
      <c r="N1674" s="25"/>
      <c r="O1674" s="25"/>
      <c r="P1674" s="25"/>
    </row>
    <row r="1675" spans="1:16" x14ac:dyDescent="0.3">
      <c r="A1675" s="25"/>
      <c r="B1675" s="25"/>
      <c r="C1675" s="25"/>
      <c r="D1675" s="26"/>
      <c r="E1675" s="26"/>
      <c r="F1675" s="26"/>
      <c r="G1675" s="26"/>
      <c r="H1675" s="26"/>
      <c r="I1675" s="25"/>
      <c r="J1675" s="25"/>
      <c r="K1675" s="25"/>
      <c r="L1675" s="25"/>
      <c r="M1675" s="25"/>
      <c r="N1675" s="25"/>
      <c r="O1675" s="25"/>
      <c r="P1675" s="25"/>
    </row>
    <row r="1676" spans="1:16" x14ac:dyDescent="0.3">
      <c r="A1676" s="25"/>
      <c r="B1676" s="25"/>
      <c r="C1676" s="25"/>
      <c r="D1676" s="26"/>
      <c r="E1676" s="26"/>
      <c r="F1676" s="26"/>
      <c r="G1676" s="26"/>
      <c r="H1676" s="26"/>
      <c r="I1676" s="25"/>
      <c r="J1676" s="25"/>
      <c r="K1676" s="25"/>
      <c r="L1676" s="25"/>
      <c r="M1676" s="25"/>
      <c r="N1676" s="25"/>
      <c r="O1676" s="25"/>
      <c r="P1676" s="25"/>
    </row>
    <row r="1677" spans="1:16" x14ac:dyDescent="0.3">
      <c r="A1677" s="25"/>
      <c r="B1677" s="25"/>
      <c r="C1677" s="25"/>
      <c r="D1677" s="26"/>
      <c r="E1677" s="26"/>
      <c r="F1677" s="26"/>
      <c r="G1677" s="26"/>
      <c r="H1677" s="26"/>
      <c r="I1677" s="25"/>
      <c r="J1677" s="25"/>
      <c r="K1677" s="25"/>
      <c r="L1677" s="25"/>
      <c r="M1677" s="25"/>
      <c r="N1677" s="25"/>
      <c r="O1677" s="25"/>
      <c r="P1677" s="25"/>
    </row>
    <row r="1678" spans="1:16" x14ac:dyDescent="0.3">
      <c r="A1678" s="25"/>
      <c r="B1678" s="25"/>
      <c r="C1678" s="25"/>
      <c r="D1678" s="26"/>
      <c r="E1678" s="26"/>
      <c r="F1678" s="26"/>
      <c r="G1678" s="26"/>
      <c r="H1678" s="26"/>
      <c r="I1678" s="25"/>
      <c r="J1678" s="25"/>
      <c r="K1678" s="25"/>
      <c r="L1678" s="25"/>
      <c r="M1678" s="25"/>
      <c r="N1678" s="25"/>
      <c r="O1678" s="25"/>
      <c r="P1678" s="25"/>
    </row>
    <row r="1679" spans="1:16" x14ac:dyDescent="0.3">
      <c r="A1679" s="25"/>
      <c r="B1679" s="25"/>
      <c r="C1679" s="25"/>
      <c r="D1679" s="26"/>
      <c r="E1679" s="26"/>
      <c r="F1679" s="26"/>
      <c r="G1679" s="26"/>
      <c r="H1679" s="26"/>
      <c r="I1679" s="25"/>
      <c r="J1679" s="25"/>
      <c r="K1679" s="25"/>
      <c r="L1679" s="25"/>
      <c r="M1679" s="25"/>
      <c r="N1679" s="25"/>
      <c r="O1679" s="25"/>
      <c r="P1679" s="25"/>
    </row>
    <row r="1680" spans="1:16" x14ac:dyDescent="0.3">
      <c r="A1680" s="25"/>
      <c r="B1680" s="25"/>
      <c r="C1680" s="25"/>
      <c r="D1680" s="26"/>
      <c r="E1680" s="26"/>
      <c r="F1680" s="26"/>
      <c r="G1680" s="26"/>
      <c r="H1680" s="26"/>
      <c r="I1680" s="25"/>
      <c r="J1680" s="25"/>
      <c r="K1680" s="25"/>
      <c r="L1680" s="25"/>
      <c r="M1680" s="25"/>
      <c r="N1680" s="25"/>
      <c r="O1680" s="25"/>
      <c r="P1680" s="25"/>
    </row>
    <row r="1681" spans="1:16" x14ac:dyDescent="0.3">
      <c r="A1681" s="25"/>
      <c r="B1681" s="25"/>
      <c r="C1681" s="25"/>
      <c r="D1681" s="26"/>
      <c r="E1681" s="26"/>
      <c r="F1681" s="26"/>
      <c r="G1681" s="26"/>
      <c r="H1681" s="26"/>
      <c r="I1681" s="25"/>
      <c r="J1681" s="25"/>
      <c r="K1681" s="25"/>
      <c r="L1681" s="25"/>
      <c r="M1681" s="25"/>
      <c r="N1681" s="25"/>
      <c r="O1681" s="25"/>
      <c r="P1681" s="25"/>
    </row>
    <row r="1682" spans="1:16" x14ac:dyDescent="0.3">
      <c r="A1682" s="25"/>
      <c r="B1682" s="25"/>
      <c r="C1682" s="25"/>
      <c r="D1682" s="26"/>
      <c r="E1682" s="26"/>
      <c r="F1682" s="26"/>
      <c r="G1682" s="26"/>
      <c r="H1682" s="26"/>
      <c r="I1682" s="25"/>
      <c r="J1682" s="25"/>
      <c r="K1682" s="25"/>
      <c r="L1682" s="25"/>
      <c r="M1682" s="25"/>
      <c r="N1682" s="25"/>
      <c r="O1682" s="25"/>
      <c r="P1682" s="25"/>
    </row>
    <row r="1683" spans="1:16" x14ac:dyDescent="0.3">
      <c r="A1683" s="25"/>
      <c r="B1683" s="25"/>
      <c r="C1683" s="25"/>
      <c r="D1683" s="26"/>
      <c r="E1683" s="26"/>
      <c r="F1683" s="26"/>
      <c r="G1683" s="26"/>
      <c r="H1683" s="26"/>
      <c r="I1683" s="25"/>
      <c r="J1683" s="25"/>
      <c r="K1683" s="25"/>
      <c r="L1683" s="25"/>
      <c r="M1683" s="25"/>
      <c r="N1683" s="25"/>
      <c r="O1683" s="25"/>
      <c r="P1683" s="25"/>
    </row>
    <row r="1684" spans="1:16" x14ac:dyDescent="0.3">
      <c r="A1684" s="25"/>
      <c r="B1684" s="25"/>
      <c r="C1684" s="25"/>
      <c r="D1684" s="26"/>
      <c r="E1684" s="26"/>
      <c r="F1684" s="26"/>
      <c r="G1684" s="26"/>
      <c r="H1684" s="26"/>
      <c r="I1684" s="25"/>
      <c r="J1684" s="25"/>
      <c r="K1684" s="25"/>
      <c r="L1684" s="25"/>
      <c r="M1684" s="25"/>
      <c r="N1684" s="25"/>
      <c r="O1684" s="25"/>
      <c r="P1684" s="25"/>
    </row>
    <row r="1685" spans="1:16" x14ac:dyDescent="0.3">
      <c r="A1685" s="25"/>
      <c r="B1685" s="25"/>
      <c r="C1685" s="25"/>
      <c r="D1685" s="26"/>
      <c r="E1685" s="26"/>
      <c r="F1685" s="26"/>
      <c r="G1685" s="26"/>
      <c r="H1685" s="26"/>
      <c r="I1685" s="25"/>
      <c r="J1685" s="25"/>
      <c r="K1685" s="25"/>
      <c r="L1685" s="25"/>
      <c r="M1685" s="25"/>
      <c r="N1685" s="25"/>
      <c r="O1685" s="25"/>
      <c r="P1685" s="25"/>
    </row>
    <row r="1686" spans="1:16" x14ac:dyDescent="0.3">
      <c r="A1686" s="25"/>
      <c r="B1686" s="25"/>
      <c r="C1686" s="25"/>
      <c r="D1686" s="26"/>
      <c r="E1686" s="26"/>
      <c r="F1686" s="26"/>
      <c r="G1686" s="26"/>
      <c r="H1686" s="26"/>
      <c r="I1686" s="25"/>
      <c r="J1686" s="25"/>
      <c r="K1686" s="25"/>
      <c r="L1686" s="25"/>
      <c r="M1686" s="25"/>
      <c r="N1686" s="25"/>
      <c r="O1686" s="25"/>
      <c r="P1686" s="25"/>
    </row>
    <row r="1687" spans="1:16" x14ac:dyDescent="0.3">
      <c r="A1687" s="25"/>
      <c r="B1687" s="25"/>
      <c r="C1687" s="25"/>
      <c r="D1687" s="26"/>
      <c r="E1687" s="26"/>
      <c r="F1687" s="26"/>
      <c r="G1687" s="26"/>
      <c r="H1687" s="26"/>
      <c r="I1687" s="25"/>
      <c r="J1687" s="25"/>
      <c r="K1687" s="25"/>
      <c r="L1687" s="25"/>
      <c r="M1687" s="25"/>
      <c r="N1687" s="25"/>
      <c r="O1687" s="25"/>
      <c r="P1687" s="25"/>
    </row>
    <row r="1688" spans="1:16" x14ac:dyDescent="0.3">
      <c r="A1688" s="25"/>
      <c r="B1688" s="25"/>
      <c r="C1688" s="25"/>
      <c r="D1688" s="26"/>
      <c r="E1688" s="26"/>
      <c r="F1688" s="26"/>
      <c r="G1688" s="26"/>
      <c r="H1688" s="26"/>
      <c r="I1688" s="25"/>
      <c r="J1688" s="25"/>
      <c r="K1688" s="25"/>
      <c r="L1688" s="25"/>
      <c r="M1688" s="25"/>
      <c r="N1688" s="25"/>
      <c r="O1688" s="25"/>
      <c r="P1688" s="25"/>
    </row>
    <row r="1689" spans="1:16" x14ac:dyDescent="0.3">
      <c r="A1689" s="25"/>
      <c r="B1689" s="25"/>
      <c r="C1689" s="25"/>
      <c r="D1689" s="26"/>
      <c r="E1689" s="26"/>
      <c r="F1689" s="26"/>
      <c r="G1689" s="26"/>
      <c r="H1689" s="26"/>
      <c r="I1689" s="25"/>
      <c r="J1689" s="25"/>
      <c r="K1689" s="25"/>
      <c r="L1689" s="25"/>
      <c r="M1689" s="25"/>
      <c r="N1689" s="25"/>
      <c r="O1689" s="25"/>
      <c r="P1689" s="25"/>
    </row>
    <row r="1690" spans="1:16" x14ac:dyDescent="0.3">
      <c r="A1690" s="25"/>
      <c r="B1690" s="25"/>
      <c r="C1690" s="25"/>
      <c r="D1690" s="26"/>
      <c r="E1690" s="26"/>
      <c r="F1690" s="26"/>
      <c r="G1690" s="26"/>
      <c r="H1690" s="26"/>
      <c r="I1690" s="25"/>
      <c r="J1690" s="25"/>
      <c r="K1690" s="25"/>
      <c r="L1690" s="25"/>
      <c r="M1690" s="25"/>
      <c r="N1690" s="25"/>
      <c r="O1690" s="25"/>
      <c r="P1690" s="25"/>
    </row>
    <row r="1691" spans="1:16" x14ac:dyDescent="0.3">
      <c r="A1691" s="25"/>
      <c r="B1691" s="25"/>
      <c r="C1691" s="25"/>
      <c r="D1691" s="26"/>
      <c r="E1691" s="26"/>
      <c r="F1691" s="26"/>
      <c r="G1691" s="26"/>
      <c r="H1691" s="26"/>
      <c r="I1691" s="25"/>
      <c r="J1691" s="25"/>
      <c r="K1691" s="25"/>
      <c r="L1691" s="25"/>
      <c r="M1691" s="25"/>
      <c r="N1691" s="25"/>
      <c r="O1691" s="25"/>
      <c r="P1691" s="25"/>
    </row>
    <row r="1692" spans="1:16" x14ac:dyDescent="0.3">
      <c r="A1692" s="25"/>
      <c r="B1692" s="25"/>
      <c r="C1692" s="25"/>
      <c r="D1692" s="26"/>
      <c r="E1692" s="26"/>
      <c r="F1692" s="26"/>
      <c r="G1692" s="26"/>
      <c r="H1692" s="26"/>
      <c r="I1692" s="25"/>
      <c r="J1692" s="25"/>
      <c r="K1692" s="25"/>
      <c r="L1692" s="25"/>
      <c r="M1692" s="25"/>
      <c r="N1692" s="25"/>
      <c r="O1692" s="25"/>
      <c r="P1692" s="25"/>
    </row>
    <row r="1693" spans="1:16" x14ac:dyDescent="0.3">
      <c r="A1693" s="25"/>
      <c r="B1693" s="25"/>
      <c r="C1693" s="25"/>
      <c r="D1693" s="26"/>
      <c r="E1693" s="26"/>
      <c r="F1693" s="26"/>
      <c r="G1693" s="26"/>
      <c r="H1693" s="26"/>
      <c r="I1693" s="25"/>
      <c r="J1693" s="25"/>
      <c r="K1693" s="25"/>
      <c r="L1693" s="25"/>
      <c r="M1693" s="25"/>
      <c r="N1693" s="25"/>
      <c r="O1693" s="25"/>
      <c r="P1693" s="25"/>
    </row>
    <row r="1694" spans="1:16" x14ac:dyDescent="0.3">
      <c r="A1694" s="25"/>
      <c r="B1694" s="25"/>
      <c r="C1694" s="25"/>
      <c r="D1694" s="26"/>
      <c r="E1694" s="26"/>
      <c r="F1694" s="26"/>
      <c r="G1694" s="26"/>
      <c r="H1694" s="26"/>
      <c r="I1694" s="25"/>
      <c r="J1694" s="25"/>
      <c r="K1694" s="25"/>
      <c r="L1694" s="25"/>
      <c r="M1694" s="25"/>
      <c r="N1694" s="25"/>
      <c r="O1694" s="25"/>
      <c r="P1694" s="25"/>
    </row>
    <row r="1695" spans="1:16" x14ac:dyDescent="0.3">
      <c r="A1695" s="25"/>
      <c r="B1695" s="25"/>
      <c r="C1695" s="25"/>
      <c r="D1695" s="26"/>
      <c r="E1695" s="26"/>
      <c r="F1695" s="26"/>
      <c r="G1695" s="26"/>
      <c r="H1695" s="26"/>
      <c r="I1695" s="25"/>
      <c r="J1695" s="25"/>
      <c r="K1695" s="25"/>
      <c r="L1695" s="25"/>
      <c r="M1695" s="25"/>
      <c r="N1695" s="25"/>
      <c r="O1695" s="25"/>
      <c r="P1695" s="25"/>
    </row>
    <row r="1696" spans="1:16" x14ac:dyDescent="0.3">
      <c r="A1696" s="25"/>
      <c r="B1696" s="25"/>
      <c r="C1696" s="25"/>
      <c r="D1696" s="26"/>
      <c r="E1696" s="26"/>
      <c r="F1696" s="26"/>
      <c r="G1696" s="26"/>
      <c r="H1696" s="26"/>
      <c r="I1696" s="25"/>
      <c r="J1696" s="25"/>
      <c r="K1696" s="25"/>
      <c r="L1696" s="25"/>
      <c r="M1696" s="25"/>
      <c r="N1696" s="25"/>
      <c r="O1696" s="25"/>
      <c r="P1696" s="25"/>
    </row>
    <row r="1697" spans="1:16" x14ac:dyDescent="0.3">
      <c r="A1697" s="25"/>
      <c r="B1697" s="25"/>
      <c r="C1697" s="25"/>
      <c r="D1697" s="26"/>
      <c r="E1697" s="26"/>
      <c r="F1697" s="26"/>
      <c r="G1697" s="26"/>
      <c r="H1697" s="26"/>
      <c r="I1697" s="25"/>
      <c r="J1697" s="25"/>
      <c r="K1697" s="25"/>
      <c r="L1697" s="25"/>
      <c r="M1697" s="25"/>
      <c r="N1697" s="25"/>
      <c r="O1697" s="25"/>
      <c r="P1697" s="25"/>
    </row>
    <row r="1698" spans="1:16" x14ac:dyDescent="0.3">
      <c r="A1698" s="25"/>
      <c r="B1698" s="25"/>
      <c r="C1698" s="25"/>
      <c r="D1698" s="26"/>
      <c r="E1698" s="26"/>
      <c r="F1698" s="26"/>
      <c r="G1698" s="26"/>
      <c r="H1698" s="26"/>
      <c r="I1698" s="25"/>
      <c r="J1698" s="25"/>
      <c r="K1698" s="25"/>
      <c r="L1698" s="25"/>
      <c r="M1698" s="25"/>
      <c r="N1698" s="25"/>
      <c r="O1698" s="25"/>
      <c r="P1698" s="25"/>
    </row>
    <row r="1699" spans="1:16" x14ac:dyDescent="0.3">
      <c r="A1699" s="25"/>
      <c r="B1699" s="25"/>
      <c r="C1699" s="25"/>
      <c r="D1699" s="26"/>
      <c r="E1699" s="26"/>
      <c r="F1699" s="26"/>
      <c r="G1699" s="26"/>
      <c r="H1699" s="26"/>
      <c r="I1699" s="25"/>
      <c r="J1699" s="25"/>
      <c r="K1699" s="25"/>
      <c r="L1699" s="25"/>
      <c r="M1699" s="25"/>
      <c r="N1699" s="25"/>
      <c r="O1699" s="25"/>
      <c r="P1699" s="25"/>
    </row>
    <row r="1700" spans="1:16" x14ac:dyDescent="0.3">
      <c r="A1700" s="25"/>
      <c r="B1700" s="25"/>
      <c r="C1700" s="25"/>
      <c r="D1700" s="26"/>
      <c r="E1700" s="26"/>
      <c r="F1700" s="26"/>
      <c r="G1700" s="26"/>
      <c r="H1700" s="26"/>
      <c r="I1700" s="25"/>
      <c r="J1700" s="25"/>
      <c r="K1700" s="25"/>
      <c r="L1700" s="25"/>
      <c r="M1700" s="25"/>
      <c r="N1700" s="25"/>
      <c r="O1700" s="25"/>
      <c r="P1700" s="25"/>
    </row>
    <row r="1701" spans="1:16" x14ac:dyDescent="0.3">
      <c r="A1701" s="25"/>
      <c r="B1701" s="25"/>
      <c r="C1701" s="25"/>
      <c r="D1701" s="26"/>
      <c r="E1701" s="26"/>
      <c r="F1701" s="26"/>
      <c r="G1701" s="26"/>
      <c r="H1701" s="26"/>
      <c r="I1701" s="25"/>
      <c r="J1701" s="25"/>
      <c r="K1701" s="25"/>
      <c r="L1701" s="25"/>
      <c r="M1701" s="25"/>
      <c r="N1701" s="25"/>
      <c r="O1701" s="25"/>
      <c r="P1701" s="25"/>
    </row>
    <row r="1702" spans="1:16" x14ac:dyDescent="0.3">
      <c r="A1702" s="25"/>
      <c r="B1702" s="25"/>
      <c r="C1702" s="25"/>
      <c r="D1702" s="26"/>
      <c r="E1702" s="26"/>
      <c r="F1702" s="26"/>
      <c r="G1702" s="26"/>
      <c r="H1702" s="26"/>
      <c r="I1702" s="25"/>
      <c r="J1702" s="25"/>
      <c r="K1702" s="25"/>
      <c r="L1702" s="25"/>
      <c r="M1702" s="25"/>
      <c r="N1702" s="25"/>
      <c r="O1702" s="25"/>
      <c r="P1702" s="25"/>
    </row>
    <row r="1703" spans="1:16" x14ac:dyDescent="0.3">
      <c r="A1703" s="25"/>
      <c r="B1703" s="25"/>
      <c r="C1703" s="25"/>
      <c r="D1703" s="26"/>
      <c r="E1703" s="26"/>
      <c r="F1703" s="26"/>
      <c r="G1703" s="26"/>
      <c r="H1703" s="26"/>
      <c r="I1703" s="25"/>
      <c r="J1703" s="25"/>
      <c r="K1703" s="25"/>
      <c r="L1703" s="25"/>
      <c r="M1703" s="25"/>
      <c r="N1703" s="25"/>
      <c r="O1703" s="25"/>
      <c r="P1703" s="25"/>
    </row>
    <row r="1704" spans="1:16" x14ac:dyDescent="0.3">
      <c r="A1704" s="25"/>
      <c r="B1704" s="25"/>
      <c r="C1704" s="25"/>
      <c r="D1704" s="26"/>
      <c r="E1704" s="26"/>
      <c r="F1704" s="26"/>
      <c r="G1704" s="26"/>
      <c r="H1704" s="26"/>
      <c r="I1704" s="25"/>
      <c r="J1704" s="25"/>
      <c r="K1704" s="25"/>
      <c r="L1704" s="25"/>
      <c r="M1704" s="25"/>
      <c r="N1704" s="25"/>
      <c r="O1704" s="25"/>
      <c r="P1704" s="25"/>
    </row>
    <row r="1705" spans="1:16" x14ac:dyDescent="0.3">
      <c r="A1705" s="25"/>
      <c r="B1705" s="25"/>
      <c r="C1705" s="25"/>
      <c r="D1705" s="26"/>
      <c r="E1705" s="26"/>
      <c r="F1705" s="26"/>
      <c r="G1705" s="26"/>
      <c r="H1705" s="26"/>
      <c r="I1705" s="25"/>
      <c r="J1705" s="25"/>
      <c r="K1705" s="25"/>
      <c r="L1705" s="25"/>
      <c r="M1705" s="25"/>
      <c r="N1705" s="25"/>
      <c r="O1705" s="25"/>
      <c r="P1705" s="25"/>
    </row>
    <row r="1706" spans="1:16" x14ac:dyDescent="0.3">
      <c r="A1706" s="25"/>
      <c r="B1706" s="25"/>
      <c r="C1706" s="25"/>
      <c r="D1706" s="26"/>
      <c r="E1706" s="26"/>
      <c r="F1706" s="26"/>
      <c r="G1706" s="26"/>
      <c r="H1706" s="26"/>
      <c r="I1706" s="25"/>
      <c r="J1706" s="25"/>
      <c r="K1706" s="25"/>
      <c r="L1706" s="25"/>
      <c r="M1706" s="25"/>
      <c r="N1706" s="25"/>
      <c r="O1706" s="25"/>
      <c r="P1706" s="25"/>
    </row>
    <row r="1707" spans="1:16" x14ac:dyDescent="0.3">
      <c r="A1707" s="25"/>
      <c r="B1707" s="25"/>
      <c r="C1707" s="25"/>
      <c r="D1707" s="26"/>
      <c r="E1707" s="26"/>
      <c r="F1707" s="26"/>
      <c r="G1707" s="26"/>
      <c r="H1707" s="26"/>
      <c r="I1707" s="25"/>
      <c r="J1707" s="25"/>
      <c r="K1707" s="25"/>
      <c r="L1707" s="25"/>
      <c r="M1707" s="25"/>
      <c r="N1707" s="25"/>
      <c r="O1707" s="25"/>
      <c r="P1707" s="25"/>
    </row>
    <row r="1708" spans="1:16" x14ac:dyDescent="0.3">
      <c r="A1708" s="25"/>
      <c r="B1708" s="25"/>
      <c r="C1708" s="25"/>
      <c r="D1708" s="26"/>
      <c r="E1708" s="26"/>
      <c r="F1708" s="26"/>
      <c r="G1708" s="26"/>
      <c r="H1708" s="26"/>
      <c r="I1708" s="25"/>
      <c r="J1708" s="25"/>
      <c r="K1708" s="25"/>
      <c r="L1708" s="25"/>
      <c r="M1708" s="25"/>
      <c r="N1708" s="25"/>
      <c r="O1708" s="25"/>
      <c r="P1708" s="25"/>
    </row>
    <row r="1709" spans="1:16" x14ac:dyDescent="0.3">
      <c r="A1709" s="25"/>
      <c r="B1709" s="25"/>
      <c r="C1709" s="25"/>
      <c r="D1709" s="26"/>
      <c r="E1709" s="26"/>
      <c r="F1709" s="26"/>
      <c r="G1709" s="26"/>
      <c r="H1709" s="26"/>
      <c r="I1709" s="25"/>
      <c r="J1709" s="25"/>
      <c r="K1709" s="25"/>
      <c r="L1709" s="25"/>
      <c r="M1709" s="25"/>
      <c r="N1709" s="25"/>
      <c r="O1709" s="25"/>
      <c r="P1709" s="25"/>
    </row>
    <row r="1710" spans="1:16" x14ac:dyDescent="0.3">
      <c r="A1710" s="25"/>
      <c r="B1710" s="25"/>
      <c r="C1710" s="25"/>
      <c r="D1710" s="26"/>
      <c r="E1710" s="26"/>
      <c r="F1710" s="26"/>
      <c r="G1710" s="26"/>
      <c r="H1710" s="26"/>
      <c r="I1710" s="25"/>
      <c r="J1710" s="25"/>
      <c r="K1710" s="25"/>
      <c r="L1710" s="25"/>
      <c r="M1710" s="25"/>
      <c r="N1710" s="25"/>
      <c r="O1710" s="25"/>
      <c r="P1710" s="25"/>
    </row>
    <row r="1711" spans="1:16" x14ac:dyDescent="0.3">
      <c r="A1711" s="25"/>
      <c r="B1711" s="25"/>
      <c r="C1711" s="25"/>
      <c r="D1711" s="26"/>
      <c r="E1711" s="26"/>
      <c r="F1711" s="26"/>
      <c r="G1711" s="26"/>
      <c r="H1711" s="26"/>
      <c r="I1711" s="25"/>
      <c r="J1711" s="25"/>
      <c r="K1711" s="25"/>
      <c r="L1711" s="25"/>
      <c r="M1711" s="25"/>
      <c r="N1711" s="25"/>
      <c r="O1711" s="25"/>
      <c r="P1711" s="25"/>
    </row>
    <row r="1712" spans="1:16" x14ac:dyDescent="0.3">
      <c r="A1712" s="25"/>
      <c r="B1712" s="25"/>
      <c r="C1712" s="25"/>
      <c r="D1712" s="26"/>
      <c r="E1712" s="26"/>
      <c r="F1712" s="26"/>
      <c r="G1712" s="26"/>
      <c r="H1712" s="26"/>
      <c r="I1712" s="25"/>
      <c r="J1712" s="25"/>
      <c r="K1712" s="25"/>
      <c r="L1712" s="25"/>
      <c r="M1712" s="25"/>
      <c r="N1712" s="25"/>
      <c r="O1712" s="25"/>
      <c r="P1712" s="25"/>
    </row>
    <row r="1713" spans="1:16" x14ac:dyDescent="0.3">
      <c r="A1713" s="25"/>
      <c r="B1713" s="25"/>
      <c r="C1713" s="25"/>
      <c r="D1713" s="26"/>
      <c r="E1713" s="26"/>
      <c r="F1713" s="26"/>
      <c r="G1713" s="26"/>
      <c r="H1713" s="26"/>
      <c r="I1713" s="25"/>
      <c r="J1713" s="25"/>
      <c r="K1713" s="25"/>
      <c r="L1713" s="25"/>
      <c r="M1713" s="25"/>
      <c r="N1713" s="25"/>
      <c r="O1713" s="25"/>
      <c r="P1713" s="25"/>
    </row>
    <row r="1714" spans="1:16" x14ac:dyDescent="0.3">
      <c r="A1714" s="25"/>
      <c r="B1714" s="25"/>
      <c r="C1714" s="25"/>
      <c r="D1714" s="26"/>
      <c r="E1714" s="26"/>
      <c r="F1714" s="26"/>
      <c r="G1714" s="26"/>
      <c r="H1714" s="26"/>
      <c r="I1714" s="25"/>
      <c r="J1714" s="25"/>
      <c r="K1714" s="25"/>
      <c r="L1714" s="25"/>
      <c r="M1714" s="25"/>
      <c r="N1714" s="25"/>
      <c r="O1714" s="25"/>
      <c r="P1714" s="25"/>
    </row>
    <row r="1715" spans="1:16" x14ac:dyDescent="0.3">
      <c r="A1715" s="25"/>
      <c r="B1715" s="25"/>
      <c r="C1715" s="25"/>
      <c r="D1715" s="26"/>
      <c r="E1715" s="26"/>
      <c r="F1715" s="26"/>
      <c r="G1715" s="26"/>
      <c r="H1715" s="26"/>
      <c r="I1715" s="25"/>
      <c r="J1715" s="25"/>
      <c r="K1715" s="25"/>
      <c r="L1715" s="25"/>
      <c r="M1715" s="25"/>
      <c r="N1715" s="25"/>
      <c r="O1715" s="25"/>
      <c r="P1715" s="25"/>
    </row>
    <row r="1716" spans="1:16" x14ac:dyDescent="0.3">
      <c r="A1716" s="25"/>
      <c r="B1716" s="25"/>
      <c r="C1716" s="25"/>
      <c r="D1716" s="26"/>
      <c r="E1716" s="26"/>
      <c r="F1716" s="26"/>
      <c r="G1716" s="26"/>
      <c r="H1716" s="26"/>
      <c r="I1716" s="25"/>
      <c r="J1716" s="25"/>
      <c r="K1716" s="25"/>
      <c r="L1716" s="25"/>
      <c r="M1716" s="25"/>
      <c r="N1716" s="25"/>
      <c r="O1716" s="25"/>
      <c r="P1716" s="25"/>
    </row>
    <row r="1717" spans="1:16" x14ac:dyDescent="0.3">
      <c r="A1717" s="25"/>
      <c r="B1717" s="25"/>
      <c r="C1717" s="25"/>
      <c r="D1717" s="26"/>
      <c r="E1717" s="26"/>
      <c r="F1717" s="26"/>
      <c r="G1717" s="26"/>
      <c r="H1717" s="26"/>
      <c r="I1717" s="25"/>
      <c r="J1717" s="25"/>
      <c r="K1717" s="25"/>
      <c r="L1717" s="25"/>
      <c r="M1717" s="25"/>
      <c r="N1717" s="25"/>
      <c r="O1717" s="25"/>
      <c r="P1717" s="25"/>
    </row>
    <row r="1718" spans="1:16" x14ac:dyDescent="0.3">
      <c r="A1718" s="25"/>
      <c r="B1718" s="25"/>
      <c r="C1718" s="25"/>
      <c r="D1718" s="26"/>
      <c r="E1718" s="26"/>
      <c r="F1718" s="26"/>
      <c r="G1718" s="26"/>
      <c r="H1718" s="26"/>
      <c r="I1718" s="25"/>
      <c r="J1718" s="25"/>
      <c r="K1718" s="25"/>
      <c r="L1718" s="25"/>
      <c r="M1718" s="25"/>
      <c r="N1718" s="25"/>
      <c r="O1718" s="25"/>
      <c r="P1718" s="25"/>
    </row>
    <row r="1719" spans="1:16" x14ac:dyDescent="0.3">
      <c r="A1719" s="25"/>
      <c r="B1719" s="25"/>
      <c r="C1719" s="25"/>
      <c r="D1719" s="26"/>
      <c r="E1719" s="26"/>
      <c r="F1719" s="26"/>
      <c r="G1719" s="26"/>
      <c r="H1719" s="26"/>
      <c r="I1719" s="25"/>
      <c r="J1719" s="25"/>
      <c r="K1719" s="25"/>
      <c r="L1719" s="25"/>
      <c r="M1719" s="25"/>
      <c r="N1719" s="25"/>
      <c r="O1719" s="25"/>
      <c r="P1719" s="25"/>
    </row>
    <row r="1720" spans="1:16" x14ac:dyDescent="0.3">
      <c r="A1720" s="25"/>
      <c r="B1720" s="25"/>
      <c r="C1720" s="25"/>
      <c r="D1720" s="26"/>
      <c r="E1720" s="26"/>
      <c r="F1720" s="26"/>
      <c r="G1720" s="26"/>
      <c r="H1720" s="26"/>
      <c r="I1720" s="25"/>
      <c r="J1720" s="25"/>
      <c r="K1720" s="25"/>
      <c r="L1720" s="25"/>
      <c r="M1720" s="25"/>
      <c r="N1720" s="25"/>
      <c r="O1720" s="25"/>
      <c r="P1720" s="25"/>
    </row>
    <row r="1721" spans="1:16" x14ac:dyDescent="0.3">
      <c r="A1721" s="25"/>
      <c r="B1721" s="25"/>
      <c r="C1721" s="25"/>
      <c r="D1721" s="26"/>
      <c r="E1721" s="26"/>
      <c r="F1721" s="26"/>
      <c r="G1721" s="26"/>
      <c r="H1721" s="26"/>
      <c r="I1721" s="25"/>
      <c r="J1721" s="25"/>
      <c r="K1721" s="25"/>
      <c r="L1721" s="25"/>
      <c r="M1721" s="25"/>
      <c r="N1721" s="25"/>
      <c r="O1721" s="25"/>
      <c r="P1721" s="25"/>
    </row>
    <row r="1722" spans="1:16" x14ac:dyDescent="0.3">
      <c r="A1722" s="25"/>
      <c r="B1722" s="25"/>
      <c r="C1722" s="25"/>
      <c r="D1722" s="26"/>
      <c r="E1722" s="26"/>
      <c r="F1722" s="26"/>
      <c r="G1722" s="26"/>
      <c r="H1722" s="26"/>
      <c r="I1722" s="25"/>
      <c r="J1722" s="25"/>
      <c r="K1722" s="25"/>
      <c r="L1722" s="25"/>
      <c r="M1722" s="25"/>
      <c r="N1722" s="25"/>
      <c r="O1722" s="25"/>
      <c r="P1722" s="25"/>
    </row>
    <row r="1723" spans="1:16" x14ac:dyDescent="0.3">
      <c r="A1723" s="25"/>
      <c r="B1723" s="25"/>
      <c r="C1723" s="25"/>
      <c r="D1723" s="26"/>
      <c r="E1723" s="26"/>
      <c r="F1723" s="26"/>
      <c r="G1723" s="26"/>
      <c r="H1723" s="26"/>
      <c r="I1723" s="25"/>
      <c r="J1723" s="25"/>
      <c r="K1723" s="25"/>
      <c r="L1723" s="25"/>
      <c r="M1723" s="25"/>
      <c r="N1723" s="25"/>
      <c r="O1723" s="25"/>
      <c r="P1723" s="25"/>
    </row>
    <row r="1724" spans="1:16" x14ac:dyDescent="0.3">
      <c r="A1724" s="25"/>
      <c r="B1724" s="25"/>
      <c r="C1724" s="25"/>
      <c r="D1724" s="26"/>
      <c r="E1724" s="26"/>
      <c r="F1724" s="26"/>
      <c r="G1724" s="26"/>
      <c r="H1724" s="26"/>
      <c r="I1724" s="25"/>
      <c r="J1724" s="25"/>
      <c r="K1724" s="25"/>
      <c r="L1724" s="25"/>
      <c r="M1724" s="25"/>
      <c r="N1724" s="25"/>
      <c r="O1724" s="25"/>
      <c r="P1724" s="25"/>
    </row>
    <row r="1725" spans="1:16" x14ac:dyDescent="0.3">
      <c r="A1725" s="25"/>
      <c r="B1725" s="25"/>
      <c r="C1725" s="25"/>
      <c r="D1725" s="26"/>
      <c r="E1725" s="26"/>
      <c r="F1725" s="26"/>
      <c r="G1725" s="26"/>
      <c r="H1725" s="26"/>
      <c r="I1725" s="25"/>
      <c r="J1725" s="25"/>
      <c r="K1725" s="25"/>
      <c r="L1725" s="25"/>
      <c r="M1725" s="25"/>
      <c r="N1725" s="25"/>
      <c r="O1725" s="25"/>
      <c r="P1725" s="25"/>
    </row>
    <row r="1726" spans="1:16" x14ac:dyDescent="0.3">
      <c r="A1726" s="25"/>
      <c r="B1726" s="25"/>
      <c r="C1726" s="25"/>
      <c r="D1726" s="26"/>
      <c r="E1726" s="26"/>
      <c r="F1726" s="26"/>
      <c r="G1726" s="26"/>
      <c r="H1726" s="26"/>
      <c r="I1726" s="25"/>
      <c r="J1726" s="25"/>
      <c r="K1726" s="25"/>
      <c r="L1726" s="25"/>
      <c r="M1726" s="25"/>
      <c r="N1726" s="25"/>
      <c r="O1726" s="25"/>
      <c r="P1726" s="25"/>
    </row>
    <row r="1727" spans="1:16" x14ac:dyDescent="0.3">
      <c r="A1727" s="25"/>
      <c r="B1727" s="25"/>
      <c r="C1727" s="25"/>
      <c r="D1727" s="26"/>
      <c r="E1727" s="26"/>
      <c r="F1727" s="26"/>
      <c r="G1727" s="26"/>
      <c r="H1727" s="26"/>
      <c r="I1727" s="25"/>
      <c r="J1727" s="25"/>
      <c r="K1727" s="25"/>
      <c r="L1727" s="25"/>
      <c r="M1727" s="25"/>
      <c r="N1727" s="25"/>
      <c r="O1727" s="25"/>
      <c r="P1727" s="25"/>
    </row>
    <row r="1728" spans="1:16" x14ac:dyDescent="0.3">
      <c r="A1728" s="25"/>
      <c r="B1728" s="25"/>
      <c r="C1728" s="25"/>
      <c r="D1728" s="26"/>
      <c r="E1728" s="26"/>
      <c r="F1728" s="26"/>
      <c r="G1728" s="26"/>
      <c r="H1728" s="26"/>
      <c r="I1728" s="25"/>
      <c r="J1728" s="25"/>
      <c r="K1728" s="25"/>
      <c r="L1728" s="25"/>
      <c r="M1728" s="25"/>
      <c r="N1728" s="25"/>
      <c r="O1728" s="25"/>
      <c r="P1728" s="25"/>
    </row>
    <row r="1729" spans="1:16" x14ac:dyDescent="0.3">
      <c r="A1729" s="25"/>
      <c r="B1729" s="25"/>
      <c r="C1729" s="25"/>
      <c r="D1729" s="26"/>
      <c r="E1729" s="26"/>
      <c r="F1729" s="26"/>
      <c r="G1729" s="26"/>
      <c r="H1729" s="26"/>
      <c r="I1729" s="25"/>
      <c r="J1729" s="25"/>
      <c r="K1729" s="25"/>
      <c r="L1729" s="25"/>
      <c r="M1729" s="25"/>
      <c r="N1729" s="25"/>
      <c r="O1729" s="25"/>
      <c r="P1729" s="25"/>
    </row>
    <row r="1730" spans="1:16" x14ac:dyDescent="0.3">
      <c r="A1730" s="25"/>
      <c r="B1730" s="25"/>
      <c r="C1730" s="25"/>
      <c r="D1730" s="26"/>
      <c r="E1730" s="26"/>
      <c r="F1730" s="26"/>
      <c r="G1730" s="26"/>
      <c r="H1730" s="26"/>
      <c r="I1730" s="25"/>
      <c r="J1730" s="25"/>
      <c r="K1730" s="25"/>
      <c r="L1730" s="25"/>
      <c r="M1730" s="25"/>
      <c r="N1730" s="25"/>
      <c r="O1730" s="25"/>
      <c r="P1730" s="25"/>
    </row>
    <row r="1731" spans="1:16" x14ac:dyDescent="0.3">
      <c r="A1731" s="25"/>
      <c r="B1731" s="25"/>
      <c r="C1731" s="25"/>
      <c r="D1731" s="26"/>
      <c r="E1731" s="26"/>
      <c r="F1731" s="26"/>
      <c r="G1731" s="26"/>
      <c r="H1731" s="26"/>
      <c r="I1731" s="25"/>
      <c r="J1731" s="25"/>
      <c r="K1731" s="25"/>
      <c r="L1731" s="25"/>
      <c r="M1731" s="25"/>
      <c r="N1731" s="25"/>
      <c r="O1731" s="25"/>
      <c r="P1731" s="25"/>
    </row>
    <row r="1732" spans="1:16" x14ac:dyDescent="0.3">
      <c r="A1732" s="25"/>
      <c r="B1732" s="25"/>
      <c r="C1732" s="25"/>
      <c r="D1732" s="26"/>
      <c r="E1732" s="26"/>
      <c r="F1732" s="26"/>
      <c r="G1732" s="26"/>
      <c r="H1732" s="26"/>
      <c r="I1732" s="25"/>
      <c r="J1732" s="25"/>
      <c r="K1732" s="25"/>
      <c r="L1732" s="25"/>
      <c r="M1732" s="25"/>
      <c r="N1732" s="25"/>
      <c r="O1732" s="25"/>
      <c r="P1732" s="25"/>
    </row>
    <row r="1733" spans="1:16" x14ac:dyDescent="0.3">
      <c r="A1733" s="25"/>
      <c r="B1733" s="25"/>
      <c r="C1733" s="25"/>
      <c r="D1733" s="26"/>
      <c r="E1733" s="26"/>
      <c r="F1733" s="26"/>
      <c r="G1733" s="26"/>
      <c r="H1733" s="26"/>
      <c r="I1733" s="25"/>
      <c r="J1733" s="25"/>
      <c r="K1733" s="25"/>
      <c r="L1733" s="25"/>
      <c r="M1733" s="25"/>
      <c r="N1733" s="25"/>
      <c r="O1733" s="25"/>
      <c r="P1733" s="25"/>
    </row>
    <row r="1734" spans="1:16" x14ac:dyDescent="0.3">
      <c r="A1734" s="25"/>
      <c r="B1734" s="25"/>
      <c r="C1734" s="25"/>
      <c r="D1734" s="26"/>
      <c r="E1734" s="26"/>
      <c r="F1734" s="26"/>
      <c r="G1734" s="26"/>
      <c r="H1734" s="26"/>
      <c r="I1734" s="25"/>
      <c r="J1734" s="25"/>
      <c r="K1734" s="25"/>
      <c r="L1734" s="25"/>
      <c r="M1734" s="25"/>
      <c r="N1734" s="25"/>
      <c r="O1734" s="25"/>
      <c r="P1734" s="25"/>
    </row>
    <row r="1735" spans="1:16" x14ac:dyDescent="0.3">
      <c r="A1735" s="25"/>
      <c r="B1735" s="25"/>
      <c r="C1735" s="25"/>
      <c r="D1735" s="26"/>
      <c r="E1735" s="26"/>
      <c r="F1735" s="26"/>
      <c r="G1735" s="26"/>
      <c r="H1735" s="26"/>
      <c r="I1735" s="25"/>
      <c r="J1735" s="25"/>
      <c r="K1735" s="25"/>
      <c r="L1735" s="25"/>
      <c r="M1735" s="25"/>
      <c r="N1735" s="25"/>
      <c r="O1735" s="25"/>
      <c r="P1735" s="25"/>
    </row>
    <row r="1736" spans="1:16" x14ac:dyDescent="0.3">
      <c r="A1736" s="25"/>
      <c r="B1736" s="25"/>
      <c r="C1736" s="25"/>
      <c r="D1736" s="26"/>
      <c r="E1736" s="26"/>
      <c r="F1736" s="26"/>
      <c r="G1736" s="26"/>
      <c r="H1736" s="26"/>
      <c r="I1736" s="25"/>
      <c r="J1736" s="25"/>
      <c r="K1736" s="25"/>
      <c r="L1736" s="25"/>
      <c r="M1736" s="25"/>
      <c r="N1736" s="25"/>
      <c r="O1736" s="25"/>
      <c r="P1736" s="25"/>
    </row>
    <row r="1737" spans="1:16" x14ac:dyDescent="0.3">
      <c r="A1737" s="25"/>
      <c r="B1737" s="25"/>
      <c r="C1737" s="25"/>
      <c r="D1737" s="26"/>
      <c r="E1737" s="26"/>
      <c r="F1737" s="26"/>
      <c r="G1737" s="26"/>
      <c r="H1737" s="26"/>
      <c r="I1737" s="25"/>
      <c r="J1737" s="25"/>
      <c r="K1737" s="25"/>
      <c r="L1737" s="25"/>
      <c r="M1737" s="25"/>
      <c r="N1737" s="25"/>
      <c r="O1737" s="25"/>
      <c r="P1737" s="25"/>
    </row>
    <row r="1738" spans="1:16" x14ac:dyDescent="0.3">
      <c r="A1738" s="25"/>
      <c r="B1738" s="25"/>
      <c r="C1738" s="25"/>
      <c r="D1738" s="26"/>
      <c r="E1738" s="26"/>
      <c r="F1738" s="26"/>
      <c r="G1738" s="26"/>
      <c r="H1738" s="26"/>
      <c r="I1738" s="25"/>
      <c r="J1738" s="25"/>
      <c r="K1738" s="25"/>
      <c r="L1738" s="25"/>
      <c r="M1738" s="25"/>
      <c r="N1738" s="25"/>
      <c r="O1738" s="25"/>
      <c r="P1738" s="25"/>
    </row>
    <row r="1739" spans="1:16" x14ac:dyDescent="0.3">
      <c r="A1739" s="25"/>
      <c r="B1739" s="25"/>
      <c r="C1739" s="25"/>
      <c r="D1739" s="26"/>
      <c r="E1739" s="26"/>
      <c r="F1739" s="26"/>
      <c r="G1739" s="26"/>
      <c r="H1739" s="26"/>
      <c r="I1739" s="25"/>
      <c r="J1739" s="25"/>
      <c r="K1739" s="25"/>
      <c r="L1739" s="25"/>
      <c r="M1739" s="25"/>
      <c r="N1739" s="25"/>
      <c r="O1739" s="25"/>
      <c r="P1739" s="25"/>
    </row>
    <row r="1740" spans="1:16" x14ac:dyDescent="0.3">
      <c r="A1740" s="25"/>
      <c r="B1740" s="25"/>
      <c r="C1740" s="25"/>
      <c r="D1740" s="26"/>
      <c r="E1740" s="26"/>
      <c r="F1740" s="26"/>
      <c r="G1740" s="26"/>
      <c r="H1740" s="26"/>
      <c r="I1740" s="25"/>
      <c r="J1740" s="25"/>
      <c r="K1740" s="25"/>
      <c r="L1740" s="25"/>
      <c r="M1740" s="25"/>
      <c r="N1740" s="25"/>
      <c r="O1740" s="25"/>
      <c r="P1740" s="25"/>
    </row>
    <row r="1741" spans="1:16" x14ac:dyDescent="0.3">
      <c r="A1741" s="25"/>
      <c r="B1741" s="25"/>
      <c r="C1741" s="25"/>
      <c r="D1741" s="26"/>
      <c r="E1741" s="26"/>
      <c r="F1741" s="26"/>
      <c r="G1741" s="26"/>
      <c r="H1741" s="26"/>
      <c r="I1741" s="25"/>
      <c r="J1741" s="25"/>
      <c r="K1741" s="25"/>
      <c r="L1741" s="25"/>
      <c r="M1741" s="25"/>
      <c r="N1741" s="25"/>
      <c r="O1741" s="25"/>
      <c r="P1741" s="25"/>
    </row>
    <row r="1742" spans="1:16" x14ac:dyDescent="0.3">
      <c r="A1742" s="25"/>
      <c r="B1742" s="25"/>
      <c r="C1742" s="25"/>
      <c r="D1742" s="26"/>
      <c r="E1742" s="26"/>
      <c r="F1742" s="26"/>
      <c r="G1742" s="26"/>
      <c r="H1742" s="26"/>
      <c r="I1742" s="25"/>
      <c r="J1742" s="25"/>
      <c r="K1742" s="25"/>
      <c r="L1742" s="25"/>
      <c r="M1742" s="25"/>
      <c r="N1742" s="25"/>
      <c r="O1742" s="25"/>
      <c r="P1742" s="25"/>
    </row>
    <row r="1743" spans="1:16" x14ac:dyDescent="0.3">
      <c r="A1743" s="25"/>
      <c r="B1743" s="25"/>
      <c r="C1743" s="25"/>
      <c r="D1743" s="26"/>
      <c r="E1743" s="26"/>
      <c r="F1743" s="26"/>
      <c r="G1743" s="26"/>
      <c r="H1743" s="26"/>
      <c r="I1743" s="25"/>
      <c r="J1743" s="25"/>
      <c r="K1743" s="25"/>
      <c r="L1743" s="25"/>
      <c r="M1743" s="25"/>
      <c r="N1743" s="25"/>
      <c r="O1743" s="25"/>
      <c r="P1743" s="25"/>
    </row>
    <row r="1744" spans="1:16" x14ac:dyDescent="0.3">
      <c r="A1744" s="25"/>
      <c r="B1744" s="25"/>
      <c r="C1744" s="25"/>
      <c r="D1744" s="26"/>
      <c r="E1744" s="26"/>
      <c r="F1744" s="26"/>
      <c r="G1744" s="26"/>
      <c r="H1744" s="26"/>
      <c r="I1744" s="25"/>
      <c r="J1744" s="25"/>
      <c r="K1744" s="25"/>
      <c r="L1744" s="25"/>
      <c r="M1744" s="25"/>
      <c r="N1744" s="25"/>
      <c r="O1744" s="25"/>
      <c r="P1744" s="25"/>
    </row>
    <row r="1745" spans="1:16" x14ac:dyDescent="0.3">
      <c r="A1745" s="25"/>
      <c r="B1745" s="25"/>
      <c r="C1745" s="25"/>
      <c r="D1745" s="26"/>
      <c r="E1745" s="26"/>
      <c r="F1745" s="26"/>
      <c r="G1745" s="26"/>
      <c r="H1745" s="26"/>
      <c r="I1745" s="25"/>
      <c r="J1745" s="25"/>
      <c r="K1745" s="25"/>
      <c r="L1745" s="25"/>
      <c r="M1745" s="25"/>
      <c r="N1745" s="25"/>
      <c r="O1745" s="25"/>
      <c r="P1745" s="25"/>
    </row>
    <row r="1746" spans="1:16" x14ac:dyDescent="0.3">
      <c r="A1746" s="25"/>
      <c r="B1746" s="25"/>
      <c r="C1746" s="25"/>
      <c r="D1746" s="26"/>
      <c r="E1746" s="26"/>
      <c r="F1746" s="26"/>
      <c r="G1746" s="26"/>
      <c r="H1746" s="26"/>
      <c r="I1746" s="25"/>
      <c r="J1746" s="25"/>
      <c r="K1746" s="25"/>
      <c r="L1746" s="25"/>
      <c r="M1746" s="25"/>
      <c r="N1746" s="25"/>
      <c r="O1746" s="25"/>
      <c r="P1746" s="25"/>
    </row>
    <row r="1747" spans="1:16" x14ac:dyDescent="0.3">
      <c r="A1747" s="25"/>
      <c r="B1747" s="25"/>
      <c r="C1747" s="25"/>
      <c r="D1747" s="26"/>
      <c r="E1747" s="26"/>
      <c r="F1747" s="26"/>
      <c r="G1747" s="26"/>
      <c r="H1747" s="26"/>
      <c r="I1747" s="25"/>
      <c r="J1747" s="25"/>
      <c r="K1747" s="25"/>
      <c r="L1747" s="25"/>
      <c r="M1747" s="25"/>
      <c r="N1747" s="25"/>
      <c r="O1747" s="25"/>
      <c r="P1747" s="25"/>
    </row>
    <row r="1748" spans="1:16" x14ac:dyDescent="0.3">
      <c r="A1748" s="25"/>
      <c r="B1748" s="25"/>
      <c r="C1748" s="25"/>
      <c r="D1748" s="26"/>
      <c r="E1748" s="26"/>
      <c r="F1748" s="26"/>
      <c r="G1748" s="26"/>
      <c r="H1748" s="26"/>
      <c r="I1748" s="25"/>
      <c r="J1748" s="25"/>
      <c r="K1748" s="25"/>
      <c r="L1748" s="25"/>
      <c r="M1748" s="25"/>
      <c r="N1748" s="25"/>
      <c r="O1748" s="25"/>
      <c r="P1748" s="25"/>
    </row>
    <row r="1749" spans="1:16" x14ac:dyDescent="0.3">
      <c r="A1749" s="25"/>
      <c r="B1749" s="25"/>
      <c r="C1749" s="25"/>
      <c r="D1749" s="26"/>
      <c r="E1749" s="26"/>
      <c r="F1749" s="26"/>
      <c r="G1749" s="26"/>
      <c r="H1749" s="26"/>
      <c r="I1749" s="25"/>
      <c r="J1749" s="25"/>
      <c r="K1749" s="25"/>
      <c r="L1749" s="25"/>
      <c r="M1749" s="25"/>
      <c r="N1749" s="25"/>
      <c r="O1749" s="25"/>
      <c r="P1749" s="25"/>
    </row>
    <row r="1750" spans="1:16" x14ac:dyDescent="0.3">
      <c r="A1750" s="25"/>
      <c r="B1750" s="25"/>
      <c r="C1750" s="25"/>
      <c r="D1750" s="26"/>
      <c r="E1750" s="26"/>
      <c r="F1750" s="26"/>
      <c r="G1750" s="26"/>
      <c r="H1750" s="26"/>
      <c r="I1750" s="25"/>
      <c r="J1750" s="25"/>
      <c r="K1750" s="25"/>
      <c r="L1750" s="25"/>
      <c r="M1750" s="25"/>
      <c r="N1750" s="25"/>
      <c r="O1750" s="25"/>
      <c r="P1750" s="25"/>
    </row>
    <row r="1751" spans="1:16" x14ac:dyDescent="0.3">
      <c r="A1751" s="25"/>
      <c r="B1751" s="25"/>
      <c r="C1751" s="25"/>
      <c r="D1751" s="26"/>
      <c r="E1751" s="26"/>
      <c r="F1751" s="26"/>
      <c r="G1751" s="26"/>
      <c r="H1751" s="26"/>
      <c r="I1751" s="25"/>
      <c r="J1751" s="25"/>
      <c r="K1751" s="25"/>
      <c r="L1751" s="25"/>
      <c r="M1751" s="25"/>
      <c r="N1751" s="25"/>
      <c r="O1751" s="25"/>
      <c r="P1751" s="25"/>
    </row>
    <row r="1752" spans="1:16" x14ac:dyDescent="0.3">
      <c r="A1752" s="25"/>
      <c r="B1752" s="25"/>
      <c r="C1752" s="25"/>
      <c r="D1752" s="26"/>
      <c r="E1752" s="26"/>
      <c r="F1752" s="26"/>
      <c r="G1752" s="26"/>
      <c r="H1752" s="26"/>
      <c r="I1752" s="25"/>
      <c r="J1752" s="25"/>
      <c r="K1752" s="25"/>
      <c r="L1752" s="25"/>
      <c r="M1752" s="25"/>
      <c r="N1752" s="25"/>
      <c r="O1752" s="25"/>
      <c r="P1752" s="25"/>
    </row>
    <row r="1753" spans="1:16" x14ac:dyDescent="0.3">
      <c r="A1753" s="25"/>
      <c r="B1753" s="25"/>
      <c r="C1753" s="25"/>
      <c r="D1753" s="26"/>
      <c r="E1753" s="26"/>
      <c r="F1753" s="26"/>
      <c r="G1753" s="26"/>
      <c r="H1753" s="26"/>
      <c r="I1753" s="25"/>
      <c r="J1753" s="25"/>
      <c r="K1753" s="25"/>
      <c r="L1753" s="25"/>
      <c r="M1753" s="25"/>
      <c r="N1753" s="25"/>
      <c r="O1753" s="25"/>
      <c r="P1753" s="25"/>
    </row>
    <row r="1754" spans="1:16" x14ac:dyDescent="0.3">
      <c r="A1754" s="25"/>
      <c r="B1754" s="25"/>
      <c r="C1754" s="25"/>
      <c r="D1754" s="26"/>
      <c r="E1754" s="26"/>
      <c r="F1754" s="26"/>
      <c r="G1754" s="26"/>
      <c r="H1754" s="26"/>
      <c r="I1754" s="25"/>
      <c r="J1754" s="25"/>
      <c r="K1754" s="25"/>
      <c r="L1754" s="25"/>
      <c r="M1754" s="25"/>
      <c r="N1754" s="25"/>
      <c r="O1754" s="25"/>
      <c r="P1754" s="25"/>
    </row>
    <row r="1755" spans="1:16" x14ac:dyDescent="0.3">
      <c r="A1755" s="25"/>
      <c r="B1755" s="25"/>
      <c r="C1755" s="25"/>
      <c r="D1755" s="26"/>
      <c r="E1755" s="26"/>
      <c r="F1755" s="26"/>
      <c r="G1755" s="26"/>
      <c r="H1755" s="26"/>
      <c r="I1755" s="25"/>
      <c r="J1755" s="25"/>
      <c r="K1755" s="25"/>
      <c r="L1755" s="25"/>
      <c r="M1755" s="25"/>
      <c r="N1755" s="25"/>
      <c r="O1755" s="25"/>
      <c r="P1755" s="25"/>
    </row>
    <row r="1756" spans="1:16" x14ac:dyDescent="0.3">
      <c r="A1756" s="25"/>
      <c r="B1756" s="25"/>
      <c r="C1756" s="25"/>
      <c r="D1756" s="26"/>
      <c r="E1756" s="26"/>
      <c r="F1756" s="26"/>
      <c r="G1756" s="26"/>
      <c r="H1756" s="26"/>
      <c r="I1756" s="25"/>
      <c r="J1756" s="25"/>
      <c r="K1756" s="25"/>
      <c r="L1756" s="25"/>
      <c r="M1756" s="25"/>
      <c r="N1756" s="25"/>
      <c r="O1756" s="25"/>
      <c r="P1756" s="25"/>
    </row>
    <row r="1757" spans="1:16" x14ac:dyDescent="0.3">
      <c r="A1757" s="25"/>
      <c r="B1757" s="25"/>
      <c r="C1757" s="25"/>
      <c r="D1757" s="26"/>
      <c r="E1757" s="26"/>
      <c r="F1757" s="26"/>
      <c r="G1757" s="26"/>
      <c r="H1757" s="26"/>
      <c r="I1757" s="25"/>
      <c r="J1757" s="25"/>
      <c r="K1757" s="25"/>
      <c r="L1757" s="25"/>
      <c r="M1757" s="25"/>
      <c r="N1757" s="25"/>
      <c r="O1757" s="25"/>
      <c r="P1757" s="25"/>
    </row>
    <row r="1758" spans="1:16" x14ac:dyDescent="0.3">
      <c r="A1758" s="25"/>
      <c r="B1758" s="25"/>
      <c r="C1758" s="25"/>
      <c r="D1758" s="26"/>
      <c r="E1758" s="26"/>
      <c r="F1758" s="26"/>
      <c r="G1758" s="26"/>
      <c r="H1758" s="26"/>
      <c r="I1758" s="25"/>
      <c r="J1758" s="25"/>
      <c r="K1758" s="25"/>
      <c r="L1758" s="25"/>
      <c r="M1758" s="25"/>
      <c r="N1758" s="25"/>
      <c r="O1758" s="25"/>
      <c r="P1758" s="25"/>
    </row>
    <row r="1759" spans="1:16" x14ac:dyDescent="0.3">
      <c r="A1759" s="25"/>
      <c r="B1759" s="25"/>
      <c r="C1759" s="25"/>
      <c r="D1759" s="26"/>
      <c r="E1759" s="26"/>
      <c r="F1759" s="26"/>
      <c r="G1759" s="26"/>
      <c r="H1759" s="26"/>
      <c r="I1759" s="25"/>
      <c r="J1759" s="25"/>
      <c r="K1759" s="25"/>
      <c r="L1759" s="25"/>
      <c r="M1759" s="25"/>
      <c r="N1759" s="25"/>
      <c r="O1759" s="25"/>
      <c r="P1759" s="25"/>
    </row>
    <row r="1760" spans="1:16" x14ac:dyDescent="0.3">
      <c r="A1760" s="25"/>
      <c r="B1760" s="25"/>
      <c r="C1760" s="25"/>
      <c r="D1760" s="26"/>
      <c r="E1760" s="26"/>
      <c r="F1760" s="26"/>
      <c r="G1760" s="26"/>
      <c r="H1760" s="26"/>
      <c r="I1760" s="25"/>
      <c r="J1760" s="25"/>
      <c r="K1760" s="25"/>
      <c r="L1760" s="25"/>
      <c r="M1760" s="25"/>
      <c r="N1760" s="25"/>
      <c r="O1760" s="25"/>
      <c r="P1760" s="25"/>
    </row>
    <row r="1761" spans="1:16" x14ac:dyDescent="0.3">
      <c r="A1761" s="25"/>
      <c r="B1761" s="25"/>
      <c r="C1761" s="25"/>
      <c r="D1761" s="26"/>
      <c r="E1761" s="26"/>
      <c r="F1761" s="26"/>
      <c r="G1761" s="26"/>
      <c r="H1761" s="26"/>
      <c r="I1761" s="25"/>
      <c r="J1761" s="25"/>
      <c r="K1761" s="25"/>
      <c r="L1761" s="25"/>
      <c r="M1761" s="25"/>
      <c r="N1761" s="25"/>
      <c r="O1761" s="25"/>
      <c r="P1761" s="25"/>
    </row>
    <row r="1762" spans="1:16" x14ac:dyDescent="0.3">
      <c r="A1762" s="25"/>
      <c r="B1762" s="25"/>
      <c r="C1762" s="25"/>
      <c r="D1762" s="26"/>
      <c r="E1762" s="26"/>
      <c r="F1762" s="26"/>
      <c r="G1762" s="26"/>
      <c r="H1762" s="26"/>
      <c r="I1762" s="25"/>
      <c r="J1762" s="25"/>
      <c r="K1762" s="25"/>
      <c r="L1762" s="25"/>
      <c r="M1762" s="25"/>
      <c r="N1762" s="25"/>
      <c r="O1762" s="25"/>
      <c r="P1762" s="25"/>
    </row>
    <row r="1763" spans="1:16" x14ac:dyDescent="0.3">
      <c r="A1763" s="25"/>
      <c r="B1763" s="25"/>
      <c r="C1763" s="25"/>
      <c r="D1763" s="26"/>
      <c r="E1763" s="26"/>
      <c r="F1763" s="26"/>
      <c r="G1763" s="26"/>
      <c r="H1763" s="26"/>
      <c r="I1763" s="25"/>
      <c r="J1763" s="25"/>
      <c r="K1763" s="25"/>
      <c r="L1763" s="25"/>
      <c r="M1763" s="25"/>
      <c r="N1763" s="25"/>
      <c r="O1763" s="25"/>
      <c r="P1763" s="25"/>
    </row>
    <row r="1764" spans="1:16" x14ac:dyDescent="0.3">
      <c r="A1764" s="25"/>
      <c r="B1764" s="25"/>
      <c r="C1764" s="25"/>
      <c r="D1764" s="26"/>
      <c r="E1764" s="26"/>
      <c r="F1764" s="26"/>
      <c r="G1764" s="26"/>
      <c r="H1764" s="26"/>
      <c r="I1764" s="25"/>
      <c r="J1764" s="25"/>
      <c r="K1764" s="25"/>
      <c r="L1764" s="25"/>
      <c r="M1764" s="25"/>
      <c r="N1764" s="25"/>
      <c r="O1764" s="25"/>
      <c r="P1764" s="25"/>
    </row>
    <row r="1765" spans="1:16" x14ac:dyDescent="0.3">
      <c r="A1765" s="25"/>
      <c r="B1765" s="25"/>
      <c r="C1765" s="25"/>
      <c r="D1765" s="26"/>
      <c r="E1765" s="26"/>
      <c r="F1765" s="26"/>
      <c r="G1765" s="26"/>
      <c r="H1765" s="26"/>
      <c r="I1765" s="25"/>
      <c r="J1765" s="25"/>
      <c r="K1765" s="25"/>
      <c r="L1765" s="25"/>
      <c r="M1765" s="25"/>
      <c r="N1765" s="25"/>
      <c r="O1765" s="25"/>
      <c r="P1765" s="25"/>
    </row>
    <row r="1766" spans="1:16" x14ac:dyDescent="0.3">
      <c r="A1766" s="25"/>
      <c r="B1766" s="25"/>
      <c r="C1766" s="25"/>
      <c r="D1766" s="26"/>
      <c r="E1766" s="26"/>
      <c r="F1766" s="26"/>
      <c r="G1766" s="26"/>
      <c r="H1766" s="26"/>
      <c r="I1766" s="25"/>
      <c r="J1766" s="25"/>
      <c r="K1766" s="25"/>
      <c r="L1766" s="25"/>
      <c r="M1766" s="25"/>
      <c r="N1766" s="25"/>
      <c r="O1766" s="25"/>
      <c r="P1766" s="25"/>
    </row>
    <row r="1767" spans="1:16" x14ac:dyDescent="0.3">
      <c r="A1767" s="25"/>
      <c r="B1767" s="25"/>
      <c r="C1767" s="25"/>
      <c r="D1767" s="26"/>
      <c r="E1767" s="26"/>
      <c r="F1767" s="26"/>
      <c r="G1767" s="26"/>
      <c r="H1767" s="26"/>
      <c r="I1767" s="25"/>
      <c r="J1767" s="25"/>
      <c r="K1767" s="25"/>
      <c r="L1767" s="25"/>
      <c r="M1767" s="25"/>
      <c r="N1767" s="25"/>
      <c r="O1767" s="25"/>
      <c r="P1767" s="25"/>
    </row>
    <row r="1768" spans="1:16" x14ac:dyDescent="0.3">
      <c r="A1768" s="25"/>
      <c r="B1768" s="25"/>
      <c r="C1768" s="25"/>
      <c r="D1768" s="26"/>
      <c r="E1768" s="26"/>
      <c r="F1768" s="26"/>
      <c r="G1768" s="26"/>
      <c r="H1768" s="26"/>
      <c r="I1768" s="25"/>
      <c r="J1768" s="25"/>
      <c r="K1768" s="25"/>
      <c r="L1768" s="25"/>
      <c r="M1768" s="25"/>
      <c r="N1768" s="25"/>
      <c r="O1768" s="25"/>
      <c r="P1768" s="25"/>
    </row>
    <row r="1769" spans="1:16" x14ac:dyDescent="0.3">
      <c r="A1769" s="25"/>
      <c r="B1769" s="25"/>
      <c r="C1769" s="25"/>
      <c r="D1769" s="26"/>
      <c r="E1769" s="26"/>
      <c r="F1769" s="26"/>
      <c r="G1769" s="26"/>
      <c r="H1769" s="26"/>
      <c r="I1769" s="25"/>
      <c r="J1769" s="25"/>
      <c r="K1769" s="25"/>
      <c r="L1769" s="25"/>
      <c r="M1769" s="25"/>
      <c r="N1769" s="25"/>
      <c r="O1769" s="25"/>
      <c r="P1769" s="25"/>
    </row>
    <row r="1770" spans="1:16" x14ac:dyDescent="0.3">
      <c r="A1770" s="25"/>
      <c r="B1770" s="25"/>
      <c r="C1770" s="25"/>
      <c r="D1770" s="26"/>
      <c r="E1770" s="26"/>
      <c r="F1770" s="26"/>
      <c r="G1770" s="26"/>
      <c r="H1770" s="26"/>
      <c r="I1770" s="25"/>
      <c r="J1770" s="25"/>
      <c r="K1770" s="25"/>
      <c r="L1770" s="25"/>
      <c r="M1770" s="25"/>
      <c r="N1770" s="25"/>
      <c r="O1770" s="25"/>
      <c r="P1770" s="25"/>
    </row>
    <row r="1771" spans="1:16" x14ac:dyDescent="0.3">
      <c r="A1771" s="25"/>
      <c r="B1771" s="25"/>
      <c r="C1771" s="25"/>
      <c r="D1771" s="26"/>
      <c r="E1771" s="26"/>
      <c r="F1771" s="26"/>
      <c r="G1771" s="26"/>
      <c r="H1771" s="26"/>
      <c r="I1771" s="25"/>
      <c r="J1771" s="25"/>
      <c r="K1771" s="25"/>
      <c r="L1771" s="25"/>
      <c r="M1771" s="25"/>
      <c r="N1771" s="25"/>
      <c r="O1771" s="25"/>
      <c r="P1771" s="25"/>
    </row>
    <row r="1772" spans="1:16" x14ac:dyDescent="0.3">
      <c r="A1772" s="25"/>
      <c r="B1772" s="25"/>
      <c r="C1772" s="25"/>
      <c r="D1772" s="26"/>
      <c r="E1772" s="26"/>
      <c r="F1772" s="26"/>
      <c r="G1772" s="26"/>
      <c r="H1772" s="26"/>
      <c r="I1772" s="25"/>
      <c r="J1772" s="25"/>
      <c r="K1772" s="25"/>
      <c r="L1772" s="25"/>
      <c r="M1772" s="25"/>
      <c r="N1772" s="25"/>
      <c r="O1772" s="25"/>
      <c r="P1772" s="25"/>
    </row>
    <row r="1773" spans="1:16" x14ac:dyDescent="0.3">
      <c r="A1773" s="25"/>
      <c r="B1773" s="25"/>
      <c r="C1773" s="25"/>
      <c r="D1773" s="26"/>
      <c r="E1773" s="26"/>
      <c r="F1773" s="26"/>
      <c r="G1773" s="26"/>
      <c r="H1773" s="26"/>
      <c r="I1773" s="25"/>
      <c r="J1773" s="25"/>
      <c r="K1773" s="25"/>
      <c r="L1773" s="25"/>
      <c r="M1773" s="25"/>
      <c r="N1773" s="25"/>
      <c r="O1773" s="25"/>
      <c r="P1773" s="25"/>
    </row>
    <row r="1774" spans="1:16" x14ac:dyDescent="0.3">
      <c r="A1774" s="25"/>
      <c r="B1774" s="25"/>
      <c r="C1774" s="25"/>
      <c r="D1774" s="26"/>
      <c r="E1774" s="26"/>
      <c r="F1774" s="26"/>
      <c r="G1774" s="26"/>
      <c r="H1774" s="26"/>
      <c r="I1774" s="25"/>
      <c r="J1774" s="25"/>
      <c r="K1774" s="25"/>
      <c r="L1774" s="25"/>
      <c r="M1774" s="25"/>
      <c r="N1774" s="25"/>
      <c r="O1774" s="25"/>
      <c r="P1774" s="25"/>
    </row>
    <row r="1775" spans="1:16" x14ac:dyDescent="0.3">
      <c r="A1775" s="25"/>
      <c r="B1775" s="25"/>
      <c r="C1775" s="25"/>
      <c r="D1775" s="26"/>
      <c r="E1775" s="26"/>
      <c r="F1775" s="26"/>
      <c r="G1775" s="26"/>
      <c r="H1775" s="26"/>
      <c r="I1775" s="25"/>
      <c r="J1775" s="25"/>
      <c r="K1775" s="25"/>
      <c r="L1775" s="25"/>
      <c r="M1775" s="25"/>
      <c r="N1775" s="25"/>
      <c r="O1775" s="25"/>
      <c r="P1775" s="25"/>
    </row>
    <row r="1776" spans="1:16" x14ac:dyDescent="0.3">
      <c r="A1776" s="25"/>
      <c r="B1776" s="25"/>
      <c r="C1776" s="25"/>
      <c r="D1776" s="26"/>
      <c r="E1776" s="26"/>
      <c r="F1776" s="26"/>
      <c r="G1776" s="26"/>
      <c r="H1776" s="26"/>
      <c r="I1776" s="25"/>
      <c r="J1776" s="25"/>
      <c r="K1776" s="25"/>
      <c r="L1776" s="25"/>
      <c r="M1776" s="25"/>
      <c r="N1776" s="25"/>
      <c r="O1776" s="25"/>
      <c r="P1776" s="25"/>
    </row>
    <row r="1777" spans="1:16" x14ac:dyDescent="0.3">
      <c r="A1777" s="25"/>
      <c r="B1777" s="25"/>
      <c r="C1777" s="25"/>
      <c r="D1777" s="26"/>
      <c r="E1777" s="26"/>
      <c r="F1777" s="26"/>
      <c r="G1777" s="26"/>
      <c r="H1777" s="26"/>
      <c r="I1777" s="25"/>
      <c r="J1777" s="25"/>
      <c r="K1777" s="25"/>
      <c r="L1777" s="25"/>
      <c r="M1777" s="25"/>
      <c r="N1777" s="25"/>
      <c r="O1777" s="25"/>
      <c r="P1777" s="25"/>
    </row>
    <row r="1778" spans="1:16" x14ac:dyDescent="0.3">
      <c r="A1778" s="25"/>
      <c r="B1778" s="25"/>
      <c r="C1778" s="25"/>
      <c r="D1778" s="26"/>
      <c r="E1778" s="26"/>
      <c r="F1778" s="26"/>
      <c r="G1778" s="26"/>
      <c r="H1778" s="26"/>
      <c r="I1778" s="25"/>
      <c r="J1778" s="25"/>
      <c r="K1778" s="25"/>
      <c r="L1778" s="25"/>
      <c r="M1778" s="25"/>
      <c r="N1778" s="25"/>
      <c r="O1778" s="25"/>
      <c r="P1778" s="25"/>
    </row>
    <row r="1779" spans="1:16" x14ac:dyDescent="0.3">
      <c r="A1779" s="25"/>
      <c r="B1779" s="25"/>
      <c r="C1779" s="25"/>
      <c r="D1779" s="26"/>
      <c r="E1779" s="26"/>
      <c r="F1779" s="26"/>
      <c r="G1779" s="26"/>
      <c r="H1779" s="26"/>
      <c r="I1779" s="25"/>
      <c r="J1779" s="25"/>
      <c r="K1779" s="25"/>
      <c r="L1779" s="25"/>
      <c r="M1779" s="25"/>
      <c r="N1779" s="25"/>
      <c r="O1779" s="25"/>
      <c r="P1779" s="25"/>
    </row>
    <row r="1780" spans="1:16" x14ac:dyDescent="0.3">
      <c r="A1780" s="25"/>
      <c r="B1780" s="25"/>
      <c r="C1780" s="25"/>
      <c r="D1780" s="26"/>
      <c r="E1780" s="26"/>
      <c r="F1780" s="26"/>
      <c r="G1780" s="26"/>
      <c r="H1780" s="26"/>
      <c r="I1780" s="25"/>
      <c r="J1780" s="25"/>
      <c r="K1780" s="25"/>
      <c r="L1780" s="25"/>
      <c r="M1780" s="25"/>
      <c r="N1780" s="25"/>
      <c r="O1780" s="25"/>
      <c r="P1780" s="25"/>
    </row>
    <row r="1781" spans="1:16" x14ac:dyDescent="0.3">
      <c r="A1781" s="25"/>
      <c r="B1781" s="25"/>
      <c r="C1781" s="25"/>
      <c r="D1781" s="26"/>
      <c r="E1781" s="26"/>
      <c r="F1781" s="26"/>
      <c r="G1781" s="26"/>
      <c r="H1781" s="26"/>
      <c r="I1781" s="25"/>
      <c r="J1781" s="25"/>
      <c r="K1781" s="25"/>
      <c r="L1781" s="25"/>
      <c r="M1781" s="25"/>
      <c r="N1781" s="25"/>
      <c r="O1781" s="25"/>
      <c r="P1781" s="25"/>
    </row>
    <row r="1782" spans="1:16" x14ac:dyDescent="0.3">
      <c r="A1782" s="25"/>
      <c r="B1782" s="25"/>
      <c r="C1782" s="25"/>
      <c r="D1782" s="26"/>
      <c r="E1782" s="26"/>
      <c r="F1782" s="26"/>
      <c r="G1782" s="26"/>
      <c r="H1782" s="26"/>
      <c r="I1782" s="25"/>
      <c r="J1782" s="25"/>
      <c r="K1782" s="25"/>
      <c r="L1782" s="25"/>
      <c r="M1782" s="25"/>
      <c r="N1782" s="25"/>
      <c r="O1782" s="25"/>
      <c r="P1782" s="25"/>
    </row>
    <row r="1783" spans="1:16" x14ac:dyDescent="0.3">
      <c r="A1783" s="25"/>
      <c r="B1783" s="25"/>
      <c r="C1783" s="25"/>
      <c r="D1783" s="26"/>
      <c r="E1783" s="26"/>
      <c r="F1783" s="26"/>
      <c r="G1783" s="26"/>
      <c r="H1783" s="26"/>
      <c r="I1783" s="25"/>
      <c r="J1783" s="25"/>
      <c r="K1783" s="25"/>
      <c r="L1783" s="25"/>
      <c r="M1783" s="25"/>
      <c r="N1783" s="25"/>
      <c r="O1783" s="25"/>
      <c r="P1783" s="25"/>
    </row>
    <row r="1784" spans="1:16" x14ac:dyDescent="0.3">
      <c r="A1784" s="25"/>
      <c r="B1784" s="25"/>
      <c r="C1784" s="25"/>
      <c r="D1784" s="26"/>
      <c r="E1784" s="26"/>
      <c r="F1784" s="26"/>
      <c r="G1784" s="26"/>
      <c r="H1784" s="26"/>
      <c r="I1784" s="25"/>
      <c r="J1784" s="25"/>
      <c r="K1784" s="25"/>
      <c r="L1784" s="25"/>
      <c r="M1784" s="25"/>
      <c r="N1784" s="25"/>
      <c r="O1784" s="25"/>
      <c r="P1784" s="25"/>
    </row>
    <row r="1785" spans="1:16" x14ac:dyDescent="0.3">
      <c r="A1785" s="25"/>
      <c r="B1785" s="25"/>
      <c r="C1785" s="25"/>
      <c r="D1785" s="26"/>
      <c r="E1785" s="26"/>
      <c r="F1785" s="26"/>
      <c r="G1785" s="26"/>
      <c r="H1785" s="26"/>
      <c r="I1785" s="25"/>
      <c r="J1785" s="25"/>
      <c r="K1785" s="25"/>
      <c r="L1785" s="25"/>
      <c r="M1785" s="25"/>
      <c r="N1785" s="25"/>
      <c r="O1785" s="25"/>
      <c r="P1785" s="25"/>
    </row>
    <row r="1786" spans="1:16" x14ac:dyDescent="0.3">
      <c r="A1786" s="25"/>
      <c r="B1786" s="25"/>
      <c r="C1786" s="25"/>
      <c r="D1786" s="26"/>
      <c r="E1786" s="26"/>
      <c r="F1786" s="26"/>
      <c r="G1786" s="26"/>
      <c r="H1786" s="26"/>
      <c r="I1786" s="25"/>
      <c r="J1786" s="25"/>
      <c r="K1786" s="25"/>
      <c r="L1786" s="25"/>
      <c r="M1786" s="25"/>
      <c r="N1786" s="25"/>
      <c r="O1786" s="25"/>
      <c r="P1786" s="25"/>
    </row>
    <row r="1787" spans="1:16" x14ac:dyDescent="0.3">
      <c r="A1787" s="25"/>
      <c r="B1787" s="25"/>
      <c r="C1787" s="25"/>
      <c r="D1787" s="26"/>
      <c r="E1787" s="26"/>
      <c r="F1787" s="26"/>
      <c r="G1787" s="26"/>
      <c r="H1787" s="26"/>
      <c r="I1787" s="25"/>
      <c r="J1787" s="25"/>
      <c r="K1787" s="25"/>
      <c r="L1787" s="25"/>
      <c r="M1787" s="25"/>
      <c r="N1787" s="25"/>
      <c r="O1787" s="25"/>
      <c r="P1787" s="25"/>
    </row>
    <row r="1788" spans="1:16" x14ac:dyDescent="0.3">
      <c r="A1788" s="25"/>
      <c r="B1788" s="25"/>
      <c r="C1788" s="25"/>
      <c r="D1788" s="26"/>
      <c r="E1788" s="26"/>
      <c r="F1788" s="26"/>
      <c r="G1788" s="26"/>
      <c r="H1788" s="26"/>
      <c r="I1788" s="25"/>
      <c r="J1788" s="25"/>
      <c r="K1788" s="25"/>
      <c r="L1788" s="25"/>
      <c r="M1788" s="25"/>
      <c r="N1788" s="25"/>
      <c r="O1788" s="25"/>
      <c r="P1788" s="25"/>
    </row>
    <row r="1789" spans="1:16" x14ac:dyDescent="0.3">
      <c r="A1789" s="25"/>
      <c r="B1789" s="25"/>
      <c r="C1789" s="25"/>
      <c r="D1789" s="26"/>
      <c r="E1789" s="26"/>
      <c r="F1789" s="26"/>
      <c r="G1789" s="26"/>
      <c r="H1789" s="26"/>
      <c r="I1789" s="25"/>
      <c r="J1789" s="25"/>
      <c r="K1789" s="25"/>
      <c r="L1789" s="25"/>
      <c r="M1789" s="25"/>
      <c r="N1789" s="25"/>
      <c r="O1789" s="25"/>
      <c r="P1789" s="25"/>
    </row>
    <row r="1790" spans="1:16" x14ac:dyDescent="0.3">
      <c r="A1790" s="25"/>
      <c r="B1790" s="25"/>
      <c r="C1790" s="25"/>
      <c r="D1790" s="26"/>
      <c r="E1790" s="26"/>
      <c r="F1790" s="26"/>
      <c r="G1790" s="26"/>
      <c r="H1790" s="26"/>
      <c r="I1790" s="25"/>
      <c r="J1790" s="25"/>
      <c r="K1790" s="25"/>
      <c r="L1790" s="25"/>
      <c r="M1790" s="25"/>
      <c r="N1790" s="25"/>
      <c r="O1790" s="25"/>
      <c r="P1790" s="25"/>
    </row>
    <row r="1791" spans="1:16" x14ac:dyDescent="0.3">
      <c r="A1791" s="25"/>
      <c r="B1791" s="25"/>
      <c r="C1791" s="25"/>
      <c r="D1791" s="26"/>
      <c r="E1791" s="26"/>
      <c r="F1791" s="26"/>
      <c r="G1791" s="26"/>
      <c r="H1791" s="26"/>
      <c r="I1791" s="25"/>
      <c r="J1791" s="25"/>
      <c r="K1791" s="25"/>
      <c r="L1791" s="25"/>
      <c r="M1791" s="25"/>
      <c r="N1791" s="25"/>
      <c r="O1791" s="25"/>
      <c r="P1791" s="25"/>
    </row>
    <row r="1792" spans="1:16" x14ac:dyDescent="0.3">
      <c r="A1792" s="25"/>
      <c r="B1792" s="25"/>
      <c r="C1792" s="25"/>
      <c r="D1792" s="26"/>
      <c r="E1792" s="26"/>
      <c r="F1792" s="26"/>
      <c r="G1792" s="26"/>
      <c r="H1792" s="26"/>
      <c r="I1792" s="25"/>
      <c r="J1792" s="25"/>
      <c r="K1792" s="25"/>
      <c r="L1792" s="25"/>
      <c r="M1792" s="25"/>
      <c r="N1792" s="25"/>
      <c r="O1792" s="25"/>
      <c r="P1792" s="25"/>
    </row>
    <row r="1793" spans="1:16" x14ac:dyDescent="0.3">
      <c r="A1793" s="25"/>
      <c r="B1793" s="25"/>
      <c r="C1793" s="25"/>
      <c r="D1793" s="26"/>
      <c r="E1793" s="26"/>
      <c r="F1793" s="26"/>
      <c r="G1793" s="26"/>
      <c r="H1793" s="26"/>
      <c r="I1793" s="25"/>
      <c r="J1793" s="25"/>
      <c r="K1793" s="25"/>
      <c r="L1793" s="25"/>
      <c r="M1793" s="25"/>
      <c r="N1793" s="25"/>
      <c r="O1793" s="25"/>
      <c r="P1793" s="25"/>
    </row>
    <row r="1794" spans="1:16" x14ac:dyDescent="0.3">
      <c r="A1794" s="25"/>
      <c r="B1794" s="25"/>
      <c r="C1794" s="25"/>
      <c r="D1794" s="26"/>
      <c r="E1794" s="26"/>
      <c r="F1794" s="26"/>
      <c r="G1794" s="26"/>
      <c r="H1794" s="26"/>
      <c r="I1794" s="25"/>
      <c r="J1794" s="25"/>
      <c r="K1794" s="25"/>
      <c r="L1794" s="25"/>
      <c r="M1794" s="25"/>
      <c r="N1794" s="25"/>
      <c r="O1794" s="25"/>
      <c r="P1794" s="25"/>
    </row>
    <row r="1795" spans="1:16" x14ac:dyDescent="0.3">
      <c r="A1795" s="25"/>
      <c r="B1795" s="25"/>
      <c r="C1795" s="25"/>
      <c r="D1795" s="26"/>
      <c r="E1795" s="26"/>
      <c r="F1795" s="26"/>
      <c r="G1795" s="26"/>
      <c r="H1795" s="26"/>
      <c r="I1795" s="25"/>
      <c r="J1795" s="25"/>
      <c r="K1795" s="25"/>
      <c r="L1795" s="25"/>
      <c r="M1795" s="25"/>
      <c r="N1795" s="25"/>
      <c r="O1795" s="25"/>
      <c r="P1795" s="25"/>
    </row>
    <row r="1796" spans="1:16" x14ac:dyDescent="0.3">
      <c r="A1796" s="25"/>
      <c r="B1796" s="25"/>
      <c r="C1796" s="25"/>
      <c r="D1796" s="26"/>
      <c r="E1796" s="26"/>
      <c r="F1796" s="26"/>
      <c r="G1796" s="26"/>
      <c r="H1796" s="26"/>
      <c r="I1796" s="25"/>
      <c r="J1796" s="25"/>
      <c r="K1796" s="25"/>
      <c r="L1796" s="25"/>
      <c r="M1796" s="25"/>
      <c r="N1796" s="25"/>
      <c r="O1796" s="25"/>
      <c r="P1796" s="25"/>
    </row>
    <row r="1797" spans="1:16" x14ac:dyDescent="0.3">
      <c r="A1797" s="25"/>
      <c r="B1797" s="25"/>
      <c r="C1797" s="25"/>
      <c r="D1797" s="26"/>
      <c r="E1797" s="26"/>
      <c r="F1797" s="26"/>
      <c r="G1797" s="26"/>
      <c r="H1797" s="26"/>
      <c r="I1797" s="25"/>
      <c r="J1797" s="25"/>
      <c r="K1797" s="25"/>
      <c r="L1797" s="25"/>
      <c r="M1797" s="25"/>
      <c r="N1797" s="25"/>
      <c r="O1797" s="25"/>
      <c r="P1797" s="25"/>
    </row>
    <row r="1798" spans="1:16" x14ac:dyDescent="0.3">
      <c r="A1798" s="25"/>
      <c r="B1798" s="25"/>
      <c r="C1798" s="25"/>
      <c r="D1798" s="26"/>
      <c r="E1798" s="26"/>
      <c r="F1798" s="26"/>
      <c r="G1798" s="26"/>
      <c r="H1798" s="26"/>
      <c r="I1798" s="25"/>
      <c r="J1798" s="25"/>
      <c r="K1798" s="25"/>
      <c r="L1798" s="25"/>
      <c r="M1798" s="25"/>
      <c r="N1798" s="25"/>
      <c r="O1798" s="25"/>
      <c r="P1798" s="25"/>
    </row>
    <row r="1799" spans="1:16" x14ac:dyDescent="0.3">
      <c r="A1799" s="25"/>
      <c r="B1799" s="25"/>
      <c r="C1799" s="25"/>
      <c r="D1799" s="26"/>
      <c r="E1799" s="26"/>
      <c r="F1799" s="26"/>
      <c r="G1799" s="26"/>
      <c r="H1799" s="26"/>
      <c r="I1799" s="25"/>
      <c r="J1799" s="25"/>
      <c r="K1799" s="25"/>
      <c r="L1799" s="25"/>
      <c r="M1799" s="25"/>
      <c r="N1799" s="25"/>
      <c r="O1799" s="25"/>
      <c r="P1799" s="25"/>
    </row>
    <row r="1800" spans="1:16" x14ac:dyDescent="0.3">
      <c r="A1800" s="25"/>
      <c r="B1800" s="25"/>
      <c r="C1800" s="25"/>
      <c r="D1800" s="26"/>
      <c r="E1800" s="26"/>
      <c r="F1800" s="26"/>
      <c r="G1800" s="26"/>
      <c r="H1800" s="26"/>
      <c r="I1800" s="25"/>
      <c r="J1800" s="25"/>
      <c r="K1800" s="25"/>
      <c r="L1800" s="25"/>
      <c r="M1800" s="25"/>
      <c r="N1800" s="25"/>
      <c r="O1800" s="25"/>
      <c r="P1800" s="25"/>
    </row>
    <row r="1801" spans="1:16" x14ac:dyDescent="0.3">
      <c r="A1801" s="25"/>
      <c r="B1801" s="25"/>
      <c r="C1801" s="25"/>
      <c r="D1801" s="26"/>
      <c r="E1801" s="26"/>
      <c r="F1801" s="26"/>
      <c r="G1801" s="26"/>
      <c r="H1801" s="26"/>
      <c r="I1801" s="25"/>
      <c r="J1801" s="25"/>
      <c r="K1801" s="25"/>
      <c r="L1801" s="25"/>
      <c r="M1801" s="25"/>
      <c r="N1801" s="25"/>
      <c r="O1801" s="25"/>
      <c r="P1801" s="25"/>
    </row>
    <row r="1802" spans="1:16" x14ac:dyDescent="0.3">
      <c r="A1802" s="25"/>
      <c r="B1802" s="25"/>
      <c r="C1802" s="25"/>
      <c r="D1802" s="26"/>
      <c r="E1802" s="26"/>
      <c r="F1802" s="26"/>
      <c r="G1802" s="26"/>
      <c r="H1802" s="26"/>
      <c r="I1802" s="25"/>
      <c r="J1802" s="25"/>
      <c r="K1802" s="25"/>
      <c r="L1802" s="25"/>
      <c r="M1802" s="25"/>
      <c r="N1802" s="25"/>
      <c r="O1802" s="25"/>
      <c r="P1802" s="25"/>
    </row>
    <row r="1803" spans="1:16" x14ac:dyDescent="0.3">
      <c r="A1803" s="25"/>
      <c r="B1803" s="25"/>
      <c r="C1803" s="25"/>
      <c r="D1803" s="26"/>
      <c r="E1803" s="26"/>
      <c r="F1803" s="26"/>
      <c r="G1803" s="26"/>
      <c r="H1803" s="26"/>
      <c r="I1803" s="25"/>
      <c r="J1803" s="25"/>
      <c r="K1803" s="25"/>
      <c r="L1803" s="25"/>
      <c r="M1803" s="25"/>
      <c r="N1803" s="25"/>
      <c r="O1803" s="25"/>
      <c r="P1803" s="25"/>
    </row>
    <row r="1804" spans="1:16" x14ac:dyDescent="0.3">
      <c r="A1804" s="25"/>
      <c r="B1804" s="25"/>
      <c r="C1804" s="25"/>
      <c r="D1804" s="26"/>
      <c r="E1804" s="26"/>
      <c r="F1804" s="26"/>
      <c r="G1804" s="26"/>
      <c r="H1804" s="26"/>
      <c r="I1804" s="25"/>
      <c r="J1804" s="25"/>
      <c r="K1804" s="25"/>
      <c r="L1804" s="25"/>
      <c r="M1804" s="25"/>
      <c r="N1804" s="25"/>
      <c r="O1804" s="25"/>
      <c r="P1804" s="25"/>
    </row>
    <row r="1805" spans="1:16" x14ac:dyDescent="0.3">
      <c r="A1805" s="25"/>
      <c r="B1805" s="25"/>
      <c r="C1805" s="25"/>
      <c r="D1805" s="26"/>
      <c r="E1805" s="26"/>
      <c r="F1805" s="26"/>
      <c r="G1805" s="26"/>
      <c r="H1805" s="26"/>
      <c r="I1805" s="25"/>
      <c r="J1805" s="25"/>
      <c r="K1805" s="25"/>
      <c r="L1805" s="25"/>
      <c r="M1805" s="25"/>
      <c r="N1805" s="25"/>
      <c r="O1805" s="25"/>
      <c r="P1805" s="25"/>
    </row>
    <row r="1806" spans="1:16" x14ac:dyDescent="0.3">
      <c r="A1806" s="25"/>
      <c r="B1806" s="25"/>
      <c r="C1806" s="25"/>
      <c r="D1806" s="26"/>
      <c r="E1806" s="26"/>
      <c r="F1806" s="26"/>
      <c r="G1806" s="26"/>
      <c r="H1806" s="26"/>
      <c r="I1806" s="25"/>
      <c r="J1806" s="25"/>
      <c r="K1806" s="25"/>
      <c r="L1806" s="25"/>
      <c r="M1806" s="25"/>
      <c r="N1806" s="25"/>
      <c r="O1806" s="25"/>
      <c r="P1806" s="25"/>
    </row>
    <row r="1807" spans="1:16" x14ac:dyDescent="0.3">
      <c r="A1807" s="25"/>
      <c r="B1807" s="25"/>
      <c r="C1807" s="25"/>
      <c r="D1807" s="26"/>
      <c r="E1807" s="26"/>
      <c r="F1807" s="26"/>
      <c r="G1807" s="26"/>
      <c r="H1807" s="26"/>
      <c r="I1807" s="25"/>
      <c r="J1807" s="25"/>
      <c r="K1807" s="25"/>
      <c r="L1807" s="25"/>
      <c r="M1807" s="25"/>
      <c r="N1807" s="25"/>
      <c r="O1807" s="25"/>
      <c r="P1807" s="25"/>
    </row>
    <row r="1808" spans="1:16" x14ac:dyDescent="0.3">
      <c r="A1808" s="25"/>
      <c r="B1808" s="25"/>
      <c r="C1808" s="25"/>
      <c r="D1808" s="26"/>
      <c r="E1808" s="26"/>
      <c r="F1808" s="26"/>
      <c r="G1808" s="26"/>
      <c r="H1808" s="26"/>
      <c r="I1808" s="25"/>
      <c r="J1808" s="25"/>
      <c r="K1808" s="25"/>
      <c r="L1808" s="25"/>
      <c r="M1808" s="25"/>
      <c r="N1808" s="25"/>
      <c r="O1808" s="25"/>
      <c r="P1808" s="25"/>
    </row>
    <row r="1809" spans="1:16" x14ac:dyDescent="0.3">
      <c r="A1809" s="25"/>
      <c r="B1809" s="25"/>
      <c r="C1809" s="25"/>
      <c r="D1809" s="26"/>
      <c r="E1809" s="26"/>
      <c r="F1809" s="26"/>
      <c r="G1809" s="26"/>
      <c r="H1809" s="26"/>
      <c r="I1809" s="25"/>
      <c r="J1809" s="25"/>
      <c r="K1809" s="25"/>
      <c r="L1809" s="25"/>
      <c r="M1809" s="25"/>
      <c r="N1809" s="25"/>
      <c r="O1809" s="25"/>
      <c r="P1809" s="25"/>
    </row>
    <row r="1810" spans="1:16" x14ac:dyDescent="0.3">
      <c r="A1810" s="25"/>
      <c r="B1810" s="25"/>
      <c r="C1810" s="25"/>
      <c r="D1810" s="26"/>
      <c r="E1810" s="26"/>
      <c r="F1810" s="26"/>
      <c r="G1810" s="26"/>
      <c r="H1810" s="26"/>
      <c r="I1810" s="25"/>
      <c r="J1810" s="25"/>
      <c r="K1810" s="25"/>
      <c r="L1810" s="25"/>
      <c r="M1810" s="25"/>
      <c r="N1810" s="25"/>
      <c r="O1810" s="25"/>
      <c r="P1810" s="25"/>
    </row>
    <row r="1811" spans="1:16" x14ac:dyDescent="0.3">
      <c r="A1811" s="25"/>
      <c r="B1811" s="25"/>
      <c r="C1811" s="25"/>
      <c r="D1811" s="26"/>
      <c r="E1811" s="26"/>
      <c r="F1811" s="26"/>
      <c r="G1811" s="26"/>
      <c r="H1811" s="26"/>
      <c r="I1811" s="25"/>
      <c r="J1811" s="25"/>
      <c r="K1811" s="25"/>
      <c r="L1811" s="25"/>
      <c r="M1811" s="25"/>
      <c r="N1811" s="25"/>
      <c r="O1811" s="25"/>
      <c r="P1811" s="25"/>
    </row>
    <row r="1812" spans="1:16" x14ac:dyDescent="0.3">
      <c r="A1812" s="25"/>
      <c r="B1812" s="25"/>
      <c r="C1812" s="25"/>
      <c r="D1812" s="26"/>
      <c r="E1812" s="26"/>
      <c r="F1812" s="26"/>
      <c r="G1812" s="26"/>
      <c r="H1812" s="26"/>
      <c r="I1812" s="25"/>
      <c r="J1812" s="25"/>
      <c r="K1812" s="25"/>
      <c r="L1812" s="25"/>
      <c r="M1812" s="25"/>
      <c r="N1812" s="25"/>
      <c r="O1812" s="25"/>
      <c r="P1812" s="25"/>
    </row>
    <row r="1813" spans="1:16" x14ac:dyDescent="0.3">
      <c r="A1813" s="25"/>
      <c r="B1813" s="25"/>
      <c r="C1813" s="25"/>
      <c r="D1813" s="26"/>
      <c r="E1813" s="26"/>
      <c r="F1813" s="26"/>
      <c r="G1813" s="26"/>
      <c r="H1813" s="26"/>
      <c r="I1813" s="25"/>
      <c r="J1813" s="25"/>
      <c r="K1813" s="25"/>
      <c r="L1813" s="25"/>
      <c r="M1813" s="25"/>
      <c r="N1813" s="25"/>
      <c r="O1813" s="25"/>
      <c r="P1813" s="25"/>
    </row>
    <row r="1814" spans="1:16" x14ac:dyDescent="0.3">
      <c r="A1814" s="25"/>
      <c r="B1814" s="25"/>
      <c r="C1814" s="25"/>
      <c r="D1814" s="26"/>
      <c r="E1814" s="26"/>
      <c r="F1814" s="26"/>
      <c r="G1814" s="26"/>
      <c r="H1814" s="26"/>
      <c r="I1814" s="25"/>
      <c r="J1814" s="25"/>
      <c r="K1814" s="25"/>
      <c r="L1814" s="25"/>
      <c r="M1814" s="25"/>
      <c r="N1814" s="25"/>
      <c r="O1814" s="25"/>
      <c r="P1814" s="25"/>
    </row>
    <row r="1815" spans="1:16" x14ac:dyDescent="0.3">
      <c r="A1815" s="25"/>
      <c r="B1815" s="25"/>
      <c r="C1815" s="25"/>
      <c r="D1815" s="26"/>
      <c r="E1815" s="26"/>
      <c r="F1815" s="26"/>
      <c r="G1815" s="26"/>
      <c r="H1815" s="26"/>
      <c r="I1815" s="25"/>
      <c r="J1815" s="25"/>
      <c r="K1815" s="25"/>
      <c r="L1815" s="25"/>
      <c r="M1815" s="25"/>
      <c r="N1815" s="25"/>
      <c r="O1815" s="25"/>
      <c r="P1815" s="25"/>
    </row>
    <row r="1816" spans="1:16" x14ac:dyDescent="0.3">
      <c r="A1816" s="25"/>
      <c r="B1816" s="25"/>
      <c r="C1816" s="25"/>
      <c r="D1816" s="26"/>
      <c r="E1816" s="26"/>
      <c r="F1816" s="26"/>
      <c r="G1816" s="26"/>
      <c r="H1816" s="26"/>
      <c r="I1816" s="25"/>
      <c r="J1816" s="25"/>
      <c r="K1816" s="25"/>
      <c r="L1816" s="25"/>
      <c r="M1816" s="25"/>
      <c r="N1816" s="25"/>
      <c r="O1816" s="25"/>
      <c r="P1816" s="25"/>
    </row>
    <row r="1817" spans="1:16" x14ac:dyDescent="0.3">
      <c r="A1817" s="25"/>
      <c r="B1817" s="25"/>
      <c r="C1817" s="25"/>
      <c r="D1817" s="26"/>
      <c r="E1817" s="26"/>
      <c r="F1817" s="26"/>
      <c r="G1817" s="26"/>
      <c r="H1817" s="26"/>
      <c r="I1817" s="25"/>
      <c r="J1817" s="25"/>
      <c r="K1817" s="25"/>
      <c r="L1817" s="25"/>
      <c r="M1817" s="25"/>
      <c r="N1817" s="25"/>
      <c r="O1817" s="25"/>
      <c r="P1817" s="25"/>
    </row>
    <row r="1818" spans="1:16" x14ac:dyDescent="0.3">
      <c r="A1818" s="25"/>
      <c r="B1818" s="25"/>
      <c r="C1818" s="25"/>
      <c r="D1818" s="26"/>
      <c r="E1818" s="26"/>
      <c r="F1818" s="26"/>
      <c r="G1818" s="26"/>
      <c r="H1818" s="26"/>
      <c r="I1818" s="25"/>
      <c r="J1818" s="25"/>
      <c r="K1818" s="25"/>
      <c r="L1818" s="25"/>
      <c r="M1818" s="25"/>
      <c r="N1818" s="25"/>
      <c r="O1818" s="25"/>
      <c r="P1818" s="25"/>
    </row>
    <row r="1819" spans="1:16" x14ac:dyDescent="0.3">
      <c r="A1819" s="25"/>
      <c r="B1819" s="25"/>
      <c r="C1819" s="25"/>
      <c r="D1819" s="26"/>
      <c r="E1819" s="26"/>
      <c r="F1819" s="26"/>
      <c r="G1819" s="26"/>
      <c r="H1819" s="26"/>
      <c r="I1819" s="25"/>
      <c r="J1819" s="25"/>
      <c r="K1819" s="25"/>
      <c r="L1819" s="25"/>
      <c r="M1819" s="25"/>
      <c r="N1819" s="25"/>
      <c r="O1819" s="25"/>
      <c r="P1819" s="25"/>
    </row>
    <row r="1820" spans="1:16" x14ac:dyDescent="0.3">
      <c r="A1820" s="25"/>
      <c r="B1820" s="25"/>
      <c r="C1820" s="25"/>
      <c r="D1820" s="26"/>
      <c r="E1820" s="26"/>
      <c r="F1820" s="26"/>
      <c r="G1820" s="26"/>
      <c r="H1820" s="26"/>
      <c r="I1820" s="25"/>
      <c r="J1820" s="25"/>
      <c r="K1820" s="25"/>
      <c r="L1820" s="25"/>
      <c r="M1820" s="25"/>
      <c r="N1820" s="25"/>
      <c r="O1820" s="25"/>
      <c r="P1820" s="25"/>
    </row>
    <row r="1821" spans="1:16" x14ac:dyDescent="0.3">
      <c r="A1821" s="25"/>
      <c r="B1821" s="25"/>
      <c r="C1821" s="25"/>
      <c r="D1821" s="26"/>
      <c r="E1821" s="26"/>
      <c r="F1821" s="26"/>
      <c r="G1821" s="26"/>
      <c r="H1821" s="26"/>
      <c r="I1821" s="25"/>
      <c r="J1821" s="25"/>
      <c r="K1821" s="25"/>
      <c r="L1821" s="25"/>
      <c r="M1821" s="25"/>
      <c r="N1821" s="25"/>
      <c r="O1821" s="25"/>
      <c r="P1821" s="25"/>
    </row>
    <row r="1822" spans="1:16" x14ac:dyDescent="0.3">
      <c r="A1822" s="25"/>
      <c r="B1822" s="25"/>
      <c r="C1822" s="25"/>
      <c r="D1822" s="26"/>
      <c r="E1822" s="26"/>
      <c r="F1822" s="26"/>
      <c r="G1822" s="26"/>
      <c r="H1822" s="26"/>
      <c r="I1822" s="25"/>
      <c r="J1822" s="25"/>
      <c r="K1822" s="25"/>
      <c r="L1822" s="25"/>
      <c r="M1822" s="25"/>
      <c r="N1822" s="25"/>
      <c r="O1822" s="25"/>
      <c r="P1822" s="25"/>
    </row>
    <row r="1823" spans="1:16" x14ac:dyDescent="0.3">
      <c r="A1823" s="25"/>
      <c r="B1823" s="25"/>
      <c r="C1823" s="25"/>
      <c r="D1823" s="26"/>
      <c r="E1823" s="26"/>
      <c r="F1823" s="26"/>
      <c r="G1823" s="26"/>
      <c r="H1823" s="26"/>
      <c r="I1823" s="25"/>
      <c r="J1823" s="25"/>
      <c r="K1823" s="25"/>
      <c r="L1823" s="25"/>
      <c r="M1823" s="25"/>
      <c r="N1823" s="25"/>
      <c r="O1823" s="25"/>
      <c r="P1823" s="25"/>
    </row>
    <row r="1824" spans="1:16" x14ac:dyDescent="0.3">
      <c r="A1824" s="25"/>
      <c r="B1824" s="25"/>
      <c r="C1824" s="25"/>
      <c r="D1824" s="26"/>
      <c r="E1824" s="26"/>
      <c r="F1824" s="26"/>
      <c r="G1824" s="26"/>
      <c r="H1824" s="26"/>
      <c r="I1824" s="25"/>
      <c r="J1824" s="25"/>
      <c r="K1824" s="25"/>
      <c r="L1824" s="25"/>
      <c r="M1824" s="25"/>
      <c r="N1824" s="25"/>
      <c r="O1824" s="25"/>
      <c r="P1824" s="25"/>
    </row>
    <row r="1825" spans="1:16" x14ac:dyDescent="0.3">
      <c r="A1825" s="25"/>
      <c r="B1825" s="25"/>
      <c r="C1825" s="25"/>
      <c r="D1825" s="26"/>
      <c r="E1825" s="26"/>
      <c r="F1825" s="26"/>
      <c r="G1825" s="26"/>
      <c r="H1825" s="26"/>
      <c r="I1825" s="25"/>
      <c r="J1825" s="25"/>
      <c r="K1825" s="25"/>
      <c r="L1825" s="25"/>
      <c r="M1825" s="25"/>
      <c r="N1825" s="25"/>
      <c r="O1825" s="25"/>
      <c r="P1825" s="25"/>
    </row>
    <row r="1826" spans="1:16" x14ac:dyDescent="0.3">
      <c r="A1826" s="25"/>
      <c r="B1826" s="25"/>
      <c r="C1826" s="25"/>
      <c r="D1826" s="26"/>
      <c r="E1826" s="26"/>
      <c r="F1826" s="26"/>
      <c r="G1826" s="26"/>
      <c r="H1826" s="26"/>
      <c r="I1826" s="25"/>
      <c r="J1826" s="25"/>
      <c r="K1826" s="25"/>
      <c r="L1826" s="25"/>
      <c r="M1826" s="25"/>
      <c r="N1826" s="25"/>
      <c r="O1826" s="25"/>
      <c r="P1826" s="25"/>
    </row>
    <row r="1827" spans="1:16" x14ac:dyDescent="0.3">
      <c r="A1827" s="25"/>
      <c r="B1827" s="25"/>
      <c r="C1827" s="25"/>
      <c r="D1827" s="26"/>
      <c r="E1827" s="26"/>
      <c r="F1827" s="26"/>
      <c r="G1827" s="26"/>
      <c r="H1827" s="26"/>
      <c r="I1827" s="25"/>
      <c r="J1827" s="25"/>
      <c r="K1827" s="25"/>
      <c r="L1827" s="25"/>
      <c r="M1827" s="25"/>
      <c r="N1827" s="25"/>
      <c r="O1827" s="25"/>
      <c r="P1827" s="25"/>
    </row>
    <row r="1828" spans="1:16" x14ac:dyDescent="0.3">
      <c r="A1828" s="25"/>
      <c r="B1828" s="25"/>
      <c r="C1828" s="25"/>
      <c r="D1828" s="26"/>
      <c r="E1828" s="26"/>
      <c r="F1828" s="26"/>
      <c r="G1828" s="26"/>
      <c r="H1828" s="26"/>
      <c r="I1828" s="25"/>
      <c r="J1828" s="25"/>
      <c r="K1828" s="25"/>
      <c r="L1828" s="25"/>
      <c r="M1828" s="25"/>
      <c r="N1828" s="25"/>
      <c r="O1828" s="25"/>
      <c r="P1828" s="25"/>
    </row>
    <row r="1829" spans="1:16" x14ac:dyDescent="0.3">
      <c r="A1829" s="25"/>
      <c r="B1829" s="25"/>
      <c r="C1829" s="25"/>
      <c r="D1829" s="26"/>
      <c r="E1829" s="26"/>
      <c r="F1829" s="26"/>
      <c r="G1829" s="26"/>
      <c r="H1829" s="26"/>
      <c r="I1829" s="25"/>
      <c r="J1829" s="25"/>
      <c r="K1829" s="25"/>
      <c r="L1829" s="25"/>
      <c r="M1829" s="25"/>
      <c r="N1829" s="25"/>
      <c r="O1829" s="25"/>
      <c r="P1829" s="25"/>
    </row>
    <row r="1830" spans="1:16" x14ac:dyDescent="0.3">
      <c r="A1830" s="25"/>
      <c r="B1830" s="25"/>
      <c r="C1830" s="25"/>
      <c r="D1830" s="26"/>
      <c r="E1830" s="26"/>
      <c r="F1830" s="26"/>
      <c r="G1830" s="26"/>
      <c r="H1830" s="26"/>
      <c r="I1830" s="25"/>
      <c r="J1830" s="25"/>
      <c r="K1830" s="25"/>
      <c r="L1830" s="25"/>
      <c r="M1830" s="25"/>
      <c r="N1830" s="25"/>
      <c r="O1830" s="25"/>
      <c r="P1830" s="25"/>
    </row>
    <row r="1831" spans="1:16" x14ac:dyDescent="0.3">
      <c r="A1831" s="25"/>
      <c r="B1831" s="25"/>
      <c r="C1831" s="25"/>
      <c r="D1831" s="26"/>
      <c r="E1831" s="26"/>
      <c r="F1831" s="26"/>
      <c r="G1831" s="26"/>
      <c r="H1831" s="26"/>
      <c r="I1831" s="25"/>
      <c r="J1831" s="25"/>
      <c r="K1831" s="25"/>
      <c r="L1831" s="25"/>
      <c r="M1831" s="25"/>
      <c r="N1831" s="25"/>
      <c r="O1831" s="25"/>
      <c r="P1831" s="25"/>
    </row>
    <row r="1832" spans="1:16" x14ac:dyDescent="0.3">
      <c r="A1832" s="25"/>
      <c r="B1832" s="25"/>
      <c r="C1832" s="25"/>
      <c r="D1832" s="26"/>
      <c r="E1832" s="26"/>
      <c r="F1832" s="26"/>
      <c r="G1832" s="26"/>
      <c r="H1832" s="26"/>
      <c r="I1832" s="25"/>
      <c r="J1832" s="25"/>
      <c r="K1832" s="25"/>
      <c r="L1832" s="25"/>
      <c r="M1832" s="25"/>
      <c r="N1832" s="25"/>
      <c r="O1832" s="25"/>
      <c r="P1832" s="25"/>
    </row>
    <row r="1833" spans="1:16" x14ac:dyDescent="0.3">
      <c r="A1833" s="25"/>
      <c r="B1833" s="25"/>
      <c r="C1833" s="25"/>
      <c r="D1833" s="26"/>
      <c r="E1833" s="26"/>
      <c r="F1833" s="26"/>
      <c r="G1833" s="26"/>
      <c r="H1833" s="26"/>
      <c r="I1833" s="25"/>
      <c r="J1833" s="25"/>
      <c r="K1833" s="25"/>
      <c r="L1833" s="25"/>
      <c r="M1833" s="25"/>
      <c r="N1833" s="25"/>
      <c r="O1833" s="25"/>
      <c r="P1833" s="25"/>
    </row>
    <row r="1834" spans="1:16" x14ac:dyDescent="0.3">
      <c r="A1834" s="25"/>
      <c r="B1834" s="25"/>
      <c r="C1834" s="25"/>
      <c r="D1834" s="26"/>
      <c r="E1834" s="26"/>
      <c r="F1834" s="26"/>
      <c r="G1834" s="26"/>
      <c r="H1834" s="26"/>
      <c r="I1834" s="25"/>
      <c r="J1834" s="25"/>
      <c r="K1834" s="25"/>
      <c r="L1834" s="25"/>
      <c r="M1834" s="25"/>
      <c r="N1834" s="25"/>
      <c r="O1834" s="25"/>
      <c r="P1834" s="25"/>
    </row>
    <row r="1835" spans="1:16" x14ac:dyDescent="0.3">
      <c r="A1835" s="25"/>
      <c r="B1835" s="25"/>
      <c r="C1835" s="25"/>
      <c r="D1835" s="26"/>
      <c r="E1835" s="26"/>
      <c r="F1835" s="26"/>
      <c r="G1835" s="26"/>
      <c r="H1835" s="26"/>
      <c r="I1835" s="25"/>
      <c r="J1835" s="25"/>
      <c r="K1835" s="25"/>
      <c r="L1835" s="25"/>
      <c r="M1835" s="25"/>
      <c r="N1835" s="25"/>
      <c r="O1835" s="25"/>
      <c r="P1835" s="25"/>
    </row>
    <row r="1836" spans="1:16" x14ac:dyDescent="0.3">
      <c r="A1836" s="25"/>
      <c r="B1836" s="25"/>
      <c r="C1836" s="25"/>
      <c r="D1836" s="26"/>
      <c r="E1836" s="26"/>
      <c r="F1836" s="26"/>
      <c r="G1836" s="26"/>
      <c r="H1836" s="26"/>
      <c r="I1836" s="25"/>
      <c r="J1836" s="25"/>
      <c r="K1836" s="25"/>
      <c r="L1836" s="25"/>
      <c r="M1836" s="25"/>
      <c r="N1836" s="25"/>
      <c r="O1836" s="25"/>
      <c r="P1836" s="25"/>
    </row>
    <row r="1837" spans="1:16" x14ac:dyDescent="0.3">
      <c r="A1837" s="25"/>
      <c r="B1837" s="25"/>
      <c r="C1837" s="25"/>
      <c r="D1837" s="26"/>
      <c r="E1837" s="26"/>
      <c r="F1837" s="26"/>
      <c r="G1837" s="26"/>
      <c r="H1837" s="26"/>
      <c r="I1837" s="25"/>
      <c r="J1837" s="25"/>
      <c r="K1837" s="25"/>
      <c r="L1837" s="25"/>
      <c r="M1837" s="25"/>
      <c r="N1837" s="25"/>
      <c r="O1837" s="25"/>
      <c r="P1837" s="25"/>
    </row>
    <row r="1838" spans="1:16" x14ac:dyDescent="0.3">
      <c r="A1838" s="25"/>
      <c r="B1838" s="25"/>
      <c r="C1838" s="25"/>
      <c r="D1838" s="26"/>
      <c r="E1838" s="26"/>
      <c r="F1838" s="26"/>
      <c r="G1838" s="26"/>
      <c r="H1838" s="26"/>
      <c r="I1838" s="25"/>
      <c r="J1838" s="25"/>
      <c r="K1838" s="25"/>
      <c r="L1838" s="25"/>
      <c r="M1838" s="25"/>
      <c r="N1838" s="25"/>
      <c r="O1838" s="25"/>
      <c r="P1838" s="25"/>
    </row>
    <row r="1839" spans="1:16" x14ac:dyDescent="0.3">
      <c r="A1839" s="25"/>
      <c r="B1839" s="25"/>
      <c r="C1839" s="25"/>
      <c r="D1839" s="26"/>
      <c r="E1839" s="26"/>
      <c r="F1839" s="26"/>
      <c r="G1839" s="26"/>
      <c r="H1839" s="26"/>
      <c r="I1839" s="25"/>
      <c r="J1839" s="25"/>
      <c r="K1839" s="25"/>
      <c r="L1839" s="25"/>
      <c r="M1839" s="25"/>
      <c r="N1839" s="25"/>
      <c r="O1839" s="25"/>
      <c r="P1839" s="25"/>
    </row>
    <row r="1840" spans="1:16" x14ac:dyDescent="0.3">
      <c r="A1840" s="25"/>
      <c r="B1840" s="25"/>
      <c r="C1840" s="25"/>
      <c r="D1840" s="26"/>
      <c r="E1840" s="26"/>
      <c r="F1840" s="26"/>
      <c r="G1840" s="26"/>
      <c r="H1840" s="26"/>
      <c r="I1840" s="25"/>
      <c r="J1840" s="25"/>
      <c r="K1840" s="25"/>
      <c r="L1840" s="25"/>
      <c r="M1840" s="25"/>
      <c r="N1840" s="25"/>
      <c r="O1840" s="25"/>
      <c r="P1840" s="25"/>
    </row>
    <row r="1841" spans="1:16" x14ac:dyDescent="0.3">
      <c r="A1841" s="25"/>
      <c r="B1841" s="25"/>
      <c r="C1841" s="25"/>
      <c r="D1841" s="26"/>
      <c r="E1841" s="26"/>
      <c r="F1841" s="26"/>
      <c r="G1841" s="26"/>
      <c r="H1841" s="26"/>
      <c r="I1841" s="25"/>
      <c r="J1841" s="25"/>
      <c r="K1841" s="25"/>
      <c r="L1841" s="25"/>
      <c r="M1841" s="25"/>
      <c r="N1841" s="25"/>
      <c r="O1841" s="25"/>
      <c r="P1841" s="25"/>
    </row>
    <row r="1842" spans="1:16" x14ac:dyDescent="0.3">
      <c r="A1842" s="25"/>
      <c r="B1842" s="25"/>
      <c r="C1842" s="25"/>
      <c r="D1842" s="26"/>
      <c r="E1842" s="26"/>
      <c r="F1842" s="26"/>
      <c r="G1842" s="26"/>
      <c r="H1842" s="26"/>
      <c r="I1842" s="25"/>
      <c r="J1842" s="25"/>
      <c r="K1842" s="25"/>
      <c r="L1842" s="25"/>
      <c r="M1842" s="25"/>
      <c r="N1842" s="25"/>
      <c r="O1842" s="25"/>
      <c r="P1842" s="25"/>
    </row>
    <row r="1843" spans="1:16" x14ac:dyDescent="0.3">
      <c r="A1843" s="25"/>
      <c r="B1843" s="25"/>
      <c r="C1843" s="25"/>
      <c r="D1843" s="26"/>
      <c r="E1843" s="26"/>
      <c r="F1843" s="26"/>
      <c r="G1843" s="26"/>
      <c r="H1843" s="26"/>
      <c r="I1843" s="25"/>
      <c r="J1843" s="25"/>
      <c r="K1843" s="25"/>
      <c r="L1843" s="25"/>
      <c r="M1843" s="25"/>
      <c r="N1843" s="25"/>
      <c r="O1843" s="25"/>
      <c r="P1843" s="25"/>
    </row>
    <row r="1844" spans="1:16" x14ac:dyDescent="0.3">
      <c r="A1844" s="25"/>
      <c r="B1844" s="25"/>
      <c r="C1844" s="25"/>
      <c r="D1844" s="26"/>
      <c r="E1844" s="26"/>
      <c r="F1844" s="26"/>
      <c r="G1844" s="26"/>
      <c r="H1844" s="26"/>
      <c r="I1844" s="25"/>
      <c r="J1844" s="25"/>
      <c r="K1844" s="25"/>
      <c r="L1844" s="25"/>
      <c r="M1844" s="25"/>
      <c r="N1844" s="25"/>
      <c r="O1844" s="25"/>
      <c r="P1844" s="25"/>
    </row>
    <row r="1845" spans="1:16" x14ac:dyDescent="0.3">
      <c r="A1845" s="25"/>
      <c r="B1845" s="25"/>
      <c r="C1845" s="25"/>
      <c r="D1845" s="26"/>
      <c r="E1845" s="26"/>
      <c r="F1845" s="26"/>
      <c r="G1845" s="26"/>
      <c r="H1845" s="26"/>
      <c r="I1845" s="25"/>
      <c r="J1845" s="25"/>
      <c r="K1845" s="25"/>
      <c r="L1845" s="25"/>
      <c r="M1845" s="25"/>
      <c r="N1845" s="25"/>
      <c r="O1845" s="25"/>
      <c r="P1845" s="25"/>
    </row>
    <row r="1846" spans="1:16" x14ac:dyDescent="0.3">
      <c r="A1846" s="25"/>
      <c r="B1846" s="25"/>
      <c r="C1846" s="25"/>
      <c r="D1846" s="26"/>
      <c r="E1846" s="26"/>
      <c r="F1846" s="26"/>
      <c r="G1846" s="26"/>
      <c r="H1846" s="26"/>
      <c r="I1846" s="25"/>
      <c r="J1846" s="25"/>
      <c r="K1846" s="25"/>
      <c r="L1846" s="25"/>
      <c r="M1846" s="25"/>
      <c r="N1846" s="25"/>
      <c r="O1846" s="25"/>
      <c r="P1846" s="25"/>
    </row>
    <row r="1847" spans="1:16" x14ac:dyDescent="0.3">
      <c r="A1847" s="25"/>
      <c r="B1847" s="25"/>
      <c r="C1847" s="25"/>
      <c r="D1847" s="26"/>
      <c r="E1847" s="26"/>
      <c r="F1847" s="26"/>
      <c r="G1847" s="26"/>
      <c r="H1847" s="26"/>
      <c r="I1847" s="25"/>
      <c r="J1847" s="25"/>
      <c r="K1847" s="25"/>
      <c r="L1847" s="25"/>
      <c r="M1847" s="25"/>
      <c r="N1847" s="25"/>
      <c r="O1847" s="25"/>
      <c r="P1847" s="25"/>
    </row>
    <row r="1848" spans="1:16" x14ac:dyDescent="0.3">
      <c r="A1848" s="25"/>
      <c r="B1848" s="25"/>
      <c r="C1848" s="25"/>
      <c r="D1848" s="26"/>
      <c r="E1848" s="26"/>
      <c r="F1848" s="26"/>
      <c r="G1848" s="26"/>
      <c r="H1848" s="26"/>
      <c r="I1848" s="25"/>
      <c r="J1848" s="25"/>
      <c r="K1848" s="25"/>
      <c r="L1848" s="25"/>
      <c r="M1848" s="25"/>
      <c r="N1848" s="25"/>
      <c r="O1848" s="25"/>
      <c r="P1848" s="25"/>
    </row>
    <row r="1849" spans="1:16" x14ac:dyDescent="0.3">
      <c r="A1849" s="25"/>
      <c r="B1849" s="25"/>
      <c r="C1849" s="25"/>
      <c r="D1849" s="26"/>
      <c r="E1849" s="26"/>
      <c r="F1849" s="26"/>
      <c r="G1849" s="26"/>
      <c r="H1849" s="26"/>
      <c r="I1849" s="25"/>
      <c r="J1849" s="25"/>
      <c r="K1849" s="25"/>
      <c r="L1849" s="25"/>
      <c r="M1849" s="25"/>
      <c r="N1849" s="25"/>
      <c r="O1849" s="25"/>
      <c r="P1849" s="25"/>
    </row>
    <row r="1850" spans="1:16" x14ac:dyDescent="0.3">
      <c r="A1850" s="25"/>
      <c r="B1850" s="25"/>
      <c r="C1850" s="25"/>
      <c r="D1850" s="26"/>
      <c r="E1850" s="26"/>
      <c r="F1850" s="26"/>
      <c r="G1850" s="26"/>
      <c r="H1850" s="26"/>
      <c r="I1850" s="25"/>
      <c r="J1850" s="25"/>
      <c r="K1850" s="25"/>
      <c r="L1850" s="25"/>
      <c r="M1850" s="25"/>
      <c r="N1850" s="25"/>
      <c r="O1850" s="25"/>
      <c r="P1850" s="25"/>
    </row>
    <row r="1851" spans="1:16" x14ac:dyDescent="0.3">
      <c r="A1851" s="25"/>
      <c r="B1851" s="25"/>
      <c r="C1851" s="25"/>
      <c r="D1851" s="26"/>
      <c r="E1851" s="26"/>
      <c r="F1851" s="26"/>
      <c r="G1851" s="26"/>
      <c r="H1851" s="26"/>
      <c r="I1851" s="25"/>
      <c r="J1851" s="25"/>
      <c r="K1851" s="25"/>
      <c r="L1851" s="25"/>
      <c r="M1851" s="25"/>
      <c r="N1851" s="25"/>
      <c r="O1851" s="25"/>
      <c r="P1851" s="25"/>
    </row>
    <row r="1852" spans="1:16" x14ac:dyDescent="0.3">
      <c r="A1852" s="25"/>
      <c r="B1852" s="25"/>
      <c r="C1852" s="25"/>
      <c r="D1852" s="26"/>
      <c r="E1852" s="26"/>
      <c r="F1852" s="26"/>
      <c r="G1852" s="26"/>
      <c r="H1852" s="26"/>
      <c r="I1852" s="25"/>
      <c r="J1852" s="25"/>
      <c r="K1852" s="25"/>
      <c r="L1852" s="25"/>
      <c r="M1852" s="25"/>
      <c r="N1852" s="25"/>
      <c r="O1852" s="25"/>
      <c r="P1852" s="25"/>
    </row>
    <row r="1853" spans="1:16" x14ac:dyDescent="0.3">
      <c r="A1853" s="25"/>
      <c r="B1853" s="25"/>
      <c r="C1853" s="25"/>
      <c r="D1853" s="26"/>
      <c r="E1853" s="26"/>
      <c r="F1853" s="26"/>
      <c r="G1853" s="26"/>
      <c r="H1853" s="26"/>
      <c r="I1853" s="25"/>
      <c r="J1853" s="25"/>
      <c r="K1853" s="25"/>
      <c r="L1853" s="25"/>
      <c r="M1853" s="25"/>
      <c r="N1853" s="25"/>
      <c r="O1853" s="25"/>
      <c r="P1853" s="25"/>
    </row>
    <row r="1854" spans="1:16" x14ac:dyDescent="0.3">
      <c r="A1854" s="25"/>
      <c r="B1854" s="25"/>
      <c r="C1854" s="25"/>
      <c r="D1854" s="26"/>
      <c r="E1854" s="26"/>
      <c r="F1854" s="26"/>
      <c r="G1854" s="26"/>
      <c r="H1854" s="26"/>
      <c r="I1854" s="25"/>
      <c r="J1854" s="25"/>
      <c r="K1854" s="25"/>
      <c r="L1854" s="25"/>
      <c r="M1854" s="25"/>
      <c r="N1854" s="25"/>
      <c r="O1854" s="25"/>
      <c r="P1854" s="25"/>
    </row>
    <row r="1855" spans="1:16" x14ac:dyDescent="0.3">
      <c r="A1855" s="25"/>
      <c r="B1855" s="25"/>
      <c r="C1855" s="25"/>
      <c r="D1855" s="26"/>
      <c r="E1855" s="26"/>
      <c r="F1855" s="26"/>
      <c r="G1855" s="26"/>
      <c r="H1855" s="26"/>
      <c r="I1855" s="25"/>
      <c r="J1855" s="25"/>
      <c r="K1855" s="25"/>
      <c r="L1855" s="25"/>
      <c r="M1855" s="25"/>
      <c r="N1855" s="25"/>
      <c r="O1855" s="25"/>
      <c r="P1855" s="25"/>
    </row>
    <row r="1856" spans="1:16" x14ac:dyDescent="0.3">
      <c r="A1856" s="25"/>
      <c r="B1856" s="25"/>
      <c r="C1856" s="25"/>
      <c r="D1856" s="26"/>
      <c r="E1856" s="26"/>
      <c r="F1856" s="26"/>
      <c r="G1856" s="26"/>
      <c r="H1856" s="26"/>
      <c r="I1856" s="25"/>
      <c r="J1856" s="25"/>
      <c r="K1856" s="25"/>
      <c r="L1856" s="25"/>
      <c r="M1856" s="25"/>
      <c r="N1856" s="25"/>
      <c r="O1856" s="25"/>
      <c r="P1856" s="25"/>
    </row>
    <row r="1857" spans="1:16" x14ac:dyDescent="0.3">
      <c r="A1857" s="25"/>
      <c r="B1857" s="25"/>
      <c r="C1857" s="25"/>
      <c r="D1857" s="26"/>
      <c r="E1857" s="26"/>
      <c r="F1857" s="26"/>
      <c r="G1857" s="26"/>
      <c r="H1857" s="26"/>
      <c r="I1857" s="25"/>
      <c r="J1857" s="25"/>
      <c r="K1857" s="25"/>
      <c r="L1857" s="25"/>
      <c r="M1857" s="25"/>
      <c r="N1857" s="25"/>
      <c r="O1857" s="25"/>
      <c r="P1857" s="25"/>
    </row>
    <row r="1858" spans="1:16" x14ac:dyDescent="0.3">
      <c r="A1858" s="25"/>
      <c r="B1858" s="25"/>
      <c r="C1858" s="25"/>
      <c r="D1858" s="26"/>
      <c r="E1858" s="26"/>
      <c r="F1858" s="26"/>
      <c r="G1858" s="26"/>
      <c r="H1858" s="26"/>
      <c r="I1858" s="25"/>
      <c r="J1858" s="25"/>
      <c r="K1858" s="25"/>
      <c r="L1858" s="25"/>
      <c r="M1858" s="25"/>
      <c r="N1858" s="25"/>
      <c r="O1858" s="25"/>
      <c r="P1858" s="25"/>
    </row>
    <row r="1859" spans="1:16" x14ac:dyDescent="0.3">
      <c r="A1859" s="25"/>
      <c r="B1859" s="25"/>
      <c r="C1859" s="25"/>
      <c r="D1859" s="26"/>
      <c r="E1859" s="26"/>
      <c r="F1859" s="26"/>
      <c r="G1859" s="26"/>
      <c r="H1859" s="26"/>
      <c r="I1859" s="25"/>
      <c r="J1859" s="25"/>
      <c r="K1859" s="25"/>
      <c r="L1859" s="25"/>
      <c r="M1859" s="25"/>
      <c r="N1859" s="25"/>
      <c r="O1859" s="25"/>
      <c r="P1859" s="25"/>
    </row>
    <row r="1860" spans="1:16" x14ac:dyDescent="0.3">
      <c r="A1860" s="25"/>
      <c r="B1860" s="25"/>
      <c r="C1860" s="25"/>
      <c r="D1860" s="26"/>
      <c r="E1860" s="26"/>
      <c r="F1860" s="26"/>
      <c r="G1860" s="26"/>
      <c r="H1860" s="26"/>
      <c r="I1860" s="25"/>
      <c r="J1860" s="25"/>
      <c r="K1860" s="25"/>
      <c r="L1860" s="25"/>
      <c r="M1860" s="25"/>
      <c r="N1860" s="25"/>
      <c r="O1860" s="25"/>
      <c r="P1860" s="25"/>
    </row>
    <row r="1861" spans="1:16" x14ac:dyDescent="0.3">
      <c r="A1861" s="25"/>
      <c r="B1861" s="25"/>
      <c r="C1861" s="25"/>
      <c r="D1861" s="26"/>
      <c r="E1861" s="26"/>
      <c r="F1861" s="26"/>
      <c r="G1861" s="26"/>
      <c r="H1861" s="26"/>
      <c r="I1861" s="25"/>
      <c r="J1861" s="25"/>
      <c r="K1861" s="25"/>
      <c r="L1861" s="25"/>
      <c r="M1861" s="25"/>
      <c r="N1861" s="25"/>
      <c r="O1861" s="25"/>
      <c r="P1861" s="25"/>
    </row>
    <row r="1862" spans="1:16" x14ac:dyDescent="0.3">
      <c r="A1862" s="25"/>
      <c r="B1862" s="25"/>
      <c r="C1862" s="25"/>
      <c r="D1862" s="26"/>
      <c r="E1862" s="26"/>
      <c r="F1862" s="26"/>
      <c r="G1862" s="26"/>
      <c r="H1862" s="26"/>
      <c r="I1862" s="25"/>
      <c r="J1862" s="25"/>
      <c r="K1862" s="25"/>
      <c r="L1862" s="25"/>
      <c r="M1862" s="25"/>
      <c r="N1862" s="25"/>
      <c r="O1862" s="25"/>
      <c r="P1862" s="25"/>
    </row>
    <row r="1863" spans="1:16" x14ac:dyDescent="0.3">
      <c r="A1863" s="25"/>
      <c r="B1863" s="25"/>
      <c r="C1863" s="25"/>
      <c r="D1863" s="26"/>
      <c r="E1863" s="26"/>
      <c r="F1863" s="26"/>
      <c r="G1863" s="26"/>
      <c r="H1863" s="26"/>
      <c r="I1863" s="25"/>
      <c r="J1863" s="25"/>
      <c r="K1863" s="25"/>
      <c r="L1863" s="25"/>
      <c r="M1863" s="25"/>
      <c r="N1863" s="25"/>
      <c r="O1863" s="25"/>
      <c r="P1863" s="25"/>
    </row>
    <row r="1864" spans="1:16" x14ac:dyDescent="0.3">
      <c r="A1864" s="25"/>
      <c r="B1864" s="25"/>
      <c r="C1864" s="25"/>
      <c r="D1864" s="26"/>
      <c r="E1864" s="26"/>
      <c r="F1864" s="26"/>
      <c r="G1864" s="26"/>
      <c r="H1864" s="26"/>
      <c r="I1864" s="25"/>
      <c r="J1864" s="25"/>
      <c r="K1864" s="25"/>
      <c r="L1864" s="25"/>
      <c r="M1864" s="25"/>
      <c r="N1864" s="25"/>
      <c r="O1864" s="25"/>
      <c r="P1864" s="25"/>
    </row>
    <row r="1865" spans="1:16" x14ac:dyDescent="0.3">
      <c r="A1865" s="25"/>
      <c r="B1865" s="25"/>
      <c r="C1865" s="25"/>
      <c r="D1865" s="26"/>
      <c r="E1865" s="26"/>
      <c r="F1865" s="26"/>
      <c r="G1865" s="26"/>
      <c r="H1865" s="26"/>
      <c r="I1865" s="25"/>
      <c r="J1865" s="25"/>
      <c r="K1865" s="25"/>
      <c r="L1865" s="25"/>
      <c r="M1865" s="25"/>
      <c r="N1865" s="25"/>
      <c r="O1865" s="25"/>
      <c r="P1865" s="25"/>
    </row>
    <row r="1866" spans="1:16" x14ac:dyDescent="0.3">
      <c r="A1866" s="25"/>
      <c r="B1866" s="25"/>
      <c r="C1866" s="25"/>
      <c r="D1866" s="26"/>
      <c r="E1866" s="26"/>
      <c r="F1866" s="26"/>
      <c r="G1866" s="26"/>
      <c r="H1866" s="26"/>
      <c r="I1866" s="25"/>
      <c r="J1866" s="25"/>
      <c r="K1866" s="25"/>
      <c r="L1866" s="25"/>
      <c r="M1866" s="25"/>
      <c r="N1866" s="25"/>
      <c r="O1866" s="25"/>
      <c r="P1866" s="25"/>
    </row>
    <row r="1867" spans="1:16" x14ac:dyDescent="0.3">
      <c r="A1867" s="25"/>
      <c r="B1867" s="25"/>
      <c r="C1867" s="25"/>
      <c r="D1867" s="26"/>
      <c r="E1867" s="26"/>
      <c r="F1867" s="26"/>
      <c r="G1867" s="26"/>
      <c r="H1867" s="26"/>
      <c r="I1867" s="25"/>
      <c r="J1867" s="25"/>
      <c r="K1867" s="25"/>
      <c r="L1867" s="25"/>
      <c r="M1867" s="25"/>
      <c r="N1867" s="25"/>
      <c r="O1867" s="25"/>
      <c r="P1867" s="25"/>
    </row>
    <row r="1868" spans="1:16" x14ac:dyDescent="0.3">
      <c r="A1868" s="25"/>
      <c r="B1868" s="25"/>
      <c r="C1868" s="25"/>
      <c r="D1868" s="26"/>
      <c r="E1868" s="26"/>
      <c r="F1868" s="26"/>
      <c r="G1868" s="26"/>
      <c r="H1868" s="26"/>
      <c r="I1868" s="25"/>
      <c r="J1868" s="25"/>
      <c r="K1868" s="25"/>
      <c r="L1868" s="25"/>
      <c r="M1868" s="25"/>
      <c r="N1868" s="25"/>
      <c r="O1868" s="25"/>
      <c r="P1868" s="25"/>
    </row>
    <row r="1869" spans="1:16" x14ac:dyDescent="0.3">
      <c r="A1869" s="25"/>
      <c r="B1869" s="25"/>
      <c r="C1869" s="25"/>
      <c r="D1869" s="26"/>
      <c r="E1869" s="26"/>
      <c r="F1869" s="26"/>
      <c r="G1869" s="26"/>
      <c r="H1869" s="26"/>
      <c r="I1869" s="25"/>
      <c r="J1869" s="25"/>
      <c r="K1869" s="25"/>
      <c r="L1869" s="25"/>
      <c r="M1869" s="25"/>
      <c r="N1869" s="25"/>
      <c r="O1869" s="25"/>
      <c r="P1869" s="25"/>
    </row>
    <row r="1870" spans="1:16" x14ac:dyDescent="0.3">
      <c r="A1870" s="25"/>
      <c r="B1870" s="25"/>
      <c r="C1870" s="25"/>
      <c r="D1870" s="26"/>
      <c r="E1870" s="26"/>
      <c r="F1870" s="26"/>
      <c r="G1870" s="26"/>
      <c r="H1870" s="26"/>
      <c r="I1870" s="25"/>
      <c r="J1870" s="25"/>
      <c r="K1870" s="25"/>
      <c r="L1870" s="25"/>
      <c r="M1870" s="25"/>
      <c r="N1870" s="25"/>
      <c r="O1870" s="25"/>
      <c r="P1870" s="25"/>
    </row>
    <row r="1871" spans="1:16" x14ac:dyDescent="0.3">
      <c r="A1871" s="25"/>
      <c r="B1871" s="25"/>
      <c r="C1871" s="25"/>
      <c r="D1871" s="26"/>
      <c r="E1871" s="26"/>
      <c r="F1871" s="26"/>
      <c r="G1871" s="26"/>
      <c r="H1871" s="26"/>
      <c r="I1871" s="25"/>
      <c r="J1871" s="25"/>
      <c r="K1871" s="25"/>
      <c r="L1871" s="25"/>
      <c r="M1871" s="25"/>
      <c r="N1871" s="25"/>
      <c r="O1871" s="25"/>
      <c r="P1871" s="25"/>
    </row>
    <row r="1872" spans="1:16" x14ac:dyDescent="0.3">
      <c r="A1872" s="25"/>
      <c r="B1872" s="25"/>
      <c r="C1872" s="25"/>
      <c r="D1872" s="26"/>
      <c r="E1872" s="26"/>
      <c r="F1872" s="26"/>
      <c r="G1872" s="26"/>
      <c r="H1872" s="26"/>
      <c r="I1872" s="25"/>
      <c r="J1872" s="25"/>
      <c r="K1872" s="25"/>
      <c r="L1872" s="25"/>
      <c r="M1872" s="25"/>
      <c r="N1872" s="25"/>
      <c r="O1872" s="25"/>
      <c r="P1872" s="25"/>
    </row>
    <row r="1873" spans="1:16" x14ac:dyDescent="0.3">
      <c r="A1873" s="25"/>
      <c r="B1873" s="25"/>
      <c r="C1873" s="25"/>
      <c r="D1873" s="26"/>
      <c r="E1873" s="26"/>
      <c r="F1873" s="26"/>
      <c r="G1873" s="26"/>
      <c r="H1873" s="26"/>
      <c r="I1873" s="25"/>
      <c r="J1873" s="25"/>
      <c r="K1873" s="25"/>
      <c r="L1873" s="25"/>
      <c r="M1873" s="25"/>
      <c r="N1873" s="25"/>
      <c r="O1873" s="25"/>
      <c r="P1873" s="25"/>
    </row>
    <row r="1874" spans="1:16" x14ac:dyDescent="0.3">
      <c r="A1874" s="25"/>
      <c r="B1874" s="25"/>
      <c r="C1874" s="25"/>
      <c r="D1874" s="26"/>
      <c r="E1874" s="26"/>
      <c r="F1874" s="26"/>
      <c r="G1874" s="26"/>
      <c r="H1874" s="26"/>
      <c r="I1874" s="25"/>
      <c r="J1874" s="25"/>
      <c r="K1874" s="25"/>
      <c r="L1874" s="25"/>
      <c r="M1874" s="25"/>
      <c r="N1874" s="25"/>
      <c r="O1874" s="25"/>
      <c r="P1874" s="25"/>
    </row>
    <row r="1875" spans="1:16" x14ac:dyDescent="0.3">
      <c r="A1875" s="25"/>
      <c r="B1875" s="25"/>
      <c r="C1875" s="25"/>
      <c r="D1875" s="26"/>
      <c r="E1875" s="26"/>
      <c r="F1875" s="26"/>
      <c r="G1875" s="26"/>
      <c r="H1875" s="26"/>
      <c r="I1875" s="25"/>
      <c r="J1875" s="25"/>
      <c r="K1875" s="25"/>
      <c r="L1875" s="25"/>
      <c r="M1875" s="25"/>
      <c r="N1875" s="25"/>
      <c r="O1875" s="25"/>
      <c r="P1875" s="25"/>
    </row>
    <row r="1876" spans="1:16" x14ac:dyDescent="0.3">
      <c r="A1876" s="25"/>
      <c r="B1876" s="25"/>
      <c r="C1876" s="25"/>
      <c r="D1876" s="26"/>
      <c r="E1876" s="26"/>
      <c r="F1876" s="26"/>
      <c r="G1876" s="26"/>
      <c r="H1876" s="26"/>
      <c r="I1876" s="25"/>
      <c r="J1876" s="25"/>
      <c r="K1876" s="25"/>
      <c r="L1876" s="25"/>
      <c r="M1876" s="25"/>
      <c r="N1876" s="25"/>
      <c r="O1876" s="25"/>
      <c r="P1876" s="25"/>
    </row>
    <row r="1877" spans="1:16" x14ac:dyDescent="0.3">
      <c r="A1877" s="25"/>
      <c r="B1877" s="25"/>
      <c r="C1877" s="25"/>
      <c r="D1877" s="26"/>
      <c r="E1877" s="26"/>
      <c r="F1877" s="26"/>
      <c r="G1877" s="26"/>
      <c r="H1877" s="26"/>
      <c r="I1877" s="25"/>
      <c r="J1877" s="25"/>
      <c r="K1877" s="25"/>
      <c r="L1877" s="25"/>
      <c r="M1877" s="25"/>
      <c r="N1877" s="25"/>
      <c r="O1877" s="25"/>
      <c r="P1877" s="25"/>
    </row>
    <row r="1878" spans="1:16" x14ac:dyDescent="0.3">
      <c r="A1878" s="25"/>
      <c r="B1878" s="25"/>
      <c r="C1878" s="25"/>
      <c r="D1878" s="26"/>
      <c r="E1878" s="26"/>
      <c r="F1878" s="26"/>
      <c r="G1878" s="26"/>
      <c r="H1878" s="26"/>
      <c r="I1878" s="25"/>
      <c r="J1878" s="25"/>
      <c r="K1878" s="25"/>
      <c r="L1878" s="25"/>
      <c r="M1878" s="25"/>
      <c r="N1878" s="25"/>
      <c r="O1878" s="25"/>
      <c r="P1878" s="25"/>
    </row>
    <row r="1879" spans="1:16" x14ac:dyDescent="0.3">
      <c r="A1879" s="25"/>
      <c r="B1879" s="25"/>
      <c r="C1879" s="25"/>
      <c r="D1879" s="26"/>
      <c r="E1879" s="26"/>
      <c r="F1879" s="26"/>
      <c r="G1879" s="26"/>
      <c r="H1879" s="26"/>
      <c r="I1879" s="25"/>
      <c r="J1879" s="25"/>
      <c r="K1879" s="25"/>
      <c r="L1879" s="25"/>
      <c r="M1879" s="25"/>
      <c r="N1879" s="25"/>
      <c r="O1879" s="25"/>
      <c r="P1879" s="25"/>
    </row>
    <row r="1880" spans="1:16" x14ac:dyDescent="0.3">
      <c r="A1880" s="25"/>
      <c r="B1880" s="25"/>
      <c r="C1880" s="25"/>
      <c r="D1880" s="26"/>
      <c r="E1880" s="26"/>
      <c r="F1880" s="26"/>
      <c r="G1880" s="26"/>
      <c r="H1880" s="26"/>
      <c r="I1880" s="25"/>
      <c r="J1880" s="25"/>
      <c r="K1880" s="25"/>
      <c r="L1880" s="25"/>
      <c r="M1880" s="25"/>
      <c r="N1880" s="25"/>
      <c r="O1880" s="25"/>
      <c r="P1880" s="25"/>
    </row>
    <row r="1881" spans="1:16" x14ac:dyDescent="0.3">
      <c r="A1881" s="25"/>
      <c r="B1881" s="25"/>
      <c r="C1881" s="25"/>
      <c r="D1881" s="26"/>
      <c r="E1881" s="26"/>
      <c r="F1881" s="26"/>
      <c r="G1881" s="26"/>
      <c r="H1881" s="26"/>
      <c r="I1881" s="25"/>
      <c r="J1881" s="25"/>
      <c r="K1881" s="25"/>
      <c r="L1881" s="25"/>
      <c r="M1881" s="25"/>
      <c r="N1881" s="25"/>
      <c r="O1881" s="25"/>
      <c r="P1881" s="25"/>
    </row>
    <row r="1882" spans="1:16" x14ac:dyDescent="0.3">
      <c r="A1882" s="25"/>
      <c r="B1882" s="25"/>
      <c r="C1882" s="25"/>
      <c r="D1882" s="26"/>
      <c r="E1882" s="26"/>
      <c r="F1882" s="26"/>
      <c r="G1882" s="26"/>
      <c r="H1882" s="26"/>
      <c r="I1882" s="25"/>
      <c r="J1882" s="25"/>
      <c r="K1882" s="25"/>
      <c r="L1882" s="25"/>
      <c r="M1882" s="25"/>
      <c r="N1882" s="25"/>
      <c r="O1882" s="25"/>
      <c r="P1882" s="25"/>
    </row>
    <row r="1883" spans="1:16" x14ac:dyDescent="0.3">
      <c r="A1883" s="25"/>
      <c r="B1883" s="25"/>
      <c r="C1883" s="25"/>
      <c r="D1883" s="26"/>
      <c r="E1883" s="26"/>
      <c r="F1883" s="26"/>
      <c r="G1883" s="26"/>
      <c r="H1883" s="26"/>
      <c r="I1883" s="25"/>
      <c r="J1883" s="25"/>
      <c r="K1883" s="25"/>
      <c r="L1883" s="25"/>
      <c r="M1883" s="25"/>
      <c r="N1883" s="25"/>
      <c r="O1883" s="25"/>
      <c r="P1883" s="25"/>
    </row>
    <row r="1884" spans="1:16" x14ac:dyDescent="0.3">
      <c r="A1884" s="25"/>
      <c r="B1884" s="25"/>
      <c r="C1884" s="25"/>
      <c r="D1884" s="26"/>
      <c r="E1884" s="26"/>
      <c r="F1884" s="26"/>
      <c r="G1884" s="26"/>
      <c r="H1884" s="26"/>
      <c r="I1884" s="25"/>
      <c r="J1884" s="25"/>
      <c r="K1884" s="25"/>
      <c r="L1884" s="25"/>
      <c r="M1884" s="25"/>
      <c r="N1884" s="25"/>
      <c r="O1884" s="25"/>
      <c r="P1884" s="25"/>
    </row>
    <row r="1885" spans="1:16" x14ac:dyDescent="0.3">
      <c r="A1885" s="25"/>
      <c r="B1885" s="25"/>
      <c r="C1885" s="25"/>
      <c r="D1885" s="26"/>
      <c r="E1885" s="26"/>
      <c r="F1885" s="26"/>
      <c r="G1885" s="26"/>
      <c r="H1885" s="26"/>
      <c r="I1885" s="25"/>
      <c r="J1885" s="25"/>
      <c r="K1885" s="25"/>
      <c r="L1885" s="25"/>
      <c r="M1885" s="25"/>
      <c r="N1885" s="25"/>
      <c r="O1885" s="25"/>
      <c r="P1885" s="25"/>
    </row>
    <row r="1886" spans="1:16" x14ac:dyDescent="0.3">
      <c r="A1886" s="25"/>
      <c r="B1886" s="25"/>
      <c r="C1886" s="25"/>
      <c r="D1886" s="26"/>
      <c r="E1886" s="26"/>
      <c r="F1886" s="26"/>
      <c r="G1886" s="26"/>
      <c r="H1886" s="26"/>
      <c r="I1886" s="25"/>
      <c r="J1886" s="25"/>
      <c r="K1886" s="25"/>
      <c r="L1886" s="25"/>
      <c r="M1886" s="25"/>
      <c r="N1886" s="25"/>
      <c r="O1886" s="25"/>
      <c r="P1886" s="25"/>
    </row>
    <row r="1887" spans="1:16" x14ac:dyDescent="0.3">
      <c r="A1887" s="25"/>
      <c r="B1887" s="25"/>
      <c r="C1887" s="25"/>
      <c r="D1887" s="26"/>
      <c r="E1887" s="26"/>
      <c r="F1887" s="26"/>
      <c r="G1887" s="26"/>
      <c r="H1887" s="26"/>
      <c r="I1887" s="25"/>
      <c r="J1887" s="25"/>
      <c r="K1887" s="25"/>
      <c r="L1887" s="25"/>
      <c r="M1887" s="25"/>
      <c r="N1887" s="25"/>
      <c r="O1887" s="25"/>
      <c r="P1887" s="25"/>
    </row>
    <row r="1888" spans="1:16" x14ac:dyDescent="0.3">
      <c r="A1888" s="25"/>
      <c r="B1888" s="25"/>
      <c r="C1888" s="25"/>
      <c r="D1888" s="26"/>
      <c r="E1888" s="26"/>
      <c r="F1888" s="26"/>
      <c r="G1888" s="26"/>
      <c r="H1888" s="26"/>
      <c r="I1888" s="25"/>
      <c r="J1888" s="25"/>
      <c r="K1888" s="25"/>
      <c r="L1888" s="25"/>
      <c r="M1888" s="25"/>
      <c r="N1888" s="25"/>
      <c r="O1888" s="25"/>
      <c r="P1888" s="25"/>
    </row>
    <row r="1889" spans="1:16" x14ac:dyDescent="0.3">
      <c r="A1889" s="25"/>
      <c r="B1889" s="25"/>
      <c r="C1889" s="25"/>
      <c r="D1889" s="26"/>
      <c r="E1889" s="26"/>
      <c r="F1889" s="26"/>
      <c r="G1889" s="26"/>
      <c r="H1889" s="26"/>
      <c r="I1889" s="25"/>
      <c r="J1889" s="25"/>
      <c r="K1889" s="25"/>
      <c r="L1889" s="25"/>
      <c r="M1889" s="25"/>
      <c r="N1889" s="25"/>
      <c r="O1889" s="25"/>
      <c r="P1889" s="25"/>
    </row>
    <row r="1890" spans="1:16" x14ac:dyDescent="0.3">
      <c r="A1890" s="25"/>
      <c r="B1890" s="25"/>
      <c r="C1890" s="25"/>
      <c r="D1890" s="26"/>
      <c r="E1890" s="26"/>
      <c r="F1890" s="26"/>
      <c r="G1890" s="26"/>
      <c r="H1890" s="26"/>
      <c r="I1890" s="25"/>
      <c r="J1890" s="25"/>
      <c r="K1890" s="25"/>
      <c r="L1890" s="25"/>
      <c r="M1890" s="25"/>
      <c r="N1890" s="25"/>
      <c r="O1890" s="25"/>
      <c r="P1890" s="25"/>
    </row>
    <row r="1891" spans="1:16" x14ac:dyDescent="0.3">
      <c r="A1891" s="25"/>
      <c r="B1891" s="25"/>
      <c r="C1891" s="25"/>
      <c r="D1891" s="26"/>
      <c r="E1891" s="26"/>
      <c r="F1891" s="26"/>
      <c r="G1891" s="26"/>
      <c r="H1891" s="26"/>
      <c r="I1891" s="25"/>
      <c r="J1891" s="25"/>
      <c r="K1891" s="25"/>
      <c r="L1891" s="25"/>
      <c r="M1891" s="25"/>
      <c r="N1891" s="25"/>
      <c r="O1891" s="25"/>
      <c r="P1891" s="25"/>
    </row>
    <row r="1892" spans="1:16" x14ac:dyDescent="0.3">
      <c r="A1892" s="25"/>
      <c r="B1892" s="25"/>
      <c r="C1892" s="25"/>
      <c r="D1892" s="26"/>
      <c r="E1892" s="26"/>
      <c r="F1892" s="26"/>
      <c r="G1892" s="26"/>
      <c r="H1892" s="26"/>
      <c r="I1892" s="25"/>
      <c r="J1892" s="25"/>
      <c r="K1892" s="25"/>
      <c r="L1892" s="25"/>
      <c r="M1892" s="25"/>
      <c r="N1892" s="25"/>
      <c r="O1892" s="25"/>
      <c r="P1892" s="25"/>
    </row>
    <row r="1893" spans="1:16" x14ac:dyDescent="0.3">
      <c r="A1893" s="25"/>
      <c r="B1893" s="25"/>
      <c r="C1893" s="25"/>
      <c r="D1893" s="26"/>
      <c r="E1893" s="26"/>
      <c r="F1893" s="26"/>
      <c r="G1893" s="26"/>
      <c r="H1893" s="26"/>
      <c r="I1893" s="25"/>
      <c r="J1893" s="25"/>
      <c r="K1893" s="25"/>
      <c r="L1893" s="25"/>
      <c r="M1893" s="25"/>
      <c r="N1893" s="25"/>
      <c r="O1893" s="25"/>
      <c r="P1893" s="25"/>
    </row>
    <row r="1894" spans="1:16" x14ac:dyDescent="0.3">
      <c r="A1894" s="25"/>
      <c r="B1894" s="25"/>
      <c r="C1894" s="25"/>
      <c r="D1894" s="26"/>
      <c r="E1894" s="26"/>
      <c r="F1894" s="26"/>
      <c r="G1894" s="26"/>
      <c r="H1894" s="26"/>
      <c r="I1894" s="25"/>
      <c r="J1894" s="25"/>
      <c r="K1894" s="25"/>
      <c r="L1894" s="25"/>
      <c r="M1894" s="25"/>
      <c r="N1894" s="25"/>
      <c r="O1894" s="25"/>
      <c r="P1894" s="25"/>
    </row>
    <row r="1895" spans="1:16" x14ac:dyDescent="0.3">
      <c r="A1895" s="25"/>
      <c r="B1895" s="25"/>
      <c r="C1895" s="25"/>
      <c r="D1895" s="26"/>
      <c r="E1895" s="26"/>
      <c r="F1895" s="26"/>
      <c r="G1895" s="26"/>
      <c r="H1895" s="26"/>
      <c r="I1895" s="25"/>
      <c r="J1895" s="25"/>
      <c r="K1895" s="25"/>
      <c r="L1895" s="25"/>
      <c r="M1895" s="25"/>
      <c r="N1895" s="25"/>
      <c r="O1895" s="25"/>
      <c r="P1895" s="25"/>
    </row>
    <row r="1896" spans="1:16" x14ac:dyDescent="0.3">
      <c r="A1896" s="25"/>
      <c r="B1896" s="25"/>
      <c r="C1896" s="25"/>
      <c r="D1896" s="26"/>
      <c r="E1896" s="26"/>
      <c r="F1896" s="26"/>
      <c r="G1896" s="26"/>
      <c r="H1896" s="26"/>
      <c r="I1896" s="25"/>
      <c r="J1896" s="25"/>
      <c r="K1896" s="25"/>
      <c r="L1896" s="25"/>
      <c r="M1896" s="25"/>
      <c r="N1896" s="25"/>
      <c r="O1896" s="25"/>
      <c r="P1896" s="25"/>
    </row>
    <row r="1897" spans="1:16" x14ac:dyDescent="0.3">
      <c r="A1897" s="25"/>
      <c r="B1897" s="25"/>
      <c r="C1897" s="25"/>
      <c r="D1897" s="26"/>
      <c r="E1897" s="26"/>
      <c r="F1897" s="26"/>
      <c r="G1897" s="26"/>
      <c r="H1897" s="26"/>
      <c r="I1897" s="25"/>
      <c r="J1897" s="25"/>
      <c r="K1897" s="25"/>
      <c r="L1897" s="25"/>
      <c r="M1897" s="25"/>
      <c r="N1897" s="25"/>
      <c r="O1897" s="25"/>
      <c r="P1897" s="25"/>
    </row>
    <row r="1898" spans="1:16" x14ac:dyDescent="0.3">
      <c r="A1898" s="25"/>
      <c r="B1898" s="25"/>
      <c r="C1898" s="25"/>
      <c r="D1898" s="26"/>
      <c r="E1898" s="26"/>
      <c r="F1898" s="26"/>
      <c r="G1898" s="26"/>
      <c r="H1898" s="26"/>
      <c r="I1898" s="25"/>
      <c r="J1898" s="25"/>
      <c r="K1898" s="25"/>
      <c r="L1898" s="25"/>
      <c r="M1898" s="25"/>
      <c r="N1898" s="25"/>
      <c r="O1898" s="25"/>
      <c r="P1898" s="25"/>
    </row>
    <row r="1899" spans="1:16" x14ac:dyDescent="0.3">
      <c r="A1899" s="25"/>
      <c r="B1899" s="25"/>
      <c r="C1899" s="25"/>
      <c r="D1899" s="26"/>
      <c r="E1899" s="26"/>
      <c r="F1899" s="26"/>
      <c r="G1899" s="26"/>
      <c r="H1899" s="26"/>
      <c r="I1899" s="25"/>
      <c r="J1899" s="25"/>
      <c r="K1899" s="25"/>
      <c r="L1899" s="25"/>
      <c r="M1899" s="25"/>
      <c r="N1899" s="25"/>
      <c r="O1899" s="25"/>
      <c r="P1899" s="25"/>
    </row>
    <row r="1900" spans="1:16" x14ac:dyDescent="0.3">
      <c r="A1900" s="25"/>
      <c r="B1900" s="25"/>
      <c r="C1900" s="25"/>
      <c r="D1900" s="26"/>
      <c r="E1900" s="26"/>
      <c r="F1900" s="26"/>
      <c r="G1900" s="26"/>
      <c r="H1900" s="26"/>
      <c r="I1900" s="25"/>
      <c r="J1900" s="25"/>
      <c r="K1900" s="25"/>
      <c r="L1900" s="25"/>
      <c r="M1900" s="25"/>
      <c r="N1900" s="25"/>
      <c r="O1900" s="25"/>
      <c r="P1900" s="25"/>
    </row>
    <row r="1901" spans="1:16" x14ac:dyDescent="0.3">
      <c r="A1901" s="25"/>
      <c r="B1901" s="25"/>
      <c r="C1901" s="25"/>
      <c r="D1901" s="26"/>
      <c r="E1901" s="26"/>
      <c r="F1901" s="26"/>
      <c r="G1901" s="26"/>
      <c r="H1901" s="26"/>
      <c r="I1901" s="25"/>
      <c r="J1901" s="25"/>
      <c r="K1901" s="25"/>
      <c r="L1901" s="25"/>
      <c r="M1901" s="25"/>
      <c r="N1901" s="25"/>
      <c r="O1901" s="25"/>
      <c r="P1901" s="25"/>
    </row>
    <row r="1902" spans="1:16" x14ac:dyDescent="0.3">
      <c r="A1902" s="25"/>
      <c r="B1902" s="25"/>
      <c r="C1902" s="25"/>
      <c r="D1902" s="26"/>
      <c r="E1902" s="26"/>
      <c r="F1902" s="26"/>
      <c r="G1902" s="26"/>
      <c r="H1902" s="26"/>
      <c r="I1902" s="25"/>
      <c r="J1902" s="25"/>
      <c r="K1902" s="25"/>
      <c r="L1902" s="25"/>
      <c r="M1902" s="25"/>
      <c r="N1902" s="25"/>
      <c r="O1902" s="25"/>
      <c r="P1902" s="25"/>
    </row>
    <row r="1903" spans="1:16" x14ac:dyDescent="0.3">
      <c r="A1903" s="25"/>
      <c r="B1903" s="25"/>
      <c r="C1903" s="25"/>
      <c r="D1903" s="26"/>
      <c r="E1903" s="26"/>
      <c r="F1903" s="26"/>
      <c r="G1903" s="26"/>
      <c r="H1903" s="26"/>
      <c r="I1903" s="25"/>
      <c r="J1903" s="25"/>
      <c r="K1903" s="25"/>
      <c r="L1903" s="25"/>
      <c r="M1903" s="25"/>
      <c r="N1903" s="25"/>
      <c r="O1903" s="25"/>
      <c r="P1903" s="25"/>
    </row>
    <row r="1904" spans="1:16" x14ac:dyDescent="0.3">
      <c r="A1904" s="25"/>
      <c r="B1904" s="25"/>
      <c r="C1904" s="25"/>
      <c r="D1904" s="26"/>
      <c r="E1904" s="26"/>
      <c r="F1904" s="26"/>
      <c r="G1904" s="26"/>
      <c r="H1904" s="26"/>
      <c r="I1904" s="25"/>
      <c r="J1904" s="25"/>
      <c r="K1904" s="25"/>
      <c r="L1904" s="25"/>
      <c r="M1904" s="25"/>
      <c r="N1904" s="25"/>
      <c r="O1904" s="25"/>
      <c r="P1904" s="25"/>
    </row>
    <row r="1905" spans="1:16" x14ac:dyDescent="0.3">
      <c r="A1905" s="25"/>
      <c r="B1905" s="25"/>
      <c r="C1905" s="25"/>
      <c r="D1905" s="26"/>
      <c r="E1905" s="26"/>
      <c r="F1905" s="26"/>
      <c r="G1905" s="26"/>
      <c r="H1905" s="26"/>
      <c r="I1905" s="25"/>
      <c r="J1905" s="25"/>
      <c r="K1905" s="25"/>
      <c r="L1905" s="25"/>
      <c r="M1905" s="25"/>
      <c r="N1905" s="25"/>
      <c r="O1905" s="25"/>
      <c r="P1905" s="25"/>
    </row>
    <row r="1906" spans="1:16" x14ac:dyDescent="0.3">
      <c r="A1906" s="25"/>
      <c r="B1906" s="25"/>
      <c r="C1906" s="25"/>
      <c r="D1906" s="26"/>
      <c r="E1906" s="26"/>
      <c r="F1906" s="26"/>
      <c r="G1906" s="26"/>
      <c r="H1906" s="26"/>
      <c r="I1906" s="25"/>
      <c r="J1906" s="25"/>
      <c r="K1906" s="25"/>
      <c r="L1906" s="25"/>
      <c r="M1906" s="25"/>
      <c r="N1906" s="25"/>
      <c r="O1906" s="25"/>
      <c r="P1906" s="25"/>
    </row>
    <row r="1907" spans="1:16" x14ac:dyDescent="0.3">
      <c r="A1907" s="25"/>
      <c r="B1907" s="25"/>
      <c r="C1907" s="25"/>
      <c r="D1907" s="26"/>
      <c r="E1907" s="26"/>
      <c r="F1907" s="26"/>
      <c r="G1907" s="26"/>
      <c r="H1907" s="26"/>
      <c r="I1907" s="25"/>
      <c r="J1907" s="25"/>
      <c r="K1907" s="25"/>
      <c r="L1907" s="25"/>
      <c r="M1907" s="25"/>
      <c r="N1907" s="25"/>
      <c r="O1907" s="25"/>
      <c r="P1907" s="25"/>
    </row>
    <row r="1908" spans="1:16" x14ac:dyDescent="0.3">
      <c r="A1908" s="25"/>
      <c r="B1908" s="25"/>
      <c r="C1908" s="25"/>
      <c r="D1908" s="26"/>
      <c r="E1908" s="26"/>
      <c r="F1908" s="26"/>
      <c r="G1908" s="26"/>
      <c r="H1908" s="26"/>
      <c r="I1908" s="25"/>
      <c r="J1908" s="25"/>
      <c r="K1908" s="25"/>
      <c r="L1908" s="25"/>
      <c r="M1908" s="25"/>
      <c r="N1908" s="25"/>
      <c r="O1908" s="25"/>
      <c r="P1908" s="25"/>
    </row>
    <row r="1909" spans="1:16" x14ac:dyDescent="0.3">
      <c r="A1909" s="25"/>
      <c r="B1909" s="25"/>
      <c r="C1909" s="25"/>
      <c r="D1909" s="26"/>
      <c r="E1909" s="26"/>
      <c r="F1909" s="26"/>
      <c r="G1909" s="26"/>
      <c r="H1909" s="26"/>
      <c r="I1909" s="25"/>
      <c r="J1909" s="25"/>
      <c r="K1909" s="25"/>
      <c r="L1909" s="25"/>
      <c r="M1909" s="25"/>
      <c r="N1909" s="25"/>
      <c r="O1909" s="25"/>
      <c r="P1909" s="25"/>
    </row>
    <row r="1910" spans="1:16" x14ac:dyDescent="0.3">
      <c r="A1910" s="25"/>
      <c r="B1910" s="25"/>
      <c r="C1910" s="25"/>
      <c r="D1910" s="26"/>
      <c r="E1910" s="26"/>
      <c r="F1910" s="26"/>
      <c r="G1910" s="26"/>
      <c r="H1910" s="26"/>
      <c r="I1910" s="25"/>
      <c r="J1910" s="25"/>
      <c r="K1910" s="25"/>
      <c r="L1910" s="25"/>
      <c r="M1910" s="25"/>
      <c r="N1910" s="25"/>
      <c r="O1910" s="25"/>
      <c r="P1910" s="25"/>
    </row>
    <row r="1911" spans="1:16" x14ac:dyDescent="0.3">
      <c r="A1911" s="25"/>
      <c r="B1911" s="25"/>
      <c r="C1911" s="25"/>
      <c r="D1911" s="26"/>
      <c r="E1911" s="26"/>
      <c r="F1911" s="26"/>
      <c r="G1911" s="26"/>
      <c r="H1911" s="26"/>
      <c r="I1911" s="25"/>
      <c r="J1911" s="25"/>
      <c r="K1911" s="25"/>
      <c r="L1911" s="25"/>
      <c r="M1911" s="25"/>
      <c r="N1911" s="25"/>
      <c r="O1911" s="25"/>
      <c r="P1911" s="25"/>
    </row>
    <row r="1912" spans="1:16" x14ac:dyDescent="0.3">
      <c r="A1912" s="25"/>
      <c r="B1912" s="25"/>
      <c r="C1912" s="25"/>
      <c r="D1912" s="26"/>
      <c r="E1912" s="26"/>
      <c r="F1912" s="26"/>
      <c r="G1912" s="26"/>
      <c r="H1912" s="26"/>
      <c r="I1912" s="25"/>
      <c r="J1912" s="25"/>
      <c r="K1912" s="25"/>
      <c r="L1912" s="25"/>
      <c r="M1912" s="25"/>
      <c r="N1912" s="25"/>
      <c r="O1912" s="25"/>
      <c r="P1912" s="25"/>
    </row>
    <row r="1913" spans="1:16" x14ac:dyDescent="0.3">
      <c r="A1913" s="25"/>
      <c r="B1913" s="25"/>
      <c r="C1913" s="25"/>
      <c r="D1913" s="26"/>
      <c r="E1913" s="26"/>
      <c r="F1913" s="26"/>
      <c r="G1913" s="26"/>
      <c r="H1913" s="26"/>
      <c r="I1913" s="25"/>
      <c r="J1913" s="25"/>
      <c r="K1913" s="25"/>
      <c r="L1913" s="25"/>
      <c r="M1913" s="25"/>
      <c r="N1913" s="25"/>
      <c r="O1913" s="25"/>
      <c r="P1913" s="25"/>
    </row>
    <row r="1914" spans="1:16" x14ac:dyDescent="0.3">
      <c r="A1914" s="25"/>
      <c r="B1914" s="25"/>
      <c r="C1914" s="25"/>
      <c r="D1914" s="26"/>
      <c r="E1914" s="26"/>
      <c r="F1914" s="26"/>
      <c r="G1914" s="26"/>
      <c r="H1914" s="26"/>
      <c r="I1914" s="25"/>
      <c r="J1914" s="25"/>
      <c r="K1914" s="25"/>
      <c r="L1914" s="25"/>
      <c r="M1914" s="25"/>
      <c r="N1914" s="25"/>
      <c r="O1914" s="25"/>
      <c r="P1914" s="25"/>
    </row>
    <row r="1915" spans="1:16" x14ac:dyDescent="0.3">
      <c r="A1915" s="25"/>
      <c r="B1915" s="25"/>
      <c r="C1915" s="25"/>
      <c r="D1915" s="26"/>
      <c r="E1915" s="26"/>
      <c r="F1915" s="26"/>
      <c r="G1915" s="26"/>
      <c r="H1915" s="26"/>
      <c r="I1915" s="25"/>
      <c r="J1915" s="25"/>
      <c r="K1915" s="25"/>
      <c r="L1915" s="25"/>
      <c r="M1915" s="25"/>
      <c r="N1915" s="25"/>
      <c r="O1915" s="25"/>
      <c r="P1915" s="25"/>
    </row>
    <row r="1916" spans="1:16" x14ac:dyDescent="0.3">
      <c r="A1916" s="25"/>
      <c r="B1916" s="25"/>
      <c r="C1916" s="25"/>
      <c r="D1916" s="26"/>
      <c r="E1916" s="26"/>
      <c r="F1916" s="26"/>
      <c r="G1916" s="26"/>
      <c r="H1916" s="26"/>
      <c r="I1916" s="25"/>
      <c r="J1916" s="25"/>
      <c r="K1916" s="25"/>
      <c r="L1916" s="25"/>
      <c r="M1916" s="25"/>
      <c r="N1916" s="25"/>
      <c r="O1916" s="25"/>
      <c r="P1916" s="25"/>
    </row>
    <row r="1917" spans="1:16" x14ac:dyDescent="0.3">
      <c r="A1917" s="25"/>
      <c r="B1917" s="25"/>
      <c r="C1917" s="25"/>
      <c r="D1917" s="26"/>
      <c r="E1917" s="26"/>
      <c r="F1917" s="26"/>
      <c r="G1917" s="26"/>
      <c r="H1917" s="26"/>
      <c r="I1917" s="25"/>
      <c r="J1917" s="25"/>
      <c r="K1917" s="25"/>
      <c r="L1917" s="25"/>
      <c r="M1917" s="25"/>
      <c r="N1917" s="25"/>
      <c r="O1917" s="25"/>
      <c r="P1917" s="25"/>
    </row>
    <row r="1918" spans="1:16" x14ac:dyDescent="0.3">
      <c r="A1918" s="25"/>
      <c r="B1918" s="25"/>
      <c r="C1918" s="25"/>
      <c r="D1918" s="26"/>
      <c r="E1918" s="26"/>
      <c r="F1918" s="26"/>
      <c r="G1918" s="26"/>
      <c r="H1918" s="26"/>
      <c r="I1918" s="25"/>
      <c r="J1918" s="25"/>
      <c r="K1918" s="25"/>
      <c r="L1918" s="25"/>
      <c r="M1918" s="25"/>
      <c r="N1918" s="25"/>
      <c r="O1918" s="25"/>
      <c r="P1918" s="25"/>
    </row>
    <row r="1919" spans="1:16" x14ac:dyDescent="0.3">
      <c r="A1919" s="25"/>
      <c r="B1919" s="25"/>
      <c r="C1919" s="25"/>
      <c r="D1919" s="26"/>
      <c r="E1919" s="26"/>
      <c r="F1919" s="26"/>
      <c r="G1919" s="26"/>
      <c r="H1919" s="26"/>
      <c r="I1919" s="25"/>
      <c r="J1919" s="25"/>
      <c r="K1919" s="25"/>
      <c r="L1919" s="25"/>
      <c r="M1919" s="25"/>
      <c r="N1919" s="25"/>
      <c r="O1919" s="25"/>
      <c r="P1919" s="25"/>
    </row>
    <row r="1920" spans="1:16" x14ac:dyDescent="0.3">
      <c r="A1920" s="25"/>
      <c r="B1920" s="25"/>
      <c r="C1920" s="25"/>
      <c r="D1920" s="26"/>
      <c r="E1920" s="26"/>
      <c r="F1920" s="26"/>
      <c r="G1920" s="26"/>
      <c r="H1920" s="26"/>
      <c r="I1920" s="25"/>
      <c r="J1920" s="25"/>
      <c r="K1920" s="25"/>
      <c r="L1920" s="25"/>
      <c r="M1920" s="25"/>
      <c r="N1920" s="25"/>
      <c r="O1920" s="25"/>
      <c r="P1920" s="25"/>
    </row>
    <row r="1921" spans="1:16" x14ac:dyDescent="0.3">
      <c r="A1921" s="25"/>
      <c r="B1921" s="25"/>
      <c r="C1921" s="25"/>
      <c r="D1921" s="26"/>
      <c r="E1921" s="26"/>
      <c r="F1921" s="26"/>
      <c r="G1921" s="26"/>
      <c r="H1921" s="26"/>
      <c r="I1921" s="25"/>
      <c r="J1921" s="25"/>
      <c r="K1921" s="25"/>
      <c r="L1921" s="25"/>
      <c r="M1921" s="25"/>
      <c r="N1921" s="25"/>
      <c r="O1921" s="25"/>
      <c r="P1921" s="25"/>
    </row>
    <row r="1922" spans="1:16" x14ac:dyDescent="0.3">
      <c r="A1922" s="25"/>
      <c r="B1922" s="25"/>
      <c r="C1922" s="25"/>
      <c r="D1922" s="26"/>
      <c r="E1922" s="26"/>
      <c r="F1922" s="26"/>
      <c r="G1922" s="26"/>
      <c r="H1922" s="26"/>
      <c r="I1922" s="25"/>
      <c r="J1922" s="25"/>
      <c r="K1922" s="25"/>
      <c r="L1922" s="25"/>
      <c r="M1922" s="25"/>
      <c r="N1922" s="25"/>
      <c r="O1922" s="25"/>
      <c r="P1922" s="25"/>
    </row>
    <row r="1923" spans="1:16" x14ac:dyDescent="0.3">
      <c r="A1923" s="25"/>
      <c r="B1923" s="25"/>
      <c r="C1923" s="25"/>
      <c r="D1923" s="26"/>
      <c r="E1923" s="26"/>
      <c r="F1923" s="26"/>
      <c r="G1923" s="26"/>
      <c r="H1923" s="26"/>
      <c r="I1923" s="25"/>
      <c r="J1923" s="25"/>
      <c r="K1923" s="25"/>
      <c r="L1923" s="25"/>
      <c r="M1923" s="25"/>
      <c r="N1923" s="25"/>
      <c r="O1923" s="25"/>
      <c r="P1923" s="25"/>
    </row>
    <row r="1924" spans="1:16" x14ac:dyDescent="0.3">
      <c r="A1924" s="25"/>
      <c r="B1924" s="25"/>
      <c r="C1924" s="25"/>
      <c r="D1924" s="26"/>
      <c r="E1924" s="26"/>
      <c r="F1924" s="26"/>
      <c r="G1924" s="26"/>
      <c r="H1924" s="26"/>
      <c r="I1924" s="25"/>
      <c r="J1924" s="25"/>
      <c r="K1924" s="25"/>
      <c r="L1924" s="25"/>
      <c r="M1924" s="25"/>
      <c r="N1924" s="25"/>
      <c r="O1924" s="25"/>
      <c r="P1924" s="25"/>
    </row>
    <row r="1925" spans="1:16" x14ac:dyDescent="0.3">
      <c r="A1925" s="25"/>
      <c r="B1925" s="25"/>
      <c r="C1925" s="25"/>
      <c r="D1925" s="26"/>
      <c r="E1925" s="26"/>
      <c r="F1925" s="26"/>
      <c r="G1925" s="26"/>
      <c r="H1925" s="26"/>
      <c r="I1925" s="25"/>
      <c r="J1925" s="25"/>
      <c r="K1925" s="25"/>
      <c r="L1925" s="25"/>
      <c r="M1925" s="25"/>
      <c r="N1925" s="25"/>
      <c r="O1925" s="25"/>
      <c r="P1925" s="25"/>
    </row>
    <row r="1926" spans="1:16" x14ac:dyDescent="0.3">
      <c r="A1926" s="25"/>
      <c r="B1926" s="25"/>
      <c r="C1926" s="25"/>
      <c r="D1926" s="26"/>
      <c r="E1926" s="26"/>
      <c r="F1926" s="26"/>
      <c r="G1926" s="26"/>
      <c r="H1926" s="26"/>
      <c r="I1926" s="25"/>
      <c r="J1926" s="25"/>
      <c r="K1926" s="25"/>
      <c r="L1926" s="25"/>
      <c r="M1926" s="25"/>
      <c r="N1926" s="25"/>
      <c r="O1926" s="25"/>
      <c r="P1926" s="25"/>
    </row>
    <row r="1927" spans="1:16" x14ac:dyDescent="0.3">
      <c r="A1927" s="25"/>
      <c r="B1927" s="25"/>
      <c r="C1927" s="25"/>
      <c r="D1927" s="26"/>
      <c r="E1927" s="26"/>
      <c r="F1927" s="26"/>
      <c r="G1927" s="26"/>
      <c r="H1927" s="26"/>
      <c r="I1927" s="25"/>
      <c r="J1927" s="25"/>
      <c r="K1927" s="25"/>
      <c r="L1927" s="25"/>
      <c r="M1927" s="25"/>
      <c r="N1927" s="25"/>
      <c r="O1927" s="25"/>
      <c r="P1927" s="25"/>
    </row>
    <row r="1928" spans="1:16" x14ac:dyDescent="0.3">
      <c r="A1928" s="25"/>
      <c r="B1928" s="25"/>
      <c r="C1928" s="25"/>
      <c r="D1928" s="26"/>
      <c r="E1928" s="26"/>
      <c r="F1928" s="26"/>
      <c r="G1928" s="26"/>
      <c r="H1928" s="26"/>
      <c r="I1928" s="25"/>
      <c r="J1928" s="25"/>
      <c r="K1928" s="25"/>
      <c r="L1928" s="25"/>
      <c r="M1928" s="25"/>
      <c r="N1928" s="25"/>
      <c r="O1928" s="25"/>
      <c r="P1928" s="25"/>
    </row>
    <row r="1929" spans="1:16" x14ac:dyDescent="0.3">
      <c r="A1929" s="25"/>
      <c r="B1929" s="25"/>
      <c r="C1929" s="25"/>
      <c r="D1929" s="26"/>
      <c r="E1929" s="26"/>
      <c r="F1929" s="26"/>
      <c r="G1929" s="26"/>
      <c r="H1929" s="26"/>
      <c r="I1929" s="25"/>
      <c r="J1929" s="25"/>
      <c r="K1929" s="25"/>
      <c r="L1929" s="25"/>
      <c r="M1929" s="25"/>
      <c r="N1929" s="25"/>
      <c r="O1929" s="25"/>
      <c r="P1929" s="25"/>
    </row>
    <row r="1930" spans="1:16" x14ac:dyDescent="0.3">
      <c r="A1930" s="25"/>
      <c r="B1930" s="25"/>
      <c r="C1930" s="25"/>
      <c r="D1930" s="26"/>
      <c r="E1930" s="26"/>
      <c r="F1930" s="26"/>
      <c r="G1930" s="26"/>
      <c r="H1930" s="26"/>
      <c r="I1930" s="25"/>
      <c r="J1930" s="25"/>
      <c r="K1930" s="25"/>
      <c r="L1930" s="25"/>
      <c r="M1930" s="25"/>
      <c r="N1930" s="25"/>
      <c r="O1930" s="25"/>
      <c r="P1930" s="25"/>
    </row>
    <row r="1931" spans="1:16" x14ac:dyDescent="0.3">
      <c r="A1931" s="25"/>
      <c r="B1931" s="25"/>
      <c r="C1931" s="25"/>
      <c r="D1931" s="26"/>
      <c r="E1931" s="26"/>
      <c r="F1931" s="26"/>
      <c r="G1931" s="26"/>
      <c r="H1931" s="26"/>
      <c r="I1931" s="25"/>
      <c r="J1931" s="25"/>
      <c r="K1931" s="25"/>
      <c r="L1931" s="25"/>
      <c r="M1931" s="25"/>
      <c r="N1931" s="25"/>
      <c r="O1931" s="25"/>
      <c r="P1931" s="25"/>
    </row>
    <row r="1932" spans="1:16" x14ac:dyDescent="0.3">
      <c r="A1932" s="25"/>
      <c r="B1932" s="25"/>
      <c r="C1932" s="25"/>
      <c r="D1932" s="26"/>
      <c r="E1932" s="26"/>
      <c r="F1932" s="26"/>
      <c r="G1932" s="26"/>
      <c r="H1932" s="26"/>
      <c r="I1932" s="25"/>
      <c r="J1932" s="25"/>
      <c r="K1932" s="25"/>
      <c r="L1932" s="25"/>
      <c r="M1932" s="25"/>
      <c r="N1932" s="25"/>
      <c r="O1932" s="25"/>
      <c r="P1932" s="25"/>
    </row>
    <row r="1933" spans="1:16" x14ac:dyDescent="0.3">
      <c r="A1933" s="25"/>
      <c r="B1933" s="25"/>
      <c r="C1933" s="25"/>
      <c r="D1933" s="26"/>
      <c r="E1933" s="26"/>
      <c r="F1933" s="26"/>
      <c r="G1933" s="26"/>
      <c r="H1933" s="26"/>
      <c r="I1933" s="25"/>
      <c r="J1933" s="25"/>
      <c r="K1933" s="25"/>
      <c r="L1933" s="25"/>
      <c r="M1933" s="25"/>
      <c r="N1933" s="25"/>
      <c r="O1933" s="25"/>
      <c r="P1933" s="25"/>
    </row>
    <row r="1934" spans="1:16" x14ac:dyDescent="0.3">
      <c r="A1934" s="25"/>
      <c r="B1934" s="25"/>
      <c r="C1934" s="25"/>
      <c r="D1934" s="26"/>
      <c r="E1934" s="26"/>
      <c r="F1934" s="26"/>
      <c r="G1934" s="26"/>
      <c r="H1934" s="26"/>
      <c r="I1934" s="25"/>
      <c r="J1934" s="25"/>
      <c r="K1934" s="25"/>
      <c r="L1934" s="25"/>
      <c r="M1934" s="25"/>
      <c r="N1934" s="25"/>
      <c r="O1934" s="25"/>
      <c r="P1934" s="25"/>
    </row>
    <row r="1935" spans="1:16" x14ac:dyDescent="0.3">
      <c r="A1935" s="25"/>
      <c r="B1935" s="25"/>
      <c r="C1935" s="25"/>
      <c r="D1935" s="26"/>
      <c r="E1935" s="26"/>
      <c r="F1935" s="26"/>
      <c r="G1935" s="26"/>
      <c r="H1935" s="26"/>
      <c r="I1935" s="25"/>
      <c r="J1935" s="25"/>
      <c r="K1935" s="25"/>
      <c r="L1935" s="25"/>
      <c r="M1935" s="25"/>
      <c r="N1935" s="25"/>
      <c r="O1935" s="25"/>
      <c r="P1935" s="25"/>
    </row>
    <row r="1936" spans="1:16" x14ac:dyDescent="0.3">
      <c r="A1936" s="25"/>
      <c r="B1936" s="25"/>
      <c r="C1936" s="25"/>
      <c r="D1936" s="26"/>
      <c r="E1936" s="26"/>
      <c r="F1936" s="26"/>
      <c r="G1936" s="26"/>
      <c r="H1936" s="26"/>
      <c r="I1936" s="25"/>
      <c r="J1936" s="25"/>
      <c r="K1936" s="25"/>
      <c r="L1936" s="25"/>
      <c r="M1936" s="25"/>
      <c r="N1936" s="25"/>
      <c r="O1936" s="25"/>
      <c r="P1936" s="25"/>
    </row>
    <row r="1937" spans="1:16" x14ac:dyDescent="0.3">
      <c r="A1937" s="25"/>
      <c r="B1937" s="25"/>
      <c r="C1937" s="25"/>
      <c r="D1937" s="26"/>
      <c r="E1937" s="26"/>
      <c r="F1937" s="26"/>
      <c r="G1937" s="26"/>
      <c r="H1937" s="26"/>
      <c r="I1937" s="25"/>
      <c r="J1937" s="25"/>
      <c r="K1937" s="25"/>
      <c r="L1937" s="25"/>
      <c r="M1937" s="25"/>
      <c r="N1937" s="25"/>
      <c r="O1937" s="25"/>
      <c r="P1937" s="25"/>
    </row>
    <row r="1938" spans="1:16" x14ac:dyDescent="0.3">
      <c r="A1938" s="25"/>
      <c r="B1938" s="25"/>
      <c r="C1938" s="25"/>
      <c r="D1938" s="26"/>
      <c r="E1938" s="26"/>
      <c r="F1938" s="26"/>
      <c r="G1938" s="26"/>
      <c r="H1938" s="26"/>
      <c r="I1938" s="25"/>
      <c r="J1938" s="25"/>
      <c r="K1938" s="25"/>
      <c r="L1938" s="25"/>
      <c r="M1938" s="25"/>
      <c r="N1938" s="25"/>
      <c r="O1938" s="25"/>
      <c r="P1938" s="25"/>
    </row>
    <row r="1939" spans="1:16" x14ac:dyDescent="0.3">
      <c r="A1939" s="25"/>
      <c r="B1939" s="25"/>
      <c r="C1939" s="25"/>
      <c r="D1939" s="26"/>
      <c r="E1939" s="26"/>
      <c r="F1939" s="26"/>
      <c r="G1939" s="26"/>
      <c r="H1939" s="26"/>
      <c r="I1939" s="25"/>
      <c r="J1939" s="25"/>
      <c r="K1939" s="25"/>
      <c r="L1939" s="25"/>
      <c r="M1939" s="25"/>
      <c r="N1939" s="25"/>
      <c r="O1939" s="25"/>
      <c r="P1939" s="25"/>
    </row>
    <row r="1940" spans="1:16" x14ac:dyDescent="0.3">
      <c r="A1940" s="25"/>
      <c r="B1940" s="25"/>
      <c r="C1940" s="25"/>
      <c r="D1940" s="26"/>
      <c r="E1940" s="26"/>
      <c r="F1940" s="26"/>
      <c r="G1940" s="26"/>
      <c r="H1940" s="26"/>
      <c r="I1940" s="25"/>
      <c r="J1940" s="25"/>
      <c r="K1940" s="25"/>
      <c r="L1940" s="25"/>
      <c r="M1940" s="25"/>
      <c r="N1940" s="25"/>
      <c r="O1940" s="25"/>
      <c r="P1940" s="25"/>
    </row>
    <row r="1941" spans="1:16" x14ac:dyDescent="0.3">
      <c r="A1941" s="25"/>
      <c r="B1941" s="25"/>
      <c r="C1941" s="25"/>
      <c r="D1941" s="26"/>
      <c r="E1941" s="26"/>
      <c r="F1941" s="26"/>
      <c r="G1941" s="26"/>
      <c r="H1941" s="26"/>
      <c r="I1941" s="25"/>
      <c r="J1941" s="25"/>
      <c r="K1941" s="25"/>
      <c r="L1941" s="25"/>
      <c r="M1941" s="25"/>
      <c r="N1941" s="25"/>
      <c r="O1941" s="25"/>
      <c r="P1941" s="25"/>
    </row>
    <row r="1942" spans="1:16" x14ac:dyDescent="0.3">
      <c r="A1942" s="25"/>
      <c r="B1942" s="25"/>
      <c r="C1942" s="25"/>
      <c r="D1942" s="26"/>
      <c r="E1942" s="26"/>
      <c r="F1942" s="26"/>
      <c r="G1942" s="26"/>
      <c r="H1942" s="26"/>
      <c r="I1942" s="25"/>
      <c r="J1942" s="25"/>
      <c r="K1942" s="25"/>
      <c r="L1942" s="25"/>
      <c r="M1942" s="25"/>
      <c r="N1942" s="25"/>
      <c r="O1942" s="25"/>
      <c r="P1942" s="25"/>
    </row>
    <row r="1943" spans="1:16" x14ac:dyDescent="0.3">
      <c r="A1943" s="25"/>
      <c r="B1943" s="25"/>
      <c r="C1943" s="25"/>
      <c r="D1943" s="26"/>
      <c r="E1943" s="26"/>
      <c r="F1943" s="26"/>
      <c r="G1943" s="26"/>
      <c r="H1943" s="26"/>
      <c r="I1943" s="25"/>
      <c r="J1943" s="25"/>
      <c r="K1943" s="25"/>
      <c r="L1943" s="25"/>
      <c r="M1943" s="25"/>
      <c r="N1943" s="25"/>
      <c r="O1943" s="25"/>
      <c r="P1943" s="25"/>
    </row>
    <row r="1944" spans="1:16" x14ac:dyDescent="0.3">
      <c r="A1944" s="25"/>
      <c r="B1944" s="25"/>
      <c r="C1944" s="25"/>
      <c r="D1944" s="26"/>
      <c r="E1944" s="26"/>
      <c r="F1944" s="26"/>
      <c r="G1944" s="26"/>
      <c r="H1944" s="26"/>
      <c r="I1944" s="25"/>
      <c r="J1944" s="25"/>
      <c r="K1944" s="25"/>
      <c r="L1944" s="25"/>
      <c r="M1944" s="25"/>
      <c r="N1944" s="25"/>
      <c r="O1944" s="25"/>
      <c r="P1944" s="25"/>
    </row>
    <row r="1945" spans="1:16" x14ac:dyDescent="0.3">
      <c r="A1945" s="25"/>
      <c r="B1945" s="25"/>
      <c r="C1945" s="25"/>
      <c r="D1945" s="26"/>
      <c r="E1945" s="26"/>
      <c r="F1945" s="26"/>
      <c r="G1945" s="26"/>
      <c r="H1945" s="26"/>
      <c r="I1945" s="25"/>
      <c r="J1945" s="25"/>
      <c r="K1945" s="25"/>
      <c r="L1945" s="25"/>
      <c r="M1945" s="25"/>
      <c r="N1945" s="25"/>
      <c r="O1945" s="25"/>
      <c r="P1945" s="25"/>
    </row>
    <row r="1946" spans="1:16" x14ac:dyDescent="0.3">
      <c r="A1946" s="25"/>
      <c r="B1946" s="25"/>
      <c r="C1946" s="25"/>
      <c r="D1946" s="26"/>
      <c r="E1946" s="26"/>
      <c r="F1946" s="26"/>
      <c r="G1946" s="26"/>
      <c r="H1946" s="26"/>
      <c r="I1946" s="25"/>
      <c r="J1946" s="25"/>
      <c r="K1946" s="25"/>
      <c r="L1946" s="25"/>
      <c r="M1946" s="25"/>
      <c r="N1946" s="25"/>
      <c r="O1946" s="25"/>
      <c r="P1946" s="25"/>
    </row>
    <row r="1947" spans="1:16" x14ac:dyDescent="0.3">
      <c r="A1947" s="25"/>
      <c r="B1947" s="25"/>
      <c r="C1947" s="25"/>
      <c r="D1947" s="26"/>
      <c r="E1947" s="26"/>
      <c r="F1947" s="26"/>
      <c r="G1947" s="26"/>
      <c r="H1947" s="26"/>
      <c r="I1947" s="25"/>
      <c r="J1947" s="25"/>
      <c r="K1947" s="25"/>
      <c r="L1947" s="25"/>
      <c r="M1947" s="25"/>
      <c r="N1947" s="25"/>
      <c r="O1947" s="25"/>
      <c r="P1947" s="25"/>
    </row>
    <row r="1948" spans="1:16" x14ac:dyDescent="0.3">
      <c r="A1948" s="25"/>
      <c r="B1948" s="25"/>
      <c r="C1948" s="25"/>
      <c r="D1948" s="26"/>
      <c r="E1948" s="26"/>
      <c r="F1948" s="26"/>
      <c r="G1948" s="26"/>
      <c r="H1948" s="26"/>
      <c r="I1948" s="25"/>
      <c r="J1948" s="25"/>
      <c r="K1948" s="25"/>
      <c r="L1948" s="25"/>
      <c r="M1948" s="25"/>
      <c r="N1948" s="25"/>
      <c r="O1948" s="25"/>
      <c r="P1948" s="25"/>
    </row>
    <row r="1949" spans="1:16" x14ac:dyDescent="0.3">
      <c r="A1949" s="25"/>
      <c r="B1949" s="25"/>
      <c r="C1949" s="25"/>
      <c r="D1949" s="26"/>
      <c r="E1949" s="26"/>
      <c r="F1949" s="26"/>
      <c r="G1949" s="26"/>
      <c r="H1949" s="26"/>
      <c r="I1949" s="25"/>
      <c r="J1949" s="25"/>
      <c r="K1949" s="25"/>
      <c r="L1949" s="25"/>
      <c r="M1949" s="25"/>
      <c r="N1949" s="25"/>
      <c r="O1949" s="25"/>
      <c r="P1949" s="25"/>
    </row>
    <row r="1950" spans="1:16" x14ac:dyDescent="0.3">
      <c r="A1950" s="25"/>
      <c r="B1950" s="25"/>
      <c r="C1950" s="25"/>
      <c r="D1950" s="26"/>
      <c r="E1950" s="26"/>
      <c r="F1950" s="26"/>
      <c r="G1950" s="26"/>
      <c r="H1950" s="26"/>
      <c r="I1950" s="25"/>
      <c r="J1950" s="25"/>
      <c r="K1950" s="25"/>
      <c r="L1950" s="25"/>
      <c r="M1950" s="25"/>
      <c r="N1950" s="25"/>
      <c r="O1950" s="25"/>
      <c r="P1950" s="25"/>
    </row>
    <row r="1951" spans="1:16" x14ac:dyDescent="0.3">
      <c r="A1951" s="25"/>
      <c r="B1951" s="25"/>
      <c r="C1951" s="25"/>
      <c r="D1951" s="26"/>
      <c r="E1951" s="26"/>
      <c r="F1951" s="26"/>
      <c r="G1951" s="26"/>
      <c r="H1951" s="26"/>
      <c r="I1951" s="25"/>
      <c r="J1951" s="25"/>
      <c r="K1951" s="25"/>
      <c r="L1951" s="25"/>
      <c r="M1951" s="25"/>
      <c r="N1951" s="25"/>
      <c r="O1951" s="25"/>
      <c r="P1951" s="25"/>
    </row>
    <row r="1952" spans="1:16" x14ac:dyDescent="0.3">
      <c r="A1952" s="25"/>
      <c r="B1952" s="25"/>
      <c r="C1952" s="25"/>
      <c r="D1952" s="26"/>
      <c r="E1952" s="26"/>
      <c r="F1952" s="26"/>
      <c r="G1952" s="26"/>
      <c r="H1952" s="26"/>
      <c r="I1952" s="25"/>
      <c r="J1952" s="25"/>
      <c r="K1952" s="25"/>
      <c r="L1952" s="25"/>
      <c r="M1952" s="25"/>
      <c r="N1952" s="25"/>
      <c r="O1952" s="25"/>
      <c r="P1952" s="25"/>
    </row>
    <row r="1953" spans="1:16" x14ac:dyDescent="0.3">
      <c r="A1953" s="25"/>
      <c r="B1953" s="25"/>
      <c r="C1953" s="25"/>
      <c r="D1953" s="26"/>
      <c r="E1953" s="26"/>
      <c r="F1953" s="26"/>
      <c r="G1953" s="26"/>
      <c r="H1953" s="26"/>
      <c r="I1953" s="25"/>
      <c r="J1953" s="25"/>
      <c r="K1953" s="25"/>
      <c r="L1953" s="25"/>
      <c r="M1953" s="25"/>
      <c r="N1953" s="25"/>
      <c r="O1953" s="25"/>
      <c r="P1953" s="25"/>
    </row>
    <row r="1954" spans="1:16" x14ac:dyDescent="0.3">
      <c r="A1954" s="25"/>
      <c r="B1954" s="25"/>
      <c r="C1954" s="25"/>
      <c r="D1954" s="26"/>
      <c r="E1954" s="26"/>
      <c r="F1954" s="26"/>
      <c r="G1954" s="26"/>
      <c r="H1954" s="26"/>
      <c r="I1954" s="25"/>
      <c r="J1954" s="25"/>
      <c r="K1954" s="25"/>
      <c r="L1954" s="25"/>
      <c r="M1954" s="25"/>
      <c r="N1954" s="25"/>
      <c r="O1954" s="25"/>
      <c r="P1954" s="25"/>
    </row>
    <row r="1955" spans="1:16" x14ac:dyDescent="0.3">
      <c r="A1955" s="25"/>
      <c r="B1955" s="25"/>
      <c r="C1955" s="25"/>
      <c r="D1955" s="26"/>
      <c r="E1955" s="26"/>
      <c r="F1955" s="26"/>
      <c r="G1955" s="26"/>
      <c r="H1955" s="26"/>
      <c r="I1955" s="25"/>
      <c r="J1955" s="25"/>
      <c r="K1955" s="25"/>
      <c r="L1955" s="25"/>
      <c r="M1955" s="25"/>
      <c r="N1955" s="25"/>
      <c r="O1955" s="25"/>
      <c r="P1955" s="25"/>
    </row>
    <row r="1956" spans="1:16" x14ac:dyDescent="0.3">
      <c r="A1956" s="25"/>
      <c r="B1956" s="25"/>
      <c r="C1956" s="25"/>
      <c r="D1956" s="26"/>
      <c r="E1956" s="26"/>
      <c r="F1956" s="26"/>
      <c r="G1956" s="26"/>
      <c r="H1956" s="26"/>
      <c r="I1956" s="25"/>
      <c r="J1956" s="25"/>
      <c r="K1956" s="25"/>
      <c r="L1956" s="25"/>
      <c r="M1956" s="25"/>
      <c r="N1956" s="25"/>
      <c r="O1956" s="25"/>
      <c r="P1956" s="25"/>
    </row>
    <row r="1957" spans="1:16" x14ac:dyDescent="0.3">
      <c r="A1957" s="25"/>
      <c r="B1957" s="25"/>
      <c r="C1957" s="25"/>
      <c r="D1957" s="26"/>
      <c r="E1957" s="26"/>
      <c r="F1957" s="26"/>
      <c r="G1957" s="26"/>
      <c r="H1957" s="26"/>
      <c r="I1957" s="25"/>
      <c r="J1957" s="25"/>
      <c r="K1957" s="25"/>
      <c r="L1957" s="25"/>
      <c r="M1957" s="25"/>
      <c r="N1957" s="25"/>
      <c r="O1957" s="25"/>
      <c r="P1957" s="25"/>
    </row>
    <row r="1958" spans="1:16" x14ac:dyDescent="0.3">
      <c r="A1958" s="25"/>
      <c r="B1958" s="25"/>
      <c r="C1958" s="25"/>
      <c r="D1958" s="26"/>
      <c r="E1958" s="26"/>
      <c r="F1958" s="26"/>
      <c r="G1958" s="26"/>
      <c r="H1958" s="26"/>
      <c r="I1958" s="25"/>
      <c r="J1958" s="25"/>
      <c r="K1958" s="25"/>
      <c r="L1958" s="25"/>
      <c r="M1958" s="25"/>
      <c r="N1958" s="25"/>
      <c r="O1958" s="25"/>
      <c r="P1958" s="25"/>
    </row>
    <row r="1959" spans="1:16" x14ac:dyDescent="0.3">
      <c r="A1959" s="25"/>
      <c r="B1959" s="25"/>
      <c r="C1959" s="25"/>
      <c r="D1959" s="26"/>
      <c r="E1959" s="26"/>
      <c r="F1959" s="26"/>
      <c r="G1959" s="26"/>
      <c r="H1959" s="26"/>
      <c r="I1959" s="25"/>
      <c r="J1959" s="25"/>
      <c r="K1959" s="25"/>
      <c r="L1959" s="25"/>
      <c r="M1959" s="25"/>
      <c r="N1959" s="25"/>
      <c r="O1959" s="25"/>
      <c r="P1959" s="25"/>
    </row>
    <row r="1960" spans="1:16" x14ac:dyDescent="0.3">
      <c r="A1960" s="25"/>
      <c r="B1960" s="25"/>
      <c r="C1960" s="25"/>
      <c r="D1960" s="26"/>
      <c r="E1960" s="26"/>
      <c r="F1960" s="26"/>
      <c r="G1960" s="26"/>
      <c r="H1960" s="26"/>
      <c r="I1960" s="25"/>
      <c r="J1960" s="25"/>
      <c r="K1960" s="25"/>
      <c r="L1960" s="25"/>
      <c r="M1960" s="25"/>
      <c r="N1960" s="25"/>
      <c r="O1960" s="25"/>
      <c r="P1960" s="25"/>
    </row>
    <row r="1961" spans="1:16" x14ac:dyDescent="0.3">
      <c r="A1961" s="25"/>
      <c r="B1961" s="25"/>
      <c r="C1961" s="25"/>
      <c r="D1961" s="26"/>
      <c r="E1961" s="26"/>
      <c r="F1961" s="26"/>
      <c r="G1961" s="26"/>
      <c r="H1961" s="26"/>
      <c r="I1961" s="25"/>
      <c r="J1961" s="25"/>
      <c r="K1961" s="25"/>
      <c r="L1961" s="25"/>
      <c r="M1961" s="25"/>
      <c r="N1961" s="25"/>
      <c r="O1961" s="25"/>
      <c r="P1961" s="25"/>
    </row>
    <row r="1962" spans="1:16" x14ac:dyDescent="0.3">
      <c r="A1962" s="25"/>
      <c r="B1962" s="25"/>
      <c r="C1962" s="25"/>
      <c r="D1962" s="26"/>
      <c r="E1962" s="26"/>
      <c r="F1962" s="26"/>
      <c r="G1962" s="26"/>
      <c r="H1962" s="26"/>
      <c r="I1962" s="25"/>
      <c r="J1962" s="25"/>
      <c r="K1962" s="25"/>
      <c r="L1962" s="25"/>
      <c r="M1962" s="25"/>
      <c r="N1962" s="25"/>
      <c r="O1962" s="25"/>
      <c r="P1962" s="25"/>
    </row>
    <row r="1963" spans="1:16" x14ac:dyDescent="0.3">
      <c r="A1963" s="25"/>
      <c r="B1963" s="25"/>
      <c r="C1963" s="25"/>
      <c r="D1963" s="26"/>
      <c r="E1963" s="26"/>
      <c r="F1963" s="26"/>
      <c r="G1963" s="26"/>
      <c r="H1963" s="26"/>
      <c r="I1963" s="25"/>
      <c r="J1963" s="25"/>
      <c r="K1963" s="25"/>
      <c r="L1963" s="25"/>
      <c r="M1963" s="25"/>
      <c r="N1963" s="25"/>
      <c r="O1963" s="25"/>
      <c r="P1963" s="25"/>
    </row>
    <row r="1964" spans="1:16" x14ac:dyDescent="0.3">
      <c r="A1964" s="25"/>
      <c r="B1964" s="25"/>
      <c r="C1964" s="25"/>
      <c r="D1964" s="26"/>
      <c r="E1964" s="26"/>
      <c r="F1964" s="26"/>
      <c r="G1964" s="26"/>
      <c r="H1964" s="26"/>
      <c r="I1964" s="25"/>
      <c r="J1964" s="25"/>
      <c r="K1964" s="25"/>
      <c r="L1964" s="25"/>
      <c r="M1964" s="25"/>
      <c r="N1964" s="25"/>
      <c r="O1964" s="25"/>
      <c r="P1964" s="25"/>
    </row>
    <row r="1965" spans="1:16" x14ac:dyDescent="0.3">
      <c r="A1965" s="25"/>
      <c r="B1965" s="25"/>
      <c r="C1965" s="25"/>
      <c r="D1965" s="26"/>
      <c r="E1965" s="26"/>
      <c r="F1965" s="26"/>
      <c r="G1965" s="26"/>
      <c r="H1965" s="26"/>
      <c r="I1965" s="25"/>
      <c r="J1965" s="25"/>
      <c r="K1965" s="25"/>
      <c r="L1965" s="25"/>
      <c r="M1965" s="25"/>
      <c r="N1965" s="25"/>
      <c r="O1965" s="25"/>
      <c r="P1965" s="25"/>
    </row>
    <row r="1966" spans="1:16" x14ac:dyDescent="0.3">
      <c r="A1966" s="25"/>
      <c r="B1966" s="25"/>
      <c r="C1966" s="25"/>
      <c r="D1966" s="26"/>
      <c r="E1966" s="26"/>
      <c r="F1966" s="26"/>
      <c r="G1966" s="26"/>
      <c r="H1966" s="26"/>
      <c r="I1966" s="25"/>
      <c r="J1966" s="25"/>
      <c r="K1966" s="25"/>
      <c r="L1966" s="25"/>
      <c r="M1966" s="25"/>
      <c r="N1966" s="25"/>
      <c r="O1966" s="25"/>
      <c r="P1966" s="25"/>
    </row>
    <row r="1967" spans="1:16" x14ac:dyDescent="0.3">
      <c r="A1967" s="25"/>
      <c r="B1967" s="25"/>
      <c r="C1967" s="25"/>
      <c r="D1967" s="26"/>
      <c r="E1967" s="26"/>
      <c r="F1967" s="26"/>
      <c r="G1967" s="26"/>
      <c r="H1967" s="26"/>
      <c r="I1967" s="25"/>
      <c r="J1967" s="25"/>
      <c r="K1967" s="25"/>
      <c r="L1967" s="25"/>
      <c r="M1967" s="25"/>
      <c r="N1967" s="25"/>
      <c r="O1967" s="25"/>
      <c r="P1967" s="25"/>
    </row>
    <row r="1968" spans="1:16" x14ac:dyDescent="0.3">
      <c r="A1968" s="25"/>
      <c r="B1968" s="25"/>
      <c r="C1968" s="25"/>
      <c r="D1968" s="26"/>
      <c r="E1968" s="26"/>
      <c r="F1968" s="26"/>
      <c r="G1968" s="26"/>
      <c r="H1968" s="26"/>
      <c r="I1968" s="25"/>
      <c r="J1968" s="25"/>
      <c r="K1968" s="25"/>
      <c r="L1968" s="25"/>
      <c r="M1968" s="25"/>
      <c r="N1968" s="25"/>
      <c r="O1968" s="25"/>
      <c r="P1968" s="25"/>
    </row>
    <row r="1969" spans="1:16" x14ac:dyDescent="0.3">
      <c r="A1969" s="25"/>
      <c r="B1969" s="25"/>
      <c r="C1969" s="25"/>
      <c r="D1969" s="26"/>
      <c r="E1969" s="26"/>
      <c r="F1969" s="26"/>
      <c r="G1969" s="26"/>
      <c r="H1969" s="26"/>
      <c r="I1969" s="25"/>
      <c r="J1969" s="25"/>
      <c r="K1969" s="25"/>
      <c r="L1969" s="25"/>
      <c r="M1969" s="25"/>
      <c r="N1969" s="25"/>
      <c r="O1969" s="25"/>
      <c r="P1969" s="25"/>
    </row>
    <row r="1970" spans="1:16" x14ac:dyDescent="0.3">
      <c r="A1970" s="25"/>
      <c r="B1970" s="25"/>
      <c r="C1970" s="25"/>
      <c r="D1970" s="26"/>
      <c r="E1970" s="26"/>
      <c r="F1970" s="26"/>
      <c r="G1970" s="26"/>
      <c r="H1970" s="26"/>
      <c r="I1970" s="25"/>
      <c r="J1970" s="25"/>
      <c r="K1970" s="25"/>
      <c r="L1970" s="25"/>
      <c r="M1970" s="25"/>
      <c r="N1970" s="25"/>
      <c r="O1970" s="25"/>
      <c r="P1970" s="25"/>
    </row>
    <row r="1971" spans="1:16" x14ac:dyDescent="0.3">
      <c r="A1971" s="25"/>
      <c r="B1971" s="25"/>
      <c r="C1971" s="25"/>
      <c r="D1971" s="26"/>
      <c r="E1971" s="26"/>
      <c r="F1971" s="26"/>
      <c r="G1971" s="26"/>
      <c r="H1971" s="26"/>
      <c r="I1971" s="25"/>
      <c r="J1971" s="25"/>
      <c r="K1971" s="25"/>
      <c r="L1971" s="25"/>
      <c r="M1971" s="25"/>
      <c r="N1971" s="25"/>
      <c r="O1971" s="25"/>
      <c r="P1971" s="25"/>
    </row>
    <row r="1972" spans="1:16" x14ac:dyDescent="0.3">
      <c r="A1972" s="25"/>
      <c r="B1972" s="25"/>
      <c r="C1972" s="25"/>
      <c r="D1972" s="26"/>
      <c r="E1972" s="26"/>
      <c r="F1972" s="26"/>
      <c r="G1972" s="26"/>
      <c r="H1972" s="26"/>
      <c r="I1972" s="25"/>
      <c r="J1972" s="25"/>
      <c r="K1972" s="25"/>
      <c r="L1972" s="25"/>
      <c r="M1972" s="25"/>
      <c r="N1972" s="25"/>
      <c r="O1972" s="25"/>
      <c r="P1972" s="25"/>
    </row>
    <row r="1973" spans="1:16" x14ac:dyDescent="0.3">
      <c r="A1973" s="25"/>
      <c r="B1973" s="25"/>
      <c r="C1973" s="25"/>
      <c r="D1973" s="26"/>
      <c r="E1973" s="26"/>
      <c r="F1973" s="26"/>
      <c r="G1973" s="26"/>
      <c r="H1973" s="26"/>
      <c r="I1973" s="25"/>
      <c r="J1973" s="25"/>
      <c r="K1973" s="25"/>
      <c r="L1973" s="25"/>
      <c r="M1973" s="25"/>
      <c r="N1973" s="25"/>
      <c r="O1973" s="25"/>
      <c r="P1973" s="25"/>
    </row>
    <row r="1974" spans="1:16" x14ac:dyDescent="0.3">
      <c r="A1974" s="25"/>
      <c r="B1974" s="25"/>
      <c r="C1974" s="25"/>
      <c r="D1974" s="26"/>
      <c r="E1974" s="26"/>
      <c r="F1974" s="26"/>
      <c r="G1974" s="26"/>
      <c r="H1974" s="26"/>
      <c r="I1974" s="25"/>
      <c r="J1974" s="25"/>
      <c r="K1974" s="25"/>
      <c r="L1974" s="25"/>
      <c r="M1974" s="25"/>
      <c r="N1974" s="25"/>
      <c r="O1974" s="25"/>
      <c r="P1974" s="25"/>
    </row>
    <row r="1975" spans="1:16" x14ac:dyDescent="0.3">
      <c r="A1975" s="25"/>
      <c r="B1975" s="25"/>
      <c r="C1975" s="25"/>
      <c r="D1975" s="26"/>
      <c r="E1975" s="26"/>
      <c r="F1975" s="26"/>
      <c r="G1975" s="26"/>
      <c r="H1975" s="26"/>
      <c r="I1975" s="25"/>
      <c r="J1975" s="25"/>
      <c r="K1975" s="25"/>
      <c r="L1975" s="25"/>
      <c r="M1975" s="25"/>
      <c r="N1975" s="25"/>
      <c r="O1975" s="25"/>
      <c r="P1975" s="25"/>
    </row>
    <row r="1976" spans="1:16" x14ac:dyDescent="0.3">
      <c r="A1976" s="25"/>
      <c r="B1976" s="25"/>
      <c r="C1976" s="25"/>
      <c r="D1976" s="26"/>
      <c r="E1976" s="26"/>
      <c r="F1976" s="26"/>
      <c r="G1976" s="26"/>
      <c r="H1976" s="26"/>
      <c r="I1976" s="25"/>
      <c r="J1976" s="25"/>
      <c r="K1976" s="25"/>
      <c r="L1976" s="25"/>
      <c r="M1976" s="25"/>
      <c r="N1976" s="25"/>
      <c r="O1976" s="25"/>
      <c r="P1976" s="25"/>
    </row>
    <row r="1977" spans="1:16" x14ac:dyDescent="0.3">
      <c r="A1977" s="25"/>
      <c r="B1977" s="25"/>
      <c r="C1977" s="25"/>
      <c r="D1977" s="26"/>
      <c r="E1977" s="26"/>
      <c r="F1977" s="26"/>
      <c r="G1977" s="26"/>
      <c r="H1977" s="26"/>
      <c r="I1977" s="25"/>
      <c r="J1977" s="25"/>
      <c r="K1977" s="25"/>
      <c r="L1977" s="25"/>
      <c r="M1977" s="25"/>
      <c r="N1977" s="25"/>
      <c r="O1977" s="25"/>
      <c r="P1977" s="25"/>
    </row>
    <row r="1978" spans="1:16" x14ac:dyDescent="0.3">
      <c r="A1978" s="25"/>
      <c r="B1978" s="25"/>
      <c r="C1978" s="25"/>
      <c r="D1978" s="26"/>
      <c r="E1978" s="26"/>
      <c r="F1978" s="26"/>
      <c r="G1978" s="26"/>
      <c r="H1978" s="26"/>
      <c r="I1978" s="25"/>
      <c r="J1978" s="25"/>
      <c r="K1978" s="25"/>
      <c r="L1978" s="25"/>
      <c r="M1978" s="25"/>
      <c r="N1978" s="25"/>
      <c r="O1978" s="25"/>
      <c r="P1978" s="25"/>
    </row>
    <row r="1979" spans="1:16" x14ac:dyDescent="0.3">
      <c r="A1979" s="25"/>
      <c r="B1979" s="25"/>
      <c r="C1979" s="25"/>
      <c r="D1979" s="26"/>
      <c r="E1979" s="26"/>
      <c r="F1979" s="26"/>
      <c r="G1979" s="26"/>
      <c r="H1979" s="26"/>
      <c r="I1979" s="25"/>
      <c r="J1979" s="25"/>
      <c r="K1979" s="25"/>
      <c r="L1979" s="25"/>
      <c r="M1979" s="25"/>
      <c r="N1979" s="25"/>
      <c r="O1979" s="25"/>
      <c r="P1979" s="25"/>
    </row>
    <row r="1980" spans="1:16" x14ac:dyDescent="0.3">
      <c r="A1980" s="25"/>
      <c r="B1980" s="25"/>
      <c r="C1980" s="25"/>
      <c r="D1980" s="26"/>
      <c r="E1980" s="26"/>
      <c r="F1980" s="26"/>
      <c r="G1980" s="26"/>
      <c r="H1980" s="26"/>
      <c r="I1980" s="25"/>
      <c r="J1980" s="25"/>
      <c r="K1980" s="25"/>
      <c r="L1980" s="25"/>
      <c r="M1980" s="25"/>
      <c r="N1980" s="25"/>
      <c r="O1980" s="25"/>
      <c r="P1980" s="25"/>
    </row>
    <row r="1981" spans="1:16" x14ac:dyDescent="0.3">
      <c r="A1981" s="25"/>
      <c r="B1981" s="25"/>
      <c r="C1981" s="25"/>
      <c r="D1981" s="26"/>
      <c r="E1981" s="26"/>
      <c r="F1981" s="26"/>
      <c r="G1981" s="26"/>
      <c r="H1981" s="26"/>
      <c r="I1981" s="25"/>
      <c r="J1981" s="25"/>
      <c r="K1981" s="25"/>
      <c r="L1981" s="25"/>
      <c r="M1981" s="25"/>
      <c r="N1981" s="25"/>
      <c r="O1981" s="25"/>
      <c r="P1981" s="25"/>
    </row>
    <row r="1982" spans="1:16" x14ac:dyDescent="0.3">
      <c r="A1982" s="25"/>
      <c r="B1982" s="25"/>
      <c r="C1982" s="25"/>
      <c r="D1982" s="26"/>
      <c r="E1982" s="26"/>
      <c r="F1982" s="26"/>
      <c r="G1982" s="26"/>
      <c r="H1982" s="26"/>
      <c r="I1982" s="25"/>
      <c r="J1982" s="25"/>
      <c r="K1982" s="25"/>
      <c r="L1982" s="25"/>
      <c r="M1982" s="25"/>
      <c r="N1982" s="25"/>
      <c r="O1982" s="25"/>
      <c r="P1982" s="25"/>
    </row>
    <row r="1983" spans="1:16" x14ac:dyDescent="0.3">
      <c r="A1983" s="25"/>
      <c r="B1983" s="25"/>
      <c r="C1983" s="25"/>
      <c r="D1983" s="26"/>
      <c r="E1983" s="26"/>
      <c r="F1983" s="26"/>
      <c r="G1983" s="26"/>
      <c r="H1983" s="26"/>
      <c r="I1983" s="25"/>
      <c r="J1983" s="25"/>
      <c r="K1983" s="25"/>
      <c r="L1983" s="25"/>
      <c r="M1983" s="25"/>
      <c r="N1983" s="25"/>
      <c r="O1983" s="25"/>
      <c r="P1983" s="25"/>
    </row>
    <row r="1984" spans="1:16" x14ac:dyDescent="0.3">
      <c r="A1984" s="25"/>
      <c r="B1984" s="25"/>
      <c r="C1984" s="25"/>
      <c r="D1984" s="26"/>
      <c r="E1984" s="26"/>
      <c r="F1984" s="26"/>
      <c r="G1984" s="26"/>
      <c r="H1984" s="26"/>
      <c r="I1984" s="25"/>
      <c r="J1984" s="25"/>
      <c r="K1984" s="25"/>
      <c r="L1984" s="25"/>
      <c r="M1984" s="25"/>
      <c r="N1984" s="25"/>
      <c r="O1984" s="25"/>
      <c r="P1984" s="25"/>
    </row>
    <row r="1985" spans="1:16" x14ac:dyDescent="0.3">
      <c r="A1985" s="25"/>
      <c r="B1985" s="25"/>
      <c r="C1985" s="25"/>
      <c r="D1985" s="26"/>
      <c r="E1985" s="26"/>
      <c r="F1985" s="26"/>
      <c r="G1985" s="26"/>
      <c r="H1985" s="26"/>
      <c r="I1985" s="25"/>
      <c r="J1985" s="25"/>
      <c r="K1985" s="25"/>
      <c r="L1985" s="25"/>
      <c r="M1985" s="25"/>
      <c r="N1985" s="25"/>
      <c r="O1985" s="25"/>
      <c r="P1985" s="25"/>
    </row>
    <row r="1986" spans="1:16" x14ac:dyDescent="0.3">
      <c r="A1986" s="25"/>
      <c r="B1986" s="25"/>
      <c r="C1986" s="25"/>
      <c r="D1986" s="26"/>
      <c r="E1986" s="26"/>
      <c r="F1986" s="26"/>
      <c r="G1986" s="26"/>
      <c r="H1986" s="26"/>
      <c r="I1986" s="25"/>
      <c r="J1986" s="25"/>
      <c r="K1986" s="25"/>
      <c r="L1986" s="25"/>
      <c r="M1986" s="25"/>
      <c r="N1986" s="25"/>
      <c r="O1986" s="25"/>
      <c r="P1986" s="25"/>
    </row>
    <row r="1987" spans="1:16" x14ac:dyDescent="0.3">
      <c r="A1987" s="25"/>
      <c r="B1987" s="25"/>
      <c r="C1987" s="25"/>
      <c r="D1987" s="26"/>
      <c r="E1987" s="26"/>
      <c r="F1987" s="26"/>
      <c r="G1987" s="26"/>
      <c r="H1987" s="26"/>
      <c r="I1987" s="25"/>
      <c r="J1987" s="25"/>
      <c r="K1987" s="25"/>
      <c r="L1987" s="25"/>
      <c r="M1987" s="25"/>
      <c r="N1987" s="25"/>
      <c r="O1987" s="25"/>
      <c r="P1987" s="25"/>
    </row>
    <row r="1988" spans="1:16" x14ac:dyDescent="0.3">
      <c r="A1988" s="25"/>
      <c r="B1988" s="25"/>
      <c r="C1988" s="25"/>
      <c r="D1988" s="26"/>
      <c r="E1988" s="26"/>
      <c r="F1988" s="26"/>
      <c r="G1988" s="26"/>
      <c r="H1988" s="26"/>
      <c r="I1988" s="25"/>
      <c r="J1988" s="25"/>
      <c r="K1988" s="25"/>
      <c r="L1988" s="25"/>
      <c r="M1988" s="25"/>
      <c r="N1988" s="25"/>
      <c r="O1988" s="25"/>
      <c r="P1988" s="25"/>
    </row>
    <row r="1989" spans="1:16" x14ac:dyDescent="0.3">
      <c r="A1989" s="25"/>
      <c r="B1989" s="25"/>
      <c r="C1989" s="25"/>
      <c r="D1989" s="26"/>
      <c r="E1989" s="26"/>
      <c r="F1989" s="26"/>
      <c r="G1989" s="26"/>
      <c r="H1989" s="26"/>
      <c r="I1989" s="25"/>
      <c r="J1989" s="25"/>
      <c r="K1989" s="25"/>
      <c r="L1989" s="25"/>
      <c r="M1989" s="25"/>
      <c r="N1989" s="25"/>
      <c r="O1989" s="25"/>
      <c r="P1989" s="25"/>
    </row>
    <row r="1990" spans="1:16" x14ac:dyDescent="0.3">
      <c r="A1990" s="25"/>
      <c r="B1990" s="25"/>
      <c r="C1990" s="25"/>
      <c r="D1990" s="26"/>
      <c r="E1990" s="26"/>
      <c r="F1990" s="26"/>
      <c r="G1990" s="26"/>
      <c r="H1990" s="26"/>
      <c r="I1990" s="25"/>
      <c r="J1990" s="25"/>
      <c r="K1990" s="25"/>
      <c r="L1990" s="25"/>
      <c r="M1990" s="25"/>
      <c r="N1990" s="25"/>
      <c r="O1990" s="25"/>
      <c r="P1990" s="25"/>
    </row>
    <row r="1991" spans="1:16" x14ac:dyDescent="0.3">
      <c r="A1991" s="25"/>
      <c r="B1991" s="25"/>
      <c r="C1991" s="25"/>
      <c r="D1991" s="26"/>
      <c r="E1991" s="26"/>
      <c r="F1991" s="26"/>
      <c r="G1991" s="26"/>
      <c r="H1991" s="26"/>
      <c r="I1991" s="25"/>
      <c r="J1991" s="25"/>
      <c r="K1991" s="25"/>
      <c r="L1991" s="25"/>
      <c r="M1991" s="25"/>
      <c r="N1991" s="25"/>
      <c r="O1991" s="25"/>
      <c r="P1991" s="25"/>
    </row>
    <row r="1992" spans="1:16" x14ac:dyDescent="0.3">
      <c r="A1992" s="25"/>
      <c r="B1992" s="25"/>
      <c r="C1992" s="25"/>
      <c r="D1992" s="26"/>
      <c r="E1992" s="26"/>
      <c r="F1992" s="26"/>
      <c r="G1992" s="26"/>
      <c r="H1992" s="26"/>
      <c r="I1992" s="25"/>
      <c r="J1992" s="25"/>
      <c r="K1992" s="25"/>
      <c r="L1992" s="25"/>
      <c r="M1992" s="25"/>
      <c r="N1992" s="25"/>
      <c r="O1992" s="25"/>
      <c r="P1992" s="25"/>
    </row>
    <row r="1993" spans="1:16" x14ac:dyDescent="0.3">
      <c r="A1993" s="25"/>
      <c r="B1993" s="25"/>
      <c r="C1993" s="25"/>
      <c r="D1993" s="26"/>
      <c r="E1993" s="26"/>
      <c r="F1993" s="26"/>
      <c r="G1993" s="26"/>
      <c r="H1993" s="26"/>
      <c r="I1993" s="25"/>
      <c r="J1993" s="25"/>
      <c r="K1993" s="25"/>
      <c r="L1993" s="25"/>
      <c r="M1993" s="25"/>
      <c r="N1993" s="25"/>
      <c r="O1993" s="25"/>
      <c r="P1993" s="25"/>
    </row>
    <row r="1994" spans="1:16" x14ac:dyDescent="0.3">
      <c r="A1994" s="25"/>
      <c r="B1994" s="25"/>
      <c r="C1994" s="25"/>
      <c r="D1994" s="26"/>
      <c r="E1994" s="26"/>
      <c r="F1994" s="26"/>
      <c r="G1994" s="26"/>
      <c r="H1994" s="26"/>
      <c r="I1994" s="25"/>
      <c r="J1994" s="25"/>
      <c r="K1994" s="25"/>
      <c r="L1994" s="25"/>
      <c r="M1994" s="25"/>
      <c r="N1994" s="25"/>
      <c r="O1994" s="25"/>
      <c r="P1994" s="25"/>
    </row>
    <row r="1995" spans="1:16" x14ac:dyDescent="0.3">
      <c r="A1995" s="25"/>
      <c r="B1995" s="25"/>
      <c r="C1995" s="25"/>
      <c r="D1995" s="26"/>
      <c r="E1995" s="26"/>
      <c r="F1995" s="26"/>
      <c r="G1995" s="26"/>
      <c r="H1995" s="26"/>
      <c r="I1995" s="25"/>
      <c r="J1995" s="25"/>
      <c r="K1995" s="25"/>
      <c r="L1995" s="25"/>
      <c r="M1995" s="25"/>
      <c r="N1995" s="25"/>
      <c r="O1995" s="25"/>
      <c r="P1995" s="25"/>
    </row>
    <row r="1996" spans="1:16" x14ac:dyDescent="0.3">
      <c r="A1996" s="25"/>
      <c r="B1996" s="25"/>
      <c r="C1996" s="25"/>
      <c r="D1996" s="26"/>
      <c r="E1996" s="26"/>
      <c r="F1996" s="26"/>
      <c r="G1996" s="26"/>
      <c r="H1996" s="26"/>
      <c r="I1996" s="25"/>
      <c r="J1996" s="25"/>
      <c r="K1996" s="25"/>
      <c r="L1996" s="25"/>
      <c r="M1996" s="25"/>
      <c r="N1996" s="25"/>
      <c r="O1996" s="25"/>
      <c r="P1996" s="25"/>
    </row>
    <row r="1997" spans="1:16" x14ac:dyDescent="0.3">
      <c r="A1997" s="25"/>
      <c r="B1997" s="25"/>
      <c r="C1997" s="25"/>
      <c r="D1997" s="26"/>
      <c r="E1997" s="26"/>
      <c r="F1997" s="26"/>
      <c r="G1997" s="26"/>
      <c r="H1997" s="26"/>
      <c r="I1997" s="25"/>
      <c r="J1997" s="25"/>
      <c r="K1997" s="25"/>
      <c r="L1997" s="25"/>
      <c r="M1997" s="25"/>
      <c r="N1997" s="25"/>
      <c r="O1997" s="25"/>
      <c r="P1997" s="25"/>
    </row>
    <row r="1998" spans="1:16" x14ac:dyDescent="0.3">
      <c r="A1998" s="25"/>
      <c r="B1998" s="25"/>
      <c r="C1998" s="25"/>
      <c r="D1998" s="26"/>
      <c r="E1998" s="26"/>
      <c r="F1998" s="26"/>
      <c r="G1998" s="26"/>
      <c r="H1998" s="26"/>
      <c r="I1998" s="25"/>
      <c r="J1998" s="25"/>
      <c r="K1998" s="25"/>
      <c r="L1998" s="25"/>
      <c r="M1998" s="25"/>
      <c r="N1998" s="25"/>
      <c r="O1998" s="25"/>
      <c r="P1998" s="25"/>
    </row>
    <row r="1999" spans="1:16" x14ac:dyDescent="0.3">
      <c r="A1999" s="25"/>
      <c r="B1999" s="25"/>
      <c r="C1999" s="25"/>
      <c r="D1999" s="26"/>
      <c r="E1999" s="26"/>
      <c r="F1999" s="26"/>
      <c r="G1999" s="26"/>
      <c r="H1999" s="26"/>
      <c r="I1999" s="25"/>
      <c r="J1999" s="25"/>
      <c r="K1999" s="25"/>
      <c r="L1999" s="25"/>
      <c r="M1999" s="25"/>
      <c r="N1999" s="25"/>
      <c r="O1999" s="25"/>
      <c r="P1999" s="25"/>
    </row>
    <row r="2000" spans="1:16" x14ac:dyDescent="0.3">
      <c r="A2000" s="25"/>
      <c r="B2000" s="25"/>
      <c r="C2000" s="25"/>
      <c r="D2000" s="26"/>
      <c r="E2000" s="26"/>
      <c r="F2000" s="26"/>
      <c r="G2000" s="26"/>
      <c r="H2000" s="26"/>
      <c r="I2000" s="25"/>
      <c r="J2000" s="25"/>
      <c r="K2000" s="25"/>
      <c r="L2000" s="25"/>
      <c r="M2000" s="25"/>
      <c r="N2000" s="25"/>
      <c r="O2000" s="25"/>
      <c r="P2000" s="25"/>
    </row>
    <row r="2001" spans="1:16" x14ac:dyDescent="0.3">
      <c r="A2001" s="25"/>
      <c r="B2001" s="25"/>
      <c r="C2001" s="25"/>
      <c r="D2001" s="26"/>
      <c r="E2001" s="26"/>
      <c r="F2001" s="26"/>
      <c r="G2001" s="26"/>
      <c r="H2001" s="26"/>
      <c r="I2001" s="25"/>
      <c r="J2001" s="25"/>
      <c r="K2001" s="25"/>
      <c r="L2001" s="25"/>
      <c r="M2001" s="25"/>
      <c r="N2001" s="25"/>
      <c r="O2001" s="25"/>
      <c r="P2001" s="25"/>
    </row>
    <row r="2002" spans="1:16" x14ac:dyDescent="0.3">
      <c r="A2002" s="25"/>
      <c r="B2002" s="25"/>
      <c r="C2002" s="25"/>
      <c r="D2002" s="26"/>
      <c r="E2002" s="26"/>
      <c r="F2002" s="26"/>
      <c r="G2002" s="26"/>
      <c r="H2002" s="26"/>
      <c r="I2002" s="25"/>
      <c r="J2002" s="25"/>
      <c r="K2002" s="25"/>
      <c r="L2002" s="25"/>
      <c r="M2002" s="25"/>
      <c r="N2002" s="25"/>
      <c r="O2002" s="25"/>
      <c r="P2002" s="25"/>
    </row>
    <row r="2003" spans="1:16" x14ac:dyDescent="0.3">
      <c r="A2003" s="25"/>
      <c r="B2003" s="25"/>
      <c r="C2003" s="25"/>
      <c r="D2003" s="26"/>
      <c r="E2003" s="26"/>
      <c r="F2003" s="26"/>
      <c r="G2003" s="26"/>
      <c r="H2003" s="26"/>
      <c r="I2003" s="25"/>
      <c r="J2003" s="25"/>
      <c r="K2003" s="25"/>
      <c r="L2003" s="25"/>
      <c r="M2003" s="25"/>
      <c r="N2003" s="25"/>
      <c r="O2003" s="25"/>
      <c r="P2003" s="25"/>
    </row>
    <row r="2004" spans="1:16" x14ac:dyDescent="0.3">
      <c r="A2004" s="25"/>
      <c r="B2004" s="25"/>
      <c r="C2004" s="25"/>
      <c r="D2004" s="26"/>
      <c r="E2004" s="26"/>
      <c r="F2004" s="26"/>
      <c r="G2004" s="26"/>
      <c r="H2004" s="26"/>
      <c r="I2004" s="25"/>
      <c r="J2004" s="25"/>
      <c r="K2004" s="25"/>
      <c r="L2004" s="25"/>
      <c r="M2004" s="25"/>
      <c r="N2004" s="25"/>
      <c r="O2004" s="25"/>
      <c r="P2004" s="25"/>
    </row>
    <row r="2005" spans="1:16" x14ac:dyDescent="0.3">
      <c r="A2005" s="25"/>
      <c r="B2005" s="25"/>
      <c r="C2005" s="25"/>
      <c r="D2005" s="26"/>
      <c r="E2005" s="26"/>
      <c r="F2005" s="26"/>
      <c r="G2005" s="26"/>
      <c r="H2005" s="26"/>
      <c r="I2005" s="25"/>
      <c r="J2005" s="25"/>
      <c r="K2005" s="25"/>
      <c r="L2005" s="25"/>
      <c r="M2005" s="25"/>
      <c r="N2005" s="25"/>
      <c r="O2005" s="25"/>
      <c r="P2005" s="25"/>
    </row>
    <row r="2006" spans="1:16" x14ac:dyDescent="0.3">
      <c r="A2006" s="25"/>
      <c r="B2006" s="25"/>
      <c r="C2006" s="25"/>
      <c r="D2006" s="26"/>
      <c r="E2006" s="26"/>
      <c r="F2006" s="26"/>
      <c r="G2006" s="26"/>
      <c r="H2006" s="26"/>
      <c r="I2006" s="25"/>
      <c r="J2006" s="25"/>
      <c r="K2006" s="25"/>
      <c r="L2006" s="25"/>
      <c r="M2006" s="25"/>
      <c r="N2006" s="25"/>
      <c r="O2006" s="25"/>
      <c r="P2006" s="25"/>
    </row>
    <row r="2007" spans="1:16" x14ac:dyDescent="0.3">
      <c r="A2007" s="25"/>
      <c r="B2007" s="25"/>
      <c r="C2007" s="25"/>
      <c r="D2007" s="26"/>
      <c r="E2007" s="26"/>
      <c r="F2007" s="26"/>
      <c r="G2007" s="26"/>
      <c r="H2007" s="26"/>
      <c r="I2007" s="25"/>
      <c r="J2007" s="25"/>
      <c r="K2007" s="25"/>
      <c r="L2007" s="25"/>
      <c r="M2007" s="25"/>
      <c r="N2007" s="25"/>
      <c r="O2007" s="25"/>
      <c r="P2007" s="25"/>
    </row>
    <row r="2008" spans="1:16" x14ac:dyDescent="0.3">
      <c r="A2008" s="25"/>
      <c r="B2008" s="25"/>
      <c r="C2008" s="25"/>
      <c r="D2008" s="26"/>
      <c r="E2008" s="26"/>
      <c r="F2008" s="26"/>
      <c r="G2008" s="26"/>
      <c r="H2008" s="26"/>
      <c r="I2008" s="25"/>
      <c r="J2008" s="25"/>
      <c r="K2008" s="25"/>
      <c r="L2008" s="25"/>
      <c r="M2008" s="25"/>
      <c r="N2008" s="25"/>
      <c r="O2008" s="25"/>
      <c r="P2008" s="25"/>
    </row>
    <row r="2009" spans="1:16" x14ac:dyDescent="0.3">
      <c r="A2009" s="25"/>
      <c r="B2009" s="25"/>
      <c r="C2009" s="25"/>
      <c r="D2009" s="26"/>
      <c r="E2009" s="26"/>
      <c r="F2009" s="26"/>
      <c r="G2009" s="26"/>
      <c r="H2009" s="26"/>
      <c r="I2009" s="25"/>
      <c r="J2009" s="25"/>
      <c r="K2009" s="25"/>
      <c r="L2009" s="25"/>
      <c r="M2009" s="25"/>
      <c r="N2009" s="25"/>
      <c r="O2009" s="25"/>
      <c r="P2009" s="25"/>
    </row>
    <row r="2010" spans="1:16" x14ac:dyDescent="0.3">
      <c r="A2010" s="25"/>
      <c r="B2010" s="25"/>
      <c r="C2010" s="25"/>
      <c r="D2010" s="26"/>
      <c r="E2010" s="26"/>
      <c r="F2010" s="26"/>
      <c r="G2010" s="26"/>
      <c r="H2010" s="26"/>
      <c r="I2010" s="25"/>
      <c r="J2010" s="25"/>
      <c r="K2010" s="25"/>
      <c r="L2010" s="25"/>
      <c r="M2010" s="25"/>
      <c r="N2010" s="25"/>
      <c r="O2010" s="25"/>
      <c r="P2010" s="25"/>
    </row>
    <row r="2011" spans="1:16" x14ac:dyDescent="0.3">
      <c r="A2011" s="25"/>
      <c r="B2011" s="25"/>
      <c r="C2011" s="25"/>
      <c r="D2011" s="26"/>
      <c r="E2011" s="26"/>
      <c r="F2011" s="26"/>
      <c r="G2011" s="26"/>
      <c r="H2011" s="26"/>
      <c r="I2011" s="25"/>
      <c r="J2011" s="25"/>
      <c r="K2011" s="25"/>
      <c r="L2011" s="25"/>
      <c r="M2011" s="25"/>
      <c r="N2011" s="25"/>
      <c r="O2011" s="25"/>
      <c r="P2011" s="25"/>
    </row>
    <row r="2012" spans="1:16" x14ac:dyDescent="0.3">
      <c r="A2012" s="25"/>
      <c r="B2012" s="25"/>
      <c r="C2012" s="25"/>
      <c r="D2012" s="26"/>
      <c r="E2012" s="26"/>
      <c r="F2012" s="26"/>
      <c r="G2012" s="26"/>
      <c r="H2012" s="26"/>
      <c r="I2012" s="25"/>
      <c r="J2012" s="25"/>
      <c r="K2012" s="25"/>
      <c r="L2012" s="25"/>
      <c r="M2012" s="25"/>
      <c r="N2012" s="25"/>
      <c r="O2012" s="25"/>
      <c r="P2012" s="25"/>
    </row>
    <row r="2013" spans="1:16" x14ac:dyDescent="0.3">
      <c r="A2013" s="25"/>
      <c r="B2013" s="25"/>
      <c r="C2013" s="25"/>
      <c r="D2013" s="26"/>
      <c r="E2013" s="26"/>
      <c r="F2013" s="26"/>
      <c r="G2013" s="26"/>
      <c r="H2013" s="26"/>
      <c r="I2013" s="25"/>
      <c r="J2013" s="25"/>
      <c r="K2013" s="25"/>
      <c r="L2013" s="25"/>
      <c r="M2013" s="25"/>
      <c r="N2013" s="25"/>
      <c r="O2013" s="25"/>
      <c r="P2013" s="25"/>
    </row>
    <row r="2014" spans="1:16" x14ac:dyDescent="0.3">
      <c r="A2014" s="25"/>
      <c r="B2014" s="25"/>
      <c r="C2014" s="25"/>
      <c r="D2014" s="26"/>
      <c r="E2014" s="26"/>
      <c r="F2014" s="26"/>
      <c r="G2014" s="26"/>
      <c r="H2014" s="26"/>
      <c r="I2014" s="25"/>
      <c r="J2014" s="25"/>
      <c r="K2014" s="25"/>
      <c r="L2014" s="25"/>
      <c r="M2014" s="25"/>
      <c r="N2014" s="25"/>
      <c r="O2014" s="25"/>
      <c r="P2014" s="25"/>
    </row>
    <row r="2015" spans="1:16" x14ac:dyDescent="0.3">
      <c r="A2015" s="25"/>
      <c r="B2015" s="25"/>
      <c r="C2015" s="25"/>
      <c r="D2015" s="26"/>
      <c r="E2015" s="26"/>
      <c r="F2015" s="26"/>
      <c r="G2015" s="26"/>
      <c r="H2015" s="26"/>
      <c r="I2015" s="25"/>
      <c r="J2015" s="25"/>
      <c r="K2015" s="25"/>
      <c r="L2015" s="25"/>
      <c r="M2015" s="25"/>
      <c r="N2015" s="25"/>
      <c r="O2015" s="25"/>
      <c r="P2015" s="25"/>
    </row>
    <row r="2016" spans="1:16" x14ac:dyDescent="0.3">
      <c r="A2016" s="25"/>
      <c r="B2016" s="25"/>
      <c r="C2016" s="25"/>
      <c r="D2016" s="26"/>
      <c r="E2016" s="26"/>
      <c r="F2016" s="26"/>
      <c r="G2016" s="26"/>
      <c r="H2016" s="26"/>
      <c r="I2016" s="25"/>
      <c r="J2016" s="25"/>
      <c r="K2016" s="25"/>
      <c r="L2016" s="25"/>
      <c r="M2016" s="25"/>
      <c r="N2016" s="25"/>
      <c r="O2016" s="25"/>
      <c r="P2016" s="25"/>
    </row>
    <row r="2017" spans="1:16" x14ac:dyDescent="0.3">
      <c r="A2017" s="25"/>
      <c r="B2017" s="25"/>
      <c r="C2017" s="25"/>
      <c r="D2017" s="26"/>
      <c r="E2017" s="26"/>
      <c r="F2017" s="26"/>
      <c r="G2017" s="26"/>
      <c r="H2017" s="26"/>
      <c r="I2017" s="25"/>
      <c r="J2017" s="25"/>
      <c r="K2017" s="25"/>
      <c r="L2017" s="25"/>
      <c r="M2017" s="25"/>
      <c r="N2017" s="25"/>
      <c r="O2017" s="25"/>
      <c r="P2017" s="25"/>
    </row>
    <row r="2018" spans="1:16" x14ac:dyDescent="0.3">
      <c r="A2018" s="25"/>
      <c r="B2018" s="25"/>
      <c r="C2018" s="25"/>
      <c r="D2018" s="26"/>
      <c r="E2018" s="26"/>
      <c r="F2018" s="26"/>
      <c r="G2018" s="26"/>
      <c r="H2018" s="26"/>
      <c r="I2018" s="25"/>
      <c r="J2018" s="25"/>
      <c r="K2018" s="25"/>
      <c r="L2018" s="25"/>
      <c r="M2018" s="25"/>
      <c r="N2018" s="25"/>
      <c r="O2018" s="25"/>
      <c r="P2018" s="25"/>
    </row>
    <row r="2019" spans="1:16" x14ac:dyDescent="0.3">
      <c r="A2019" s="25"/>
      <c r="B2019" s="25"/>
      <c r="C2019" s="25"/>
      <c r="D2019" s="26"/>
      <c r="E2019" s="26"/>
      <c r="F2019" s="26"/>
      <c r="G2019" s="26"/>
      <c r="H2019" s="26"/>
      <c r="I2019" s="25"/>
      <c r="J2019" s="25"/>
      <c r="K2019" s="25"/>
      <c r="L2019" s="25"/>
      <c r="M2019" s="25"/>
      <c r="N2019" s="25"/>
      <c r="O2019" s="25"/>
      <c r="P2019" s="25"/>
    </row>
    <row r="2020" spans="1:16" x14ac:dyDescent="0.3">
      <c r="A2020" s="25"/>
      <c r="B2020" s="25"/>
      <c r="C2020" s="25"/>
      <c r="D2020" s="26"/>
      <c r="E2020" s="26"/>
      <c r="F2020" s="26"/>
      <c r="G2020" s="26"/>
      <c r="H2020" s="26"/>
      <c r="I2020" s="25"/>
      <c r="J2020" s="25"/>
      <c r="K2020" s="25"/>
      <c r="L2020" s="25"/>
      <c r="M2020" s="25"/>
      <c r="N2020" s="25"/>
      <c r="O2020" s="25"/>
      <c r="P2020" s="25"/>
    </row>
    <row r="2021" spans="1:16" x14ac:dyDescent="0.3">
      <c r="A2021" s="25"/>
      <c r="B2021" s="25"/>
      <c r="C2021" s="25"/>
      <c r="D2021" s="26"/>
      <c r="E2021" s="26"/>
      <c r="F2021" s="26"/>
      <c r="G2021" s="26"/>
      <c r="H2021" s="26"/>
      <c r="I2021" s="25"/>
      <c r="J2021" s="25"/>
      <c r="K2021" s="25"/>
      <c r="L2021" s="25"/>
      <c r="M2021" s="25"/>
      <c r="N2021" s="25"/>
      <c r="O2021" s="25"/>
      <c r="P2021" s="25"/>
    </row>
    <row r="2022" spans="1:16" x14ac:dyDescent="0.3">
      <c r="A2022" s="25"/>
      <c r="B2022" s="25"/>
      <c r="C2022" s="25"/>
      <c r="D2022" s="26"/>
      <c r="E2022" s="26"/>
      <c r="F2022" s="26"/>
      <c r="G2022" s="26"/>
      <c r="H2022" s="26"/>
      <c r="I2022" s="25"/>
      <c r="J2022" s="25"/>
      <c r="K2022" s="25"/>
      <c r="L2022" s="25"/>
      <c r="M2022" s="25"/>
      <c r="N2022" s="25"/>
      <c r="O2022" s="25"/>
      <c r="P2022" s="25"/>
    </row>
    <row r="2023" spans="1:16" x14ac:dyDescent="0.3">
      <c r="A2023" s="25"/>
      <c r="B2023" s="25"/>
      <c r="C2023" s="25"/>
      <c r="D2023" s="26"/>
      <c r="E2023" s="26"/>
      <c r="F2023" s="26"/>
      <c r="G2023" s="26"/>
      <c r="H2023" s="26"/>
      <c r="I2023" s="25"/>
      <c r="J2023" s="25"/>
      <c r="K2023" s="25"/>
      <c r="L2023" s="25"/>
      <c r="M2023" s="25"/>
      <c r="N2023" s="25"/>
      <c r="O2023" s="25"/>
      <c r="P2023" s="25"/>
    </row>
    <row r="2024" spans="1:16" x14ac:dyDescent="0.3">
      <c r="A2024" s="25"/>
      <c r="B2024" s="25"/>
      <c r="C2024" s="25"/>
      <c r="D2024" s="26"/>
      <c r="E2024" s="26"/>
      <c r="F2024" s="26"/>
      <c r="G2024" s="26"/>
      <c r="H2024" s="26"/>
      <c r="I2024" s="25"/>
      <c r="J2024" s="25"/>
      <c r="K2024" s="25"/>
      <c r="L2024" s="25"/>
      <c r="M2024" s="25"/>
      <c r="N2024" s="25"/>
      <c r="O2024" s="25"/>
      <c r="P2024" s="25"/>
    </row>
    <row r="2025" spans="1:16" x14ac:dyDescent="0.3">
      <c r="A2025" s="25"/>
      <c r="B2025" s="25"/>
      <c r="C2025" s="25"/>
      <c r="D2025" s="26"/>
      <c r="E2025" s="26"/>
      <c r="F2025" s="26"/>
      <c r="G2025" s="26"/>
      <c r="H2025" s="26"/>
      <c r="I2025" s="25"/>
      <c r="J2025" s="25"/>
      <c r="K2025" s="25"/>
      <c r="L2025" s="25"/>
      <c r="M2025" s="25"/>
      <c r="N2025" s="25"/>
      <c r="O2025" s="25"/>
      <c r="P2025" s="25"/>
    </row>
    <row r="2026" spans="1:16" x14ac:dyDescent="0.3">
      <c r="A2026" s="25"/>
      <c r="B2026" s="25"/>
      <c r="C2026" s="25"/>
      <c r="D2026" s="26"/>
      <c r="E2026" s="26"/>
      <c r="F2026" s="26"/>
      <c r="G2026" s="26"/>
      <c r="H2026" s="26"/>
      <c r="I2026" s="25"/>
      <c r="J2026" s="25"/>
      <c r="K2026" s="25"/>
      <c r="L2026" s="25"/>
      <c r="M2026" s="25"/>
      <c r="N2026" s="25"/>
      <c r="O2026" s="25"/>
      <c r="P2026" s="25"/>
    </row>
    <row r="2027" spans="1:16" x14ac:dyDescent="0.3">
      <c r="A2027" s="25"/>
      <c r="B2027" s="25"/>
      <c r="C2027" s="25"/>
      <c r="D2027" s="26"/>
      <c r="E2027" s="26"/>
      <c r="F2027" s="26"/>
      <c r="G2027" s="26"/>
      <c r="H2027" s="26"/>
      <c r="I2027" s="25"/>
      <c r="J2027" s="25"/>
      <c r="K2027" s="25"/>
      <c r="L2027" s="25"/>
      <c r="M2027" s="25"/>
      <c r="N2027" s="25"/>
      <c r="O2027" s="25"/>
      <c r="P2027" s="25"/>
    </row>
    <row r="2028" spans="1:16" x14ac:dyDescent="0.3">
      <c r="A2028" s="25"/>
      <c r="B2028" s="25"/>
      <c r="C2028" s="25"/>
      <c r="D2028" s="26"/>
      <c r="E2028" s="26"/>
      <c r="F2028" s="26"/>
      <c r="G2028" s="26"/>
      <c r="H2028" s="26"/>
      <c r="I2028" s="25"/>
      <c r="J2028" s="25"/>
      <c r="K2028" s="25"/>
      <c r="L2028" s="25"/>
      <c r="M2028" s="25"/>
      <c r="N2028" s="25"/>
      <c r="O2028" s="25"/>
      <c r="P2028" s="25"/>
    </row>
    <row r="2029" spans="1:16" x14ac:dyDescent="0.3">
      <c r="A2029" s="25"/>
      <c r="B2029" s="25"/>
      <c r="C2029" s="25"/>
      <c r="D2029" s="26"/>
      <c r="E2029" s="26"/>
      <c r="F2029" s="26"/>
      <c r="G2029" s="26"/>
      <c r="H2029" s="26"/>
      <c r="I2029" s="25"/>
      <c r="J2029" s="25"/>
      <c r="K2029" s="25"/>
      <c r="L2029" s="25"/>
      <c r="M2029" s="25"/>
      <c r="N2029" s="25"/>
      <c r="O2029" s="25"/>
      <c r="P2029" s="25"/>
    </row>
    <row r="2030" spans="1:16" x14ac:dyDescent="0.3">
      <c r="A2030" s="25"/>
      <c r="B2030" s="25"/>
      <c r="C2030" s="25"/>
      <c r="D2030" s="26"/>
      <c r="E2030" s="26"/>
      <c r="F2030" s="26"/>
      <c r="G2030" s="26"/>
      <c r="H2030" s="26"/>
      <c r="I2030" s="25"/>
      <c r="J2030" s="25"/>
      <c r="K2030" s="25"/>
      <c r="L2030" s="25"/>
      <c r="M2030" s="25"/>
      <c r="N2030" s="25"/>
      <c r="O2030" s="25"/>
      <c r="P2030" s="25"/>
    </row>
    <row r="2031" spans="1:16" x14ac:dyDescent="0.3">
      <c r="A2031" s="25"/>
      <c r="B2031" s="25"/>
      <c r="C2031" s="25"/>
      <c r="D2031" s="26"/>
      <c r="E2031" s="26"/>
      <c r="F2031" s="26"/>
      <c r="G2031" s="26"/>
      <c r="H2031" s="26"/>
      <c r="I2031" s="25"/>
      <c r="J2031" s="25"/>
      <c r="K2031" s="25"/>
      <c r="L2031" s="25"/>
      <c r="M2031" s="25"/>
      <c r="N2031" s="25"/>
      <c r="O2031" s="25"/>
      <c r="P2031" s="25"/>
    </row>
    <row r="2032" spans="1:16" x14ac:dyDescent="0.3">
      <c r="A2032" s="25"/>
      <c r="B2032" s="25"/>
      <c r="C2032" s="25"/>
      <c r="D2032" s="26"/>
      <c r="E2032" s="26"/>
      <c r="F2032" s="26"/>
      <c r="G2032" s="26"/>
      <c r="H2032" s="26"/>
      <c r="I2032" s="25"/>
      <c r="J2032" s="25"/>
      <c r="K2032" s="25"/>
      <c r="L2032" s="25"/>
      <c r="M2032" s="25"/>
      <c r="N2032" s="25"/>
      <c r="O2032" s="25"/>
      <c r="P2032" s="25"/>
    </row>
    <row r="2033" spans="1:16" x14ac:dyDescent="0.3">
      <c r="A2033" s="25"/>
      <c r="B2033" s="25"/>
      <c r="C2033" s="25"/>
      <c r="D2033" s="26"/>
      <c r="E2033" s="26"/>
      <c r="F2033" s="26"/>
      <c r="G2033" s="26"/>
      <c r="H2033" s="26"/>
      <c r="I2033" s="25"/>
      <c r="J2033" s="25"/>
      <c r="K2033" s="25"/>
      <c r="L2033" s="25"/>
      <c r="M2033" s="25"/>
      <c r="N2033" s="25"/>
      <c r="O2033" s="25"/>
      <c r="P2033" s="25"/>
    </row>
    <row r="2034" spans="1:16" x14ac:dyDescent="0.3">
      <c r="A2034" s="25"/>
      <c r="B2034" s="25"/>
      <c r="C2034" s="25"/>
      <c r="D2034" s="26"/>
      <c r="E2034" s="26"/>
      <c r="F2034" s="26"/>
      <c r="G2034" s="26"/>
      <c r="H2034" s="26"/>
      <c r="I2034" s="25"/>
      <c r="J2034" s="25"/>
      <c r="K2034" s="25"/>
      <c r="L2034" s="25"/>
      <c r="M2034" s="25"/>
      <c r="N2034" s="25"/>
      <c r="O2034" s="25"/>
      <c r="P2034" s="25"/>
    </row>
    <row r="2035" spans="1:16" x14ac:dyDescent="0.3">
      <c r="A2035" s="25"/>
      <c r="B2035" s="25"/>
      <c r="C2035" s="25"/>
      <c r="D2035" s="26"/>
      <c r="E2035" s="26"/>
      <c r="F2035" s="26"/>
      <c r="G2035" s="26"/>
      <c r="H2035" s="26"/>
      <c r="I2035" s="25"/>
      <c r="J2035" s="25"/>
      <c r="K2035" s="25"/>
      <c r="L2035" s="25"/>
      <c r="M2035" s="25"/>
      <c r="N2035" s="25"/>
      <c r="O2035" s="25"/>
      <c r="P2035" s="25"/>
    </row>
    <row r="2036" spans="1:16" x14ac:dyDescent="0.3">
      <c r="A2036" s="25"/>
      <c r="B2036" s="25"/>
      <c r="C2036" s="25"/>
      <c r="D2036" s="26"/>
      <c r="E2036" s="26"/>
      <c r="F2036" s="26"/>
      <c r="G2036" s="26"/>
      <c r="H2036" s="26"/>
      <c r="I2036" s="25"/>
      <c r="J2036" s="25"/>
      <c r="K2036" s="25"/>
      <c r="L2036" s="25"/>
      <c r="M2036" s="25"/>
      <c r="N2036" s="25"/>
      <c r="O2036" s="25"/>
      <c r="P2036" s="25"/>
    </row>
    <row r="2037" spans="1:16" x14ac:dyDescent="0.3">
      <c r="A2037" s="25"/>
      <c r="B2037" s="25"/>
      <c r="C2037" s="25"/>
      <c r="D2037" s="26"/>
      <c r="E2037" s="26"/>
      <c r="F2037" s="26"/>
      <c r="G2037" s="26"/>
      <c r="H2037" s="26"/>
      <c r="I2037" s="25"/>
      <c r="J2037" s="25"/>
      <c r="K2037" s="25"/>
      <c r="L2037" s="25"/>
      <c r="M2037" s="25"/>
      <c r="N2037" s="25"/>
      <c r="O2037" s="25"/>
      <c r="P2037" s="25"/>
    </row>
    <row r="2038" spans="1:16" x14ac:dyDescent="0.3">
      <c r="A2038" s="25"/>
      <c r="B2038" s="25"/>
      <c r="C2038" s="25"/>
      <c r="D2038" s="26"/>
      <c r="E2038" s="26"/>
      <c r="F2038" s="26"/>
      <c r="G2038" s="26"/>
      <c r="H2038" s="26"/>
      <c r="I2038" s="25"/>
      <c r="J2038" s="25"/>
      <c r="K2038" s="25"/>
      <c r="L2038" s="25"/>
      <c r="M2038" s="25"/>
      <c r="N2038" s="25"/>
      <c r="O2038" s="25"/>
      <c r="P2038" s="25"/>
    </row>
    <row r="2039" spans="1:16" x14ac:dyDescent="0.3">
      <c r="A2039" s="25"/>
      <c r="B2039" s="25"/>
      <c r="C2039" s="25"/>
      <c r="D2039" s="26"/>
      <c r="E2039" s="26"/>
      <c r="F2039" s="26"/>
      <c r="G2039" s="26"/>
      <c r="H2039" s="26"/>
      <c r="I2039" s="25"/>
      <c r="J2039" s="25"/>
      <c r="K2039" s="25"/>
      <c r="L2039" s="25"/>
      <c r="M2039" s="25"/>
      <c r="N2039" s="25"/>
      <c r="O2039" s="25"/>
      <c r="P2039" s="25"/>
    </row>
    <row r="2040" spans="1:16" x14ac:dyDescent="0.3">
      <c r="A2040" s="25"/>
      <c r="B2040" s="25"/>
      <c r="C2040" s="25"/>
      <c r="D2040" s="26"/>
      <c r="E2040" s="26"/>
      <c r="F2040" s="26"/>
      <c r="G2040" s="26"/>
      <c r="H2040" s="26"/>
      <c r="I2040" s="25"/>
      <c r="J2040" s="25"/>
      <c r="K2040" s="25"/>
      <c r="L2040" s="25"/>
      <c r="M2040" s="25"/>
      <c r="N2040" s="25"/>
      <c r="O2040" s="25"/>
      <c r="P2040" s="25"/>
    </row>
    <row r="2041" spans="1:16" x14ac:dyDescent="0.3">
      <c r="A2041" s="25"/>
      <c r="B2041" s="25"/>
      <c r="C2041" s="25"/>
      <c r="D2041" s="26"/>
      <c r="E2041" s="26"/>
      <c r="F2041" s="26"/>
      <c r="G2041" s="26"/>
      <c r="H2041" s="26"/>
      <c r="I2041" s="25"/>
      <c r="J2041" s="25"/>
      <c r="K2041" s="25"/>
      <c r="L2041" s="25"/>
      <c r="M2041" s="25"/>
      <c r="N2041" s="25"/>
      <c r="O2041" s="25"/>
      <c r="P2041" s="25"/>
    </row>
    <row r="2042" spans="1:16" x14ac:dyDescent="0.3">
      <c r="A2042" s="25"/>
      <c r="B2042" s="25"/>
      <c r="C2042" s="25"/>
      <c r="D2042" s="26"/>
      <c r="E2042" s="26"/>
      <c r="F2042" s="26"/>
      <c r="G2042" s="26"/>
      <c r="H2042" s="26"/>
      <c r="I2042" s="25"/>
      <c r="J2042" s="25"/>
      <c r="K2042" s="25"/>
      <c r="L2042" s="25"/>
      <c r="M2042" s="25"/>
      <c r="N2042" s="25"/>
      <c r="O2042" s="25"/>
      <c r="P2042" s="25"/>
    </row>
    <row r="2043" spans="1:16" x14ac:dyDescent="0.3">
      <c r="A2043" s="25"/>
      <c r="B2043" s="25"/>
      <c r="C2043" s="25"/>
      <c r="D2043" s="26"/>
      <c r="E2043" s="26"/>
      <c r="F2043" s="26"/>
      <c r="G2043" s="26"/>
      <c r="H2043" s="26"/>
      <c r="I2043" s="25"/>
      <c r="J2043" s="25"/>
      <c r="K2043" s="25"/>
      <c r="L2043" s="25"/>
      <c r="M2043" s="25"/>
      <c r="N2043" s="25"/>
      <c r="O2043" s="25"/>
      <c r="P2043" s="25"/>
    </row>
    <row r="2044" spans="1:16" x14ac:dyDescent="0.3">
      <c r="A2044" s="25"/>
      <c r="B2044" s="25"/>
      <c r="C2044" s="25"/>
      <c r="D2044" s="26"/>
      <c r="E2044" s="26"/>
      <c r="F2044" s="26"/>
      <c r="G2044" s="26"/>
      <c r="H2044" s="26"/>
      <c r="I2044" s="25"/>
      <c r="J2044" s="25"/>
      <c r="K2044" s="25"/>
      <c r="L2044" s="25"/>
      <c r="M2044" s="25"/>
      <c r="N2044" s="25"/>
      <c r="O2044" s="25"/>
      <c r="P2044" s="25"/>
    </row>
    <row r="2045" spans="1:16" x14ac:dyDescent="0.3">
      <c r="A2045" s="25"/>
      <c r="B2045" s="25"/>
      <c r="C2045" s="25"/>
      <c r="D2045" s="26"/>
      <c r="E2045" s="26"/>
      <c r="F2045" s="26"/>
      <c r="G2045" s="26"/>
      <c r="H2045" s="26"/>
      <c r="I2045" s="25"/>
      <c r="J2045" s="25"/>
      <c r="K2045" s="25"/>
      <c r="L2045" s="25"/>
      <c r="M2045" s="25"/>
      <c r="N2045" s="25"/>
      <c r="O2045" s="25"/>
      <c r="P2045" s="25"/>
    </row>
    <row r="2046" spans="1:16" x14ac:dyDescent="0.3">
      <c r="A2046" s="25"/>
      <c r="B2046" s="25"/>
      <c r="C2046" s="25"/>
      <c r="D2046" s="26"/>
      <c r="E2046" s="26"/>
      <c r="F2046" s="26"/>
      <c r="G2046" s="26"/>
      <c r="H2046" s="26"/>
      <c r="I2046" s="25"/>
      <c r="J2046" s="25"/>
      <c r="K2046" s="25"/>
      <c r="L2046" s="25"/>
      <c r="M2046" s="25"/>
      <c r="N2046" s="25"/>
      <c r="O2046" s="25"/>
      <c r="P2046" s="25"/>
    </row>
    <row r="2047" spans="1:16" x14ac:dyDescent="0.3">
      <c r="A2047" s="25"/>
      <c r="B2047" s="25"/>
      <c r="C2047" s="25"/>
      <c r="D2047" s="26"/>
      <c r="E2047" s="26"/>
      <c r="F2047" s="26"/>
      <c r="G2047" s="26"/>
      <c r="H2047" s="26"/>
      <c r="I2047" s="25"/>
      <c r="J2047" s="25"/>
      <c r="K2047" s="25"/>
      <c r="L2047" s="25"/>
      <c r="M2047" s="25"/>
      <c r="N2047" s="25"/>
      <c r="O2047" s="25"/>
      <c r="P2047" s="25"/>
    </row>
    <row r="2048" spans="1:16" x14ac:dyDescent="0.3">
      <c r="A2048" s="25"/>
      <c r="B2048" s="25"/>
      <c r="C2048" s="25"/>
      <c r="D2048" s="26"/>
      <c r="E2048" s="26"/>
      <c r="F2048" s="26"/>
      <c r="G2048" s="26"/>
      <c r="H2048" s="26"/>
      <c r="I2048" s="25"/>
      <c r="J2048" s="25"/>
      <c r="K2048" s="25"/>
      <c r="L2048" s="25"/>
      <c r="M2048" s="25"/>
      <c r="N2048" s="25"/>
      <c r="O2048" s="25"/>
      <c r="P2048" s="25"/>
    </row>
    <row r="2049" spans="1:16" x14ac:dyDescent="0.3">
      <c r="A2049" s="25"/>
      <c r="B2049" s="25"/>
      <c r="C2049" s="25"/>
      <c r="D2049" s="26"/>
      <c r="E2049" s="26"/>
      <c r="F2049" s="26"/>
      <c r="G2049" s="26"/>
      <c r="H2049" s="26"/>
      <c r="I2049" s="25"/>
      <c r="J2049" s="25"/>
      <c r="K2049" s="25"/>
      <c r="L2049" s="25"/>
      <c r="M2049" s="25"/>
      <c r="N2049" s="25"/>
      <c r="O2049" s="25"/>
      <c r="P2049" s="25"/>
    </row>
    <row r="2050" spans="1:16" x14ac:dyDescent="0.3">
      <c r="A2050" s="25"/>
      <c r="B2050" s="25"/>
      <c r="C2050" s="25"/>
      <c r="D2050" s="26"/>
      <c r="E2050" s="26"/>
      <c r="F2050" s="26"/>
      <c r="G2050" s="26"/>
      <c r="H2050" s="26"/>
      <c r="I2050" s="25"/>
      <c r="J2050" s="25"/>
      <c r="K2050" s="25"/>
      <c r="L2050" s="25"/>
      <c r="M2050" s="25"/>
      <c r="N2050" s="25"/>
      <c r="O2050" s="25"/>
      <c r="P2050" s="25"/>
    </row>
    <row r="2051" spans="1:16" x14ac:dyDescent="0.3">
      <c r="A2051" s="25"/>
      <c r="B2051" s="25"/>
      <c r="C2051" s="25"/>
      <c r="D2051" s="26"/>
      <c r="E2051" s="26"/>
      <c r="F2051" s="26"/>
      <c r="G2051" s="26"/>
      <c r="H2051" s="26"/>
      <c r="I2051" s="25"/>
      <c r="J2051" s="25"/>
      <c r="K2051" s="25"/>
      <c r="L2051" s="25"/>
      <c r="M2051" s="25"/>
      <c r="N2051" s="25"/>
      <c r="O2051" s="25"/>
      <c r="P2051" s="25"/>
    </row>
    <row r="2052" spans="1:16" x14ac:dyDescent="0.3">
      <c r="A2052" s="25"/>
      <c r="B2052" s="25"/>
      <c r="C2052" s="25"/>
      <c r="D2052" s="26"/>
      <c r="E2052" s="26"/>
      <c r="F2052" s="26"/>
      <c r="G2052" s="26"/>
      <c r="H2052" s="26"/>
      <c r="I2052" s="25"/>
      <c r="J2052" s="25"/>
      <c r="K2052" s="25"/>
      <c r="L2052" s="25"/>
      <c r="M2052" s="25"/>
      <c r="N2052" s="25"/>
      <c r="O2052" s="25"/>
      <c r="P2052" s="25"/>
    </row>
    <row r="2053" spans="1:16" x14ac:dyDescent="0.3">
      <c r="A2053" s="25"/>
      <c r="B2053" s="25"/>
      <c r="C2053" s="25"/>
      <c r="D2053" s="26"/>
      <c r="E2053" s="26"/>
      <c r="F2053" s="26"/>
      <c r="G2053" s="26"/>
      <c r="H2053" s="26"/>
      <c r="I2053" s="25"/>
      <c r="J2053" s="25"/>
      <c r="K2053" s="25"/>
      <c r="L2053" s="25"/>
      <c r="M2053" s="25"/>
      <c r="N2053" s="25"/>
      <c r="O2053" s="25"/>
      <c r="P2053" s="25"/>
    </row>
    <row r="2054" spans="1:16" x14ac:dyDescent="0.3">
      <c r="A2054" s="25"/>
      <c r="B2054" s="25"/>
      <c r="C2054" s="25"/>
      <c r="D2054" s="26"/>
      <c r="E2054" s="26"/>
      <c r="F2054" s="26"/>
      <c r="G2054" s="26"/>
      <c r="H2054" s="26"/>
      <c r="I2054" s="25"/>
      <c r="J2054" s="25"/>
      <c r="K2054" s="25"/>
      <c r="L2054" s="25"/>
      <c r="M2054" s="25"/>
      <c r="N2054" s="25"/>
      <c r="O2054" s="25"/>
      <c r="P2054" s="25"/>
    </row>
    <row r="2055" spans="1:16" x14ac:dyDescent="0.3">
      <c r="A2055" s="25"/>
      <c r="B2055" s="25"/>
      <c r="C2055" s="25"/>
      <c r="D2055" s="26"/>
      <c r="E2055" s="26"/>
      <c r="F2055" s="26"/>
      <c r="G2055" s="26"/>
      <c r="H2055" s="26"/>
      <c r="I2055" s="25"/>
      <c r="J2055" s="25"/>
      <c r="K2055" s="25"/>
      <c r="L2055" s="25"/>
      <c r="M2055" s="25"/>
      <c r="N2055" s="25"/>
      <c r="O2055" s="25"/>
      <c r="P2055" s="25"/>
    </row>
    <row r="2056" spans="1:16" x14ac:dyDescent="0.3">
      <c r="A2056" s="25"/>
      <c r="B2056" s="25"/>
      <c r="C2056" s="25"/>
      <c r="D2056" s="26"/>
      <c r="E2056" s="26"/>
      <c r="F2056" s="26"/>
      <c r="G2056" s="26"/>
      <c r="H2056" s="26"/>
      <c r="I2056" s="25"/>
      <c r="J2056" s="25"/>
      <c r="K2056" s="25"/>
      <c r="L2056" s="25"/>
      <c r="M2056" s="25"/>
      <c r="N2056" s="25"/>
      <c r="O2056" s="25"/>
      <c r="P2056" s="25"/>
    </row>
    <row r="2057" spans="1:16" x14ac:dyDescent="0.3">
      <c r="A2057" s="25"/>
      <c r="B2057" s="25"/>
      <c r="C2057" s="25"/>
      <c r="D2057" s="26"/>
      <c r="E2057" s="26"/>
      <c r="F2057" s="26"/>
      <c r="G2057" s="26"/>
      <c r="H2057" s="26"/>
      <c r="I2057" s="25"/>
      <c r="J2057" s="25"/>
      <c r="K2057" s="25"/>
      <c r="L2057" s="25"/>
      <c r="M2057" s="25"/>
      <c r="N2057" s="25"/>
      <c r="O2057" s="25"/>
      <c r="P2057" s="25"/>
    </row>
    <row r="2058" spans="1:16" x14ac:dyDescent="0.3">
      <c r="A2058" s="25"/>
      <c r="B2058" s="25"/>
      <c r="C2058" s="25"/>
      <c r="D2058" s="26"/>
      <c r="E2058" s="26"/>
      <c r="F2058" s="26"/>
      <c r="G2058" s="26"/>
      <c r="H2058" s="26"/>
      <c r="I2058" s="25"/>
      <c r="J2058" s="25"/>
      <c r="K2058" s="25"/>
      <c r="L2058" s="25"/>
      <c r="M2058" s="25"/>
      <c r="N2058" s="25"/>
      <c r="O2058" s="25"/>
      <c r="P2058" s="25"/>
    </row>
    <row r="2059" spans="1:16" x14ac:dyDescent="0.3">
      <c r="A2059" s="25"/>
      <c r="B2059" s="25"/>
      <c r="C2059" s="25"/>
      <c r="D2059" s="26"/>
      <c r="E2059" s="26"/>
      <c r="F2059" s="26"/>
      <c r="G2059" s="26"/>
      <c r="H2059" s="26"/>
      <c r="I2059" s="25"/>
      <c r="J2059" s="25"/>
      <c r="K2059" s="25"/>
      <c r="L2059" s="25"/>
      <c r="M2059" s="25"/>
      <c r="N2059" s="25"/>
      <c r="O2059" s="25"/>
      <c r="P2059" s="25"/>
    </row>
    <row r="2060" spans="1:16" x14ac:dyDescent="0.3">
      <c r="A2060" s="25"/>
      <c r="B2060" s="25"/>
      <c r="C2060" s="25"/>
      <c r="D2060" s="26"/>
      <c r="E2060" s="26"/>
      <c r="F2060" s="26"/>
      <c r="G2060" s="26"/>
      <c r="H2060" s="26"/>
      <c r="I2060" s="25"/>
      <c r="J2060" s="25"/>
      <c r="K2060" s="25"/>
      <c r="L2060" s="25"/>
      <c r="M2060" s="25"/>
      <c r="N2060" s="25"/>
      <c r="O2060" s="25"/>
      <c r="P2060" s="25"/>
    </row>
    <row r="2061" spans="1:16" x14ac:dyDescent="0.3">
      <c r="A2061" s="25"/>
      <c r="B2061" s="25"/>
      <c r="C2061" s="25"/>
      <c r="D2061" s="26"/>
      <c r="E2061" s="26"/>
      <c r="F2061" s="26"/>
      <c r="G2061" s="26"/>
      <c r="H2061" s="26"/>
      <c r="I2061" s="25"/>
      <c r="J2061" s="25"/>
      <c r="K2061" s="25"/>
      <c r="L2061" s="25"/>
      <c r="M2061" s="25"/>
      <c r="N2061" s="25"/>
      <c r="O2061" s="25"/>
      <c r="P2061" s="25"/>
    </row>
    <row r="2062" spans="1:16" x14ac:dyDescent="0.3">
      <c r="A2062" s="25"/>
      <c r="B2062" s="25"/>
      <c r="C2062" s="25"/>
      <c r="D2062" s="26"/>
      <c r="E2062" s="26"/>
      <c r="F2062" s="26"/>
      <c r="G2062" s="26"/>
      <c r="H2062" s="26"/>
      <c r="I2062" s="25"/>
      <c r="J2062" s="25"/>
      <c r="K2062" s="25"/>
      <c r="L2062" s="25"/>
      <c r="M2062" s="25"/>
      <c r="N2062" s="25"/>
      <c r="O2062" s="25"/>
      <c r="P2062" s="25"/>
    </row>
    <row r="2063" spans="1:16" x14ac:dyDescent="0.3">
      <c r="A2063" s="25"/>
      <c r="B2063" s="25"/>
      <c r="C2063" s="25"/>
      <c r="D2063" s="26"/>
      <c r="E2063" s="26"/>
      <c r="F2063" s="26"/>
      <c r="G2063" s="26"/>
      <c r="H2063" s="26"/>
      <c r="I2063" s="25"/>
      <c r="J2063" s="25"/>
      <c r="K2063" s="25"/>
      <c r="L2063" s="25"/>
      <c r="M2063" s="25"/>
      <c r="N2063" s="25"/>
      <c r="O2063" s="25"/>
      <c r="P2063" s="25"/>
    </row>
    <row r="2064" spans="1:16" x14ac:dyDescent="0.3">
      <c r="A2064" s="25"/>
      <c r="B2064" s="25"/>
      <c r="C2064" s="25"/>
      <c r="D2064" s="26"/>
      <c r="E2064" s="26"/>
      <c r="F2064" s="26"/>
      <c r="G2064" s="26"/>
      <c r="H2064" s="26"/>
      <c r="I2064" s="25"/>
      <c r="J2064" s="25"/>
      <c r="K2064" s="25"/>
      <c r="L2064" s="25"/>
      <c r="M2064" s="25"/>
      <c r="N2064" s="25"/>
      <c r="O2064" s="25"/>
      <c r="P2064" s="25"/>
    </row>
    <row r="2065" spans="1:16" x14ac:dyDescent="0.3">
      <c r="A2065" s="25"/>
      <c r="B2065" s="25"/>
      <c r="C2065" s="25"/>
      <c r="D2065" s="26"/>
      <c r="E2065" s="26"/>
      <c r="F2065" s="26"/>
      <c r="G2065" s="26"/>
      <c r="H2065" s="26"/>
      <c r="I2065" s="25"/>
      <c r="J2065" s="25"/>
      <c r="K2065" s="25"/>
      <c r="L2065" s="25"/>
      <c r="M2065" s="25"/>
      <c r="N2065" s="25"/>
      <c r="O2065" s="25"/>
      <c r="P2065" s="25"/>
    </row>
    <row r="2066" spans="1:16" x14ac:dyDescent="0.3">
      <c r="A2066" s="25"/>
      <c r="B2066" s="25"/>
      <c r="C2066" s="25"/>
      <c r="D2066" s="26"/>
      <c r="E2066" s="26"/>
      <c r="F2066" s="26"/>
      <c r="G2066" s="26"/>
      <c r="H2066" s="26"/>
      <c r="I2066" s="25"/>
      <c r="J2066" s="25"/>
      <c r="K2066" s="25"/>
      <c r="L2066" s="25"/>
      <c r="M2066" s="25"/>
      <c r="N2066" s="25"/>
      <c r="O2066" s="25"/>
      <c r="P2066" s="25"/>
    </row>
    <row r="2067" spans="1:16" x14ac:dyDescent="0.3">
      <c r="A2067" s="25"/>
      <c r="B2067" s="25"/>
      <c r="C2067" s="25"/>
      <c r="D2067" s="26"/>
      <c r="E2067" s="26"/>
      <c r="F2067" s="26"/>
      <c r="G2067" s="26"/>
      <c r="H2067" s="26"/>
      <c r="I2067" s="25"/>
      <c r="J2067" s="25"/>
      <c r="K2067" s="25"/>
      <c r="L2067" s="25"/>
      <c r="M2067" s="25"/>
      <c r="N2067" s="25"/>
      <c r="O2067" s="25"/>
      <c r="P2067" s="25"/>
    </row>
    <row r="2068" spans="1:16" x14ac:dyDescent="0.3">
      <c r="A2068" s="25"/>
      <c r="B2068" s="25"/>
      <c r="C2068" s="25"/>
      <c r="D2068" s="26"/>
      <c r="E2068" s="26"/>
      <c r="F2068" s="26"/>
      <c r="G2068" s="26"/>
      <c r="H2068" s="26"/>
      <c r="I2068" s="25"/>
      <c r="J2068" s="25"/>
      <c r="K2068" s="25"/>
      <c r="L2068" s="25"/>
      <c r="M2068" s="25"/>
      <c r="N2068" s="25"/>
      <c r="O2068" s="25"/>
      <c r="P2068" s="25"/>
    </row>
    <row r="2069" spans="1:16" x14ac:dyDescent="0.3">
      <c r="A2069" s="25"/>
      <c r="B2069" s="25"/>
      <c r="C2069" s="25"/>
      <c r="D2069" s="26"/>
      <c r="E2069" s="26"/>
      <c r="F2069" s="26"/>
      <c r="G2069" s="26"/>
      <c r="H2069" s="26"/>
      <c r="I2069" s="25"/>
      <c r="J2069" s="25"/>
      <c r="K2069" s="25"/>
      <c r="L2069" s="25"/>
      <c r="M2069" s="25"/>
      <c r="N2069" s="25"/>
      <c r="O2069" s="25"/>
      <c r="P2069" s="25"/>
    </row>
    <row r="2070" spans="1:16" x14ac:dyDescent="0.3">
      <c r="A2070" s="25"/>
      <c r="B2070" s="25"/>
      <c r="C2070" s="25"/>
      <c r="D2070" s="26"/>
      <c r="E2070" s="26"/>
      <c r="F2070" s="26"/>
      <c r="G2070" s="26"/>
      <c r="H2070" s="26"/>
      <c r="I2070" s="25"/>
      <c r="J2070" s="25"/>
      <c r="K2070" s="25"/>
      <c r="L2070" s="25"/>
      <c r="M2070" s="25"/>
      <c r="N2070" s="25"/>
      <c r="O2070" s="25"/>
      <c r="P2070" s="25"/>
    </row>
    <row r="2071" spans="1:16" x14ac:dyDescent="0.3">
      <c r="A2071" s="25"/>
      <c r="B2071" s="25"/>
      <c r="C2071" s="25"/>
      <c r="D2071" s="26"/>
      <c r="E2071" s="26"/>
      <c r="F2071" s="26"/>
      <c r="G2071" s="26"/>
      <c r="H2071" s="26"/>
      <c r="I2071" s="25"/>
      <c r="J2071" s="25"/>
      <c r="K2071" s="25"/>
      <c r="L2071" s="25"/>
      <c r="M2071" s="25"/>
      <c r="N2071" s="25"/>
      <c r="O2071" s="25"/>
      <c r="P2071" s="25"/>
    </row>
    <row r="2072" spans="1:16" x14ac:dyDescent="0.3">
      <c r="A2072" s="25"/>
      <c r="B2072" s="25"/>
      <c r="C2072" s="25"/>
      <c r="D2072" s="26"/>
      <c r="E2072" s="26"/>
      <c r="F2072" s="26"/>
      <c r="G2072" s="26"/>
      <c r="H2072" s="26"/>
      <c r="I2072" s="25"/>
      <c r="J2072" s="25"/>
      <c r="K2072" s="25"/>
      <c r="L2072" s="25"/>
      <c r="M2072" s="25"/>
      <c r="N2072" s="25"/>
      <c r="O2072" s="25"/>
      <c r="P2072" s="25"/>
    </row>
    <row r="2073" spans="1:16" x14ac:dyDescent="0.3">
      <c r="A2073" s="25"/>
      <c r="B2073" s="25"/>
      <c r="C2073" s="25"/>
      <c r="D2073" s="26"/>
      <c r="E2073" s="26"/>
      <c r="F2073" s="26"/>
      <c r="G2073" s="26"/>
      <c r="H2073" s="26"/>
      <c r="I2073" s="25"/>
      <c r="J2073" s="25"/>
      <c r="K2073" s="25"/>
      <c r="L2073" s="25"/>
      <c r="M2073" s="25"/>
      <c r="N2073" s="25"/>
      <c r="O2073" s="25"/>
      <c r="P2073" s="25"/>
    </row>
    <row r="2074" spans="1:16" x14ac:dyDescent="0.3">
      <c r="A2074" s="25"/>
      <c r="B2074" s="25"/>
      <c r="C2074" s="25"/>
      <c r="D2074" s="26"/>
      <c r="E2074" s="26"/>
      <c r="F2074" s="26"/>
      <c r="G2074" s="26"/>
      <c r="H2074" s="26"/>
      <c r="I2074" s="25"/>
      <c r="J2074" s="25"/>
      <c r="K2074" s="25"/>
      <c r="L2074" s="25"/>
      <c r="M2074" s="25"/>
      <c r="N2074" s="25"/>
      <c r="O2074" s="25"/>
      <c r="P2074" s="25"/>
    </row>
    <row r="2075" spans="1:16" x14ac:dyDescent="0.3">
      <c r="A2075" s="25"/>
      <c r="B2075" s="25"/>
      <c r="C2075" s="25"/>
      <c r="D2075" s="26"/>
      <c r="E2075" s="26"/>
      <c r="F2075" s="26"/>
      <c r="G2075" s="26"/>
      <c r="H2075" s="26"/>
      <c r="I2075" s="25"/>
      <c r="J2075" s="25"/>
      <c r="K2075" s="25"/>
      <c r="L2075" s="25"/>
      <c r="M2075" s="25"/>
      <c r="N2075" s="25"/>
      <c r="O2075" s="25"/>
      <c r="P2075" s="25"/>
    </row>
    <row r="2076" spans="1:16" x14ac:dyDescent="0.3">
      <c r="A2076" s="25"/>
      <c r="B2076" s="25"/>
      <c r="C2076" s="25"/>
      <c r="D2076" s="26"/>
      <c r="E2076" s="26"/>
      <c r="F2076" s="26"/>
      <c r="G2076" s="26"/>
      <c r="H2076" s="26"/>
      <c r="I2076" s="25"/>
      <c r="J2076" s="25"/>
      <c r="K2076" s="25"/>
      <c r="L2076" s="25"/>
      <c r="M2076" s="25"/>
      <c r="N2076" s="25"/>
      <c r="O2076" s="25"/>
      <c r="P2076" s="25"/>
    </row>
    <row r="2077" spans="1:16" x14ac:dyDescent="0.3">
      <c r="A2077" s="25"/>
      <c r="B2077" s="25"/>
      <c r="C2077" s="25"/>
      <c r="D2077" s="26"/>
      <c r="E2077" s="26"/>
      <c r="F2077" s="26"/>
      <c r="G2077" s="26"/>
      <c r="H2077" s="26"/>
      <c r="I2077" s="25"/>
      <c r="J2077" s="25"/>
      <c r="K2077" s="25"/>
      <c r="L2077" s="25"/>
      <c r="M2077" s="25"/>
      <c r="N2077" s="25"/>
      <c r="O2077" s="25"/>
      <c r="P2077" s="25"/>
    </row>
    <row r="2078" spans="1:16" x14ac:dyDescent="0.3">
      <c r="A2078" s="25"/>
      <c r="B2078" s="25"/>
      <c r="C2078" s="25"/>
      <c r="D2078" s="26"/>
      <c r="E2078" s="26"/>
      <c r="F2078" s="26"/>
      <c r="G2078" s="26"/>
      <c r="H2078" s="26"/>
      <c r="I2078" s="25"/>
      <c r="J2078" s="25"/>
      <c r="K2078" s="25"/>
      <c r="L2078" s="25"/>
      <c r="M2078" s="25"/>
      <c r="N2078" s="25"/>
      <c r="O2078" s="25"/>
      <c r="P2078" s="25"/>
    </row>
    <row r="2079" spans="1:16" x14ac:dyDescent="0.3">
      <c r="A2079" s="25"/>
      <c r="B2079" s="25"/>
      <c r="C2079" s="25"/>
      <c r="D2079" s="26"/>
      <c r="E2079" s="26"/>
      <c r="F2079" s="26"/>
      <c r="G2079" s="26"/>
      <c r="H2079" s="26"/>
      <c r="I2079" s="25"/>
      <c r="J2079" s="25"/>
      <c r="K2079" s="25"/>
      <c r="L2079" s="25"/>
      <c r="M2079" s="25"/>
      <c r="N2079" s="25"/>
      <c r="O2079" s="25"/>
      <c r="P2079" s="25"/>
    </row>
    <row r="2080" spans="1:16" x14ac:dyDescent="0.3">
      <c r="A2080" s="25"/>
      <c r="B2080" s="25"/>
      <c r="C2080" s="25"/>
      <c r="D2080" s="26"/>
      <c r="E2080" s="26"/>
      <c r="F2080" s="26"/>
      <c r="G2080" s="26"/>
      <c r="H2080" s="26"/>
      <c r="I2080" s="25"/>
      <c r="J2080" s="25"/>
      <c r="K2080" s="25"/>
      <c r="L2080" s="25"/>
      <c r="M2080" s="25"/>
      <c r="N2080" s="25"/>
      <c r="O2080" s="25"/>
      <c r="P2080" s="25"/>
    </row>
    <row r="2081" spans="1:16" x14ac:dyDescent="0.3">
      <c r="A2081" s="25"/>
      <c r="B2081" s="25"/>
      <c r="C2081" s="25"/>
      <c r="D2081" s="26"/>
      <c r="E2081" s="26"/>
      <c r="F2081" s="26"/>
      <c r="G2081" s="26"/>
      <c r="H2081" s="26"/>
      <c r="I2081" s="25"/>
      <c r="J2081" s="25"/>
      <c r="K2081" s="25"/>
      <c r="L2081" s="25"/>
      <c r="M2081" s="25"/>
      <c r="N2081" s="25"/>
      <c r="O2081" s="25"/>
      <c r="P2081" s="25"/>
    </row>
    <row r="2082" spans="1:16" x14ac:dyDescent="0.3">
      <c r="A2082" s="25"/>
      <c r="B2082" s="25"/>
      <c r="C2082" s="25"/>
      <c r="D2082" s="26"/>
      <c r="E2082" s="26"/>
      <c r="F2082" s="26"/>
      <c r="G2082" s="26"/>
      <c r="H2082" s="26"/>
      <c r="I2082" s="25"/>
      <c r="J2082" s="25"/>
      <c r="K2082" s="25"/>
      <c r="L2082" s="25"/>
      <c r="M2082" s="25"/>
      <c r="N2082" s="25"/>
      <c r="O2082" s="25"/>
      <c r="P2082" s="25"/>
    </row>
    <row r="2083" spans="1:16" x14ac:dyDescent="0.3">
      <c r="A2083" s="25"/>
      <c r="B2083" s="25"/>
      <c r="C2083" s="25"/>
      <c r="D2083" s="26"/>
      <c r="E2083" s="26"/>
      <c r="F2083" s="26"/>
      <c r="G2083" s="26"/>
      <c r="H2083" s="26"/>
      <c r="I2083" s="25"/>
      <c r="J2083" s="25"/>
      <c r="K2083" s="25"/>
      <c r="L2083" s="25"/>
      <c r="M2083" s="25"/>
      <c r="N2083" s="25"/>
      <c r="O2083" s="25"/>
      <c r="P2083" s="25"/>
    </row>
    <row r="2084" spans="1:16" x14ac:dyDescent="0.3">
      <c r="A2084" s="25"/>
      <c r="B2084" s="25"/>
      <c r="C2084" s="25"/>
      <c r="D2084" s="26"/>
      <c r="E2084" s="26"/>
      <c r="F2084" s="26"/>
      <c r="G2084" s="26"/>
      <c r="H2084" s="26"/>
      <c r="I2084" s="25"/>
      <c r="J2084" s="25"/>
      <c r="K2084" s="25"/>
      <c r="L2084" s="25"/>
      <c r="M2084" s="25"/>
      <c r="N2084" s="25"/>
      <c r="O2084" s="25"/>
      <c r="P2084" s="25"/>
    </row>
    <row r="2085" spans="1:16" x14ac:dyDescent="0.3">
      <c r="A2085" s="25"/>
      <c r="B2085" s="25"/>
      <c r="C2085" s="25"/>
      <c r="D2085" s="26"/>
      <c r="E2085" s="26"/>
      <c r="F2085" s="26"/>
      <c r="G2085" s="26"/>
      <c r="H2085" s="26"/>
      <c r="I2085" s="25"/>
      <c r="J2085" s="25"/>
      <c r="K2085" s="25"/>
      <c r="L2085" s="25"/>
      <c r="M2085" s="25"/>
      <c r="N2085" s="25"/>
      <c r="O2085" s="25"/>
      <c r="P2085" s="25"/>
    </row>
    <row r="2086" spans="1:16" x14ac:dyDescent="0.3">
      <c r="A2086" s="25"/>
      <c r="B2086" s="25"/>
      <c r="C2086" s="25"/>
      <c r="D2086" s="26"/>
      <c r="E2086" s="26"/>
      <c r="F2086" s="26"/>
      <c r="G2086" s="26"/>
      <c r="H2086" s="26"/>
      <c r="I2086" s="25"/>
      <c r="J2086" s="25"/>
      <c r="K2086" s="25"/>
      <c r="L2086" s="25"/>
      <c r="M2086" s="25"/>
      <c r="N2086" s="25"/>
      <c r="O2086" s="25"/>
      <c r="P2086" s="25"/>
    </row>
    <row r="2087" spans="1:16" x14ac:dyDescent="0.3">
      <c r="A2087" s="25"/>
      <c r="B2087" s="25"/>
      <c r="C2087" s="25"/>
      <c r="D2087" s="26"/>
      <c r="E2087" s="26"/>
      <c r="F2087" s="26"/>
      <c r="G2087" s="26"/>
      <c r="H2087" s="26"/>
      <c r="I2087" s="25"/>
      <c r="J2087" s="25"/>
      <c r="K2087" s="25"/>
      <c r="L2087" s="25"/>
      <c r="M2087" s="25"/>
      <c r="N2087" s="25"/>
      <c r="O2087" s="25"/>
      <c r="P2087" s="25"/>
    </row>
    <row r="2088" spans="1:16" x14ac:dyDescent="0.3">
      <c r="A2088" s="25"/>
      <c r="B2088" s="25"/>
      <c r="C2088" s="25"/>
      <c r="D2088" s="26"/>
      <c r="E2088" s="26"/>
      <c r="F2088" s="26"/>
      <c r="G2088" s="26"/>
      <c r="H2088" s="26"/>
      <c r="I2088" s="25"/>
      <c r="J2088" s="25"/>
      <c r="K2088" s="25"/>
      <c r="L2088" s="25"/>
      <c r="M2088" s="25"/>
      <c r="N2088" s="25"/>
      <c r="O2088" s="25"/>
      <c r="P2088" s="25"/>
    </row>
    <row r="2089" spans="1:16" x14ac:dyDescent="0.3">
      <c r="A2089" s="25"/>
      <c r="B2089" s="25"/>
      <c r="C2089" s="25"/>
      <c r="D2089" s="26"/>
      <c r="E2089" s="26"/>
      <c r="F2089" s="26"/>
      <c r="G2089" s="26"/>
      <c r="H2089" s="26"/>
      <c r="I2089" s="25"/>
      <c r="J2089" s="25"/>
      <c r="K2089" s="25"/>
      <c r="L2089" s="25"/>
      <c r="M2089" s="25"/>
      <c r="N2089" s="25"/>
      <c r="O2089" s="25"/>
      <c r="P2089" s="25"/>
    </row>
    <row r="2090" spans="1:16" x14ac:dyDescent="0.3">
      <c r="A2090" s="25"/>
      <c r="B2090" s="25"/>
      <c r="C2090" s="25"/>
      <c r="D2090" s="26"/>
      <c r="E2090" s="26"/>
      <c r="F2090" s="26"/>
      <c r="G2090" s="26"/>
      <c r="H2090" s="26"/>
      <c r="I2090" s="25"/>
      <c r="J2090" s="25"/>
      <c r="K2090" s="25"/>
      <c r="L2090" s="25"/>
      <c r="M2090" s="25"/>
      <c r="N2090" s="25"/>
      <c r="O2090" s="25"/>
      <c r="P2090" s="25"/>
    </row>
    <row r="2091" spans="1:16" x14ac:dyDescent="0.3">
      <c r="A2091" s="25"/>
      <c r="B2091" s="25"/>
      <c r="C2091" s="25"/>
      <c r="D2091" s="26"/>
      <c r="E2091" s="26"/>
      <c r="F2091" s="26"/>
      <c r="G2091" s="26"/>
      <c r="H2091" s="26"/>
      <c r="I2091" s="25"/>
      <c r="J2091" s="25"/>
      <c r="K2091" s="25"/>
      <c r="L2091" s="25"/>
      <c r="M2091" s="25"/>
      <c r="N2091" s="25"/>
      <c r="O2091" s="25"/>
      <c r="P2091" s="25"/>
    </row>
    <row r="2092" spans="1:16" x14ac:dyDescent="0.3">
      <c r="A2092" s="25"/>
      <c r="B2092" s="25"/>
      <c r="C2092" s="25"/>
      <c r="D2092" s="26"/>
      <c r="E2092" s="26"/>
      <c r="F2092" s="26"/>
      <c r="G2092" s="26"/>
      <c r="H2092" s="26"/>
      <c r="I2092" s="25"/>
      <c r="J2092" s="25"/>
      <c r="K2092" s="25"/>
      <c r="L2092" s="25"/>
      <c r="M2092" s="25"/>
      <c r="N2092" s="25"/>
      <c r="O2092" s="25"/>
      <c r="P2092" s="25"/>
    </row>
    <row r="2093" spans="1:16" x14ac:dyDescent="0.3">
      <c r="A2093" s="25"/>
      <c r="B2093" s="25"/>
      <c r="C2093" s="25"/>
      <c r="D2093" s="26"/>
      <c r="E2093" s="26"/>
      <c r="F2093" s="26"/>
      <c r="G2093" s="26"/>
      <c r="H2093" s="26"/>
      <c r="I2093" s="25"/>
      <c r="J2093" s="25"/>
      <c r="K2093" s="25"/>
      <c r="L2093" s="25"/>
      <c r="M2093" s="25"/>
      <c r="N2093" s="25"/>
      <c r="O2093" s="25"/>
      <c r="P2093" s="25"/>
    </row>
    <row r="2094" spans="1:16" x14ac:dyDescent="0.3">
      <c r="A2094" s="25"/>
      <c r="B2094" s="25"/>
      <c r="C2094" s="25"/>
      <c r="D2094" s="26"/>
      <c r="E2094" s="26"/>
      <c r="F2094" s="26"/>
      <c r="G2094" s="26"/>
      <c r="H2094" s="26"/>
      <c r="I2094" s="25"/>
      <c r="J2094" s="25"/>
      <c r="K2094" s="25"/>
      <c r="L2094" s="25"/>
      <c r="M2094" s="25"/>
      <c r="N2094" s="25"/>
      <c r="O2094" s="25"/>
      <c r="P2094" s="25"/>
    </row>
    <row r="2095" spans="1:16" x14ac:dyDescent="0.3">
      <c r="A2095" s="25"/>
      <c r="B2095" s="25"/>
      <c r="C2095" s="25"/>
      <c r="D2095" s="26"/>
      <c r="E2095" s="26"/>
      <c r="F2095" s="26"/>
      <c r="G2095" s="26"/>
      <c r="H2095" s="26"/>
      <c r="I2095" s="25"/>
      <c r="J2095" s="25"/>
      <c r="K2095" s="25"/>
      <c r="L2095" s="25"/>
      <c r="M2095" s="25"/>
      <c r="N2095" s="25"/>
      <c r="O2095" s="25"/>
      <c r="P2095" s="25"/>
    </row>
    <row r="2096" spans="1:16" x14ac:dyDescent="0.3">
      <c r="A2096" s="25"/>
      <c r="B2096" s="25"/>
      <c r="C2096" s="25"/>
      <c r="D2096" s="26"/>
      <c r="E2096" s="26"/>
      <c r="F2096" s="26"/>
      <c r="G2096" s="26"/>
      <c r="H2096" s="26"/>
      <c r="I2096" s="25"/>
      <c r="J2096" s="25"/>
      <c r="K2096" s="25"/>
      <c r="L2096" s="25"/>
      <c r="M2096" s="25"/>
      <c r="N2096" s="25"/>
      <c r="O2096" s="25"/>
      <c r="P2096" s="25"/>
    </row>
    <row r="2097" spans="1:16" x14ac:dyDescent="0.3">
      <c r="A2097" s="25"/>
      <c r="B2097" s="25"/>
      <c r="C2097" s="25"/>
      <c r="D2097" s="26"/>
      <c r="E2097" s="26"/>
      <c r="F2097" s="26"/>
      <c r="G2097" s="26"/>
      <c r="H2097" s="26"/>
      <c r="I2097" s="25"/>
      <c r="J2097" s="25"/>
      <c r="K2097" s="25"/>
      <c r="L2097" s="25"/>
      <c r="M2097" s="25"/>
      <c r="N2097" s="25"/>
      <c r="O2097" s="25"/>
      <c r="P2097" s="25"/>
    </row>
    <row r="2098" spans="1:16" x14ac:dyDescent="0.3">
      <c r="A2098" s="25"/>
      <c r="B2098" s="25"/>
      <c r="C2098" s="25"/>
      <c r="D2098" s="26"/>
      <c r="E2098" s="26"/>
      <c r="F2098" s="26"/>
      <c r="G2098" s="26"/>
      <c r="H2098" s="26"/>
      <c r="I2098" s="25"/>
      <c r="J2098" s="25"/>
      <c r="K2098" s="25"/>
      <c r="L2098" s="25"/>
      <c r="M2098" s="25"/>
      <c r="N2098" s="25"/>
      <c r="O2098" s="25"/>
      <c r="P2098" s="25"/>
    </row>
    <row r="2099" spans="1:16" x14ac:dyDescent="0.3">
      <c r="A2099" s="25"/>
      <c r="B2099" s="25"/>
      <c r="C2099" s="25"/>
      <c r="D2099" s="26"/>
      <c r="E2099" s="26"/>
      <c r="F2099" s="26"/>
      <c r="G2099" s="26"/>
      <c r="H2099" s="26"/>
      <c r="I2099" s="25"/>
      <c r="J2099" s="25"/>
      <c r="K2099" s="25"/>
      <c r="L2099" s="25"/>
      <c r="M2099" s="25"/>
      <c r="N2099" s="25"/>
      <c r="O2099" s="25"/>
      <c r="P2099" s="25"/>
    </row>
    <row r="2100" spans="1:16" x14ac:dyDescent="0.3">
      <c r="A2100" s="25"/>
      <c r="B2100" s="25"/>
      <c r="C2100" s="25"/>
      <c r="D2100" s="26"/>
      <c r="E2100" s="26"/>
      <c r="F2100" s="26"/>
      <c r="G2100" s="26"/>
      <c r="H2100" s="26"/>
      <c r="I2100" s="25"/>
      <c r="J2100" s="25"/>
      <c r="K2100" s="25"/>
      <c r="L2100" s="25"/>
      <c r="M2100" s="25"/>
      <c r="N2100" s="25"/>
      <c r="O2100" s="25"/>
      <c r="P2100" s="25"/>
    </row>
    <row r="2101" spans="1:16" x14ac:dyDescent="0.3">
      <c r="A2101" s="25"/>
      <c r="B2101" s="25"/>
      <c r="C2101" s="25"/>
      <c r="D2101" s="26"/>
      <c r="E2101" s="26"/>
      <c r="F2101" s="26"/>
      <c r="G2101" s="26"/>
      <c r="H2101" s="26"/>
      <c r="I2101" s="25"/>
      <c r="J2101" s="25"/>
      <c r="K2101" s="25"/>
      <c r="L2101" s="25"/>
      <c r="M2101" s="25"/>
      <c r="N2101" s="25"/>
      <c r="O2101" s="25"/>
      <c r="P2101" s="25"/>
    </row>
    <row r="2102" spans="1:16" x14ac:dyDescent="0.3">
      <c r="A2102" s="25"/>
      <c r="B2102" s="25"/>
      <c r="C2102" s="25"/>
      <c r="D2102" s="26"/>
      <c r="E2102" s="26"/>
      <c r="F2102" s="26"/>
      <c r="G2102" s="26"/>
      <c r="H2102" s="26"/>
      <c r="I2102" s="25"/>
      <c r="J2102" s="25"/>
      <c r="K2102" s="25"/>
      <c r="L2102" s="25"/>
      <c r="M2102" s="25"/>
      <c r="N2102" s="25"/>
      <c r="O2102" s="25"/>
      <c r="P2102" s="25"/>
    </row>
    <row r="2103" spans="1:16" x14ac:dyDescent="0.3">
      <c r="A2103" s="25"/>
      <c r="B2103" s="25"/>
      <c r="C2103" s="25"/>
      <c r="D2103" s="26"/>
      <c r="E2103" s="26"/>
      <c r="F2103" s="26"/>
      <c r="G2103" s="26"/>
      <c r="H2103" s="26"/>
      <c r="I2103" s="25"/>
      <c r="J2103" s="25"/>
      <c r="K2103" s="25"/>
      <c r="L2103" s="25"/>
      <c r="M2103" s="25"/>
      <c r="N2103" s="25"/>
      <c r="O2103" s="25"/>
      <c r="P2103" s="25"/>
    </row>
    <row r="2104" spans="1:16" x14ac:dyDescent="0.3">
      <c r="A2104" s="25"/>
      <c r="B2104" s="25"/>
      <c r="C2104" s="25"/>
      <c r="D2104" s="26"/>
      <c r="E2104" s="26"/>
      <c r="F2104" s="26"/>
      <c r="G2104" s="26"/>
      <c r="H2104" s="26"/>
      <c r="I2104" s="25"/>
      <c r="J2104" s="25"/>
      <c r="K2104" s="25"/>
      <c r="L2104" s="25"/>
      <c r="M2104" s="25"/>
      <c r="N2104" s="25"/>
      <c r="O2104" s="25"/>
      <c r="P2104" s="25"/>
    </row>
    <row r="2105" spans="1:16" x14ac:dyDescent="0.3">
      <c r="A2105" s="25"/>
      <c r="B2105" s="25"/>
      <c r="C2105" s="25"/>
      <c r="D2105" s="26"/>
      <c r="E2105" s="26"/>
      <c r="F2105" s="26"/>
      <c r="G2105" s="26"/>
      <c r="H2105" s="26"/>
      <c r="I2105" s="25"/>
      <c r="J2105" s="25"/>
      <c r="K2105" s="25"/>
      <c r="L2105" s="25"/>
      <c r="M2105" s="25"/>
      <c r="N2105" s="25"/>
      <c r="O2105" s="25"/>
      <c r="P2105" s="25"/>
    </row>
    <row r="2106" spans="1:16" x14ac:dyDescent="0.3">
      <c r="A2106" s="25"/>
      <c r="B2106" s="25"/>
      <c r="C2106" s="25"/>
      <c r="D2106" s="26"/>
      <c r="E2106" s="26"/>
      <c r="F2106" s="26"/>
      <c r="G2106" s="26"/>
      <c r="H2106" s="26"/>
      <c r="I2106" s="25"/>
      <c r="J2106" s="25"/>
      <c r="K2106" s="25"/>
      <c r="L2106" s="25"/>
      <c r="M2106" s="25"/>
      <c r="N2106" s="25"/>
      <c r="O2106" s="25"/>
      <c r="P2106" s="25"/>
    </row>
    <row r="2107" spans="1:16" x14ac:dyDescent="0.3">
      <c r="A2107" s="25"/>
      <c r="B2107" s="25"/>
      <c r="C2107" s="25"/>
      <c r="D2107" s="26"/>
      <c r="E2107" s="26"/>
      <c r="F2107" s="26"/>
      <c r="G2107" s="26"/>
      <c r="H2107" s="26"/>
      <c r="I2107" s="25"/>
      <c r="J2107" s="25"/>
      <c r="K2107" s="25"/>
      <c r="L2107" s="25"/>
      <c r="M2107" s="25"/>
      <c r="N2107" s="25"/>
      <c r="O2107" s="25"/>
      <c r="P2107" s="25"/>
    </row>
    <row r="2108" spans="1:16" x14ac:dyDescent="0.3">
      <c r="A2108" s="25"/>
      <c r="B2108" s="25"/>
      <c r="C2108" s="25"/>
      <c r="D2108" s="26"/>
      <c r="E2108" s="26"/>
      <c r="F2108" s="26"/>
      <c r="G2108" s="26"/>
      <c r="H2108" s="26"/>
      <c r="I2108" s="25"/>
      <c r="J2108" s="25"/>
      <c r="K2108" s="25"/>
      <c r="L2108" s="25"/>
      <c r="M2108" s="25"/>
      <c r="N2108" s="25"/>
      <c r="O2108" s="25"/>
      <c r="P2108" s="25"/>
    </row>
    <row r="2109" spans="1:16" x14ac:dyDescent="0.3">
      <c r="A2109" s="25"/>
      <c r="B2109" s="25"/>
      <c r="C2109" s="25"/>
      <c r="D2109" s="26"/>
      <c r="E2109" s="26"/>
      <c r="F2109" s="26"/>
      <c r="G2109" s="26"/>
      <c r="H2109" s="26"/>
      <c r="I2109" s="25"/>
      <c r="J2109" s="25"/>
      <c r="K2109" s="25"/>
      <c r="L2109" s="25"/>
      <c r="M2109" s="25"/>
      <c r="N2109" s="25"/>
      <c r="O2109" s="25"/>
      <c r="P2109" s="25"/>
    </row>
    <row r="2110" spans="1:16" x14ac:dyDescent="0.3">
      <c r="A2110" s="25"/>
      <c r="B2110" s="25"/>
      <c r="C2110" s="25"/>
      <c r="D2110" s="26"/>
      <c r="E2110" s="26"/>
      <c r="F2110" s="26"/>
      <c r="G2110" s="26"/>
      <c r="H2110" s="26"/>
      <c r="I2110" s="25"/>
      <c r="J2110" s="25"/>
      <c r="K2110" s="25"/>
      <c r="L2110" s="25"/>
      <c r="M2110" s="25"/>
      <c r="N2110" s="25"/>
      <c r="O2110" s="25"/>
      <c r="P2110" s="25"/>
    </row>
    <row r="2111" spans="1:16" x14ac:dyDescent="0.3">
      <c r="A2111" s="25"/>
      <c r="B2111" s="25"/>
      <c r="C2111" s="25"/>
      <c r="D2111" s="26"/>
      <c r="E2111" s="26"/>
      <c r="F2111" s="26"/>
      <c r="G2111" s="26"/>
      <c r="H2111" s="26"/>
      <c r="I2111" s="25"/>
      <c r="J2111" s="25"/>
      <c r="K2111" s="25"/>
      <c r="L2111" s="25"/>
      <c r="M2111" s="25"/>
      <c r="N2111" s="25"/>
      <c r="O2111" s="25"/>
      <c r="P2111" s="25"/>
    </row>
    <row r="2112" spans="1:16" x14ac:dyDescent="0.3">
      <c r="A2112" s="25"/>
      <c r="B2112" s="25"/>
      <c r="C2112" s="25"/>
      <c r="D2112" s="26"/>
      <c r="E2112" s="26"/>
      <c r="F2112" s="26"/>
      <c r="G2112" s="26"/>
      <c r="H2112" s="26"/>
      <c r="I2112" s="25"/>
      <c r="J2112" s="25"/>
      <c r="K2112" s="25"/>
      <c r="L2112" s="25"/>
      <c r="M2112" s="25"/>
      <c r="N2112" s="25"/>
      <c r="O2112" s="25"/>
      <c r="P2112" s="25"/>
    </row>
    <row r="2113" spans="1:16" x14ac:dyDescent="0.3">
      <c r="A2113" s="25"/>
      <c r="B2113" s="25"/>
      <c r="C2113" s="25"/>
      <c r="D2113" s="26"/>
      <c r="E2113" s="26"/>
      <c r="F2113" s="26"/>
      <c r="G2113" s="26"/>
      <c r="H2113" s="26"/>
      <c r="I2113" s="25"/>
      <c r="J2113" s="25"/>
      <c r="K2113" s="25"/>
      <c r="L2113" s="25"/>
      <c r="M2113" s="25"/>
      <c r="N2113" s="25"/>
      <c r="O2113" s="25"/>
      <c r="P2113" s="25"/>
    </row>
    <row r="2114" spans="1:16" x14ac:dyDescent="0.3">
      <c r="A2114" s="25"/>
      <c r="B2114" s="25"/>
      <c r="C2114" s="25"/>
      <c r="D2114" s="26"/>
      <c r="E2114" s="26"/>
      <c r="F2114" s="26"/>
      <c r="G2114" s="26"/>
      <c r="H2114" s="26"/>
      <c r="I2114" s="25"/>
      <c r="J2114" s="25"/>
      <c r="K2114" s="25"/>
      <c r="L2114" s="25"/>
      <c r="M2114" s="25"/>
      <c r="N2114" s="25"/>
      <c r="O2114" s="25"/>
      <c r="P2114" s="25"/>
    </row>
    <row r="2115" spans="1:16" x14ac:dyDescent="0.3">
      <c r="A2115" s="25"/>
      <c r="B2115" s="25"/>
      <c r="C2115" s="25"/>
      <c r="D2115" s="26"/>
      <c r="E2115" s="26"/>
      <c r="F2115" s="26"/>
      <c r="G2115" s="26"/>
      <c r="H2115" s="26"/>
      <c r="I2115" s="25"/>
      <c r="J2115" s="25"/>
      <c r="K2115" s="25"/>
      <c r="L2115" s="25"/>
      <c r="M2115" s="25"/>
      <c r="N2115" s="25"/>
      <c r="O2115" s="25"/>
      <c r="P2115" s="25"/>
    </row>
    <row r="2116" spans="1:16" x14ac:dyDescent="0.3">
      <c r="A2116" s="25"/>
      <c r="B2116" s="25"/>
      <c r="C2116" s="25"/>
      <c r="D2116" s="26"/>
      <c r="E2116" s="26"/>
      <c r="F2116" s="26"/>
      <c r="G2116" s="26"/>
      <c r="H2116" s="26"/>
      <c r="I2116" s="25"/>
      <c r="J2116" s="25"/>
      <c r="K2116" s="25"/>
      <c r="L2116" s="25"/>
      <c r="M2116" s="25"/>
      <c r="N2116" s="25"/>
      <c r="O2116" s="25"/>
      <c r="P2116" s="25"/>
    </row>
    <row r="2117" spans="1:16" x14ac:dyDescent="0.3">
      <c r="A2117" s="25"/>
      <c r="B2117" s="25"/>
      <c r="C2117" s="25"/>
      <c r="D2117" s="26"/>
      <c r="E2117" s="26"/>
      <c r="F2117" s="26"/>
      <c r="G2117" s="26"/>
      <c r="H2117" s="26"/>
      <c r="I2117" s="25"/>
      <c r="J2117" s="25"/>
      <c r="K2117" s="25"/>
      <c r="L2117" s="25"/>
      <c r="M2117" s="25"/>
      <c r="N2117" s="25"/>
      <c r="O2117" s="25"/>
      <c r="P2117" s="25"/>
    </row>
    <row r="2118" spans="1:16" x14ac:dyDescent="0.3">
      <c r="A2118" s="25"/>
      <c r="B2118" s="25"/>
      <c r="C2118" s="25"/>
      <c r="D2118" s="26"/>
      <c r="E2118" s="26"/>
      <c r="F2118" s="26"/>
      <c r="G2118" s="26"/>
      <c r="H2118" s="26"/>
      <c r="I2118" s="25"/>
      <c r="J2118" s="25"/>
      <c r="K2118" s="25"/>
      <c r="L2118" s="25"/>
      <c r="M2118" s="25"/>
      <c r="N2118" s="25"/>
      <c r="O2118" s="25"/>
      <c r="P2118" s="25"/>
    </row>
    <row r="2119" spans="1:16" x14ac:dyDescent="0.3">
      <c r="A2119" s="25"/>
      <c r="B2119" s="25"/>
      <c r="C2119" s="25"/>
      <c r="D2119" s="26"/>
      <c r="E2119" s="26"/>
      <c r="F2119" s="26"/>
      <c r="G2119" s="26"/>
      <c r="H2119" s="26"/>
      <c r="I2119" s="25"/>
      <c r="J2119" s="25"/>
      <c r="K2119" s="25"/>
      <c r="L2119" s="25"/>
      <c r="M2119" s="25"/>
      <c r="N2119" s="25"/>
      <c r="O2119" s="25"/>
      <c r="P2119" s="25"/>
    </row>
    <row r="2120" spans="1:16" x14ac:dyDescent="0.3">
      <c r="A2120" s="25"/>
      <c r="B2120" s="25"/>
      <c r="C2120" s="25"/>
      <c r="D2120" s="26"/>
      <c r="E2120" s="26"/>
      <c r="F2120" s="26"/>
      <c r="G2120" s="26"/>
      <c r="H2120" s="26"/>
      <c r="I2120" s="25"/>
      <c r="J2120" s="25"/>
      <c r="K2120" s="25"/>
      <c r="L2120" s="25"/>
      <c r="M2120" s="25"/>
      <c r="N2120" s="25"/>
      <c r="O2120" s="25"/>
      <c r="P2120" s="25"/>
    </row>
    <row r="2121" spans="1:16" x14ac:dyDescent="0.3">
      <c r="A2121" s="25"/>
      <c r="B2121" s="25"/>
      <c r="C2121" s="25"/>
      <c r="D2121" s="26"/>
      <c r="E2121" s="26"/>
      <c r="F2121" s="26"/>
      <c r="G2121" s="26"/>
      <c r="H2121" s="26"/>
      <c r="I2121" s="25"/>
      <c r="J2121" s="25"/>
      <c r="K2121" s="25"/>
      <c r="L2121" s="25"/>
      <c r="M2121" s="25"/>
      <c r="N2121" s="25"/>
      <c r="O2121" s="25"/>
      <c r="P2121" s="25"/>
    </row>
    <row r="2122" spans="1:16" x14ac:dyDescent="0.3">
      <c r="A2122" s="25"/>
      <c r="B2122" s="25"/>
      <c r="C2122" s="25"/>
      <c r="D2122" s="26"/>
      <c r="E2122" s="26"/>
      <c r="F2122" s="26"/>
      <c r="G2122" s="26"/>
      <c r="H2122" s="26"/>
      <c r="I2122" s="25"/>
      <c r="J2122" s="25"/>
      <c r="K2122" s="25"/>
      <c r="L2122" s="25"/>
      <c r="M2122" s="25"/>
      <c r="N2122" s="25"/>
      <c r="O2122" s="25"/>
      <c r="P2122" s="25"/>
    </row>
    <row r="2123" spans="1:16" x14ac:dyDescent="0.3">
      <c r="A2123" s="25"/>
      <c r="B2123" s="25"/>
      <c r="C2123" s="25"/>
      <c r="D2123" s="26"/>
      <c r="E2123" s="26"/>
      <c r="F2123" s="26"/>
      <c r="G2123" s="26"/>
      <c r="H2123" s="26"/>
      <c r="I2123" s="25"/>
      <c r="J2123" s="25"/>
      <c r="K2123" s="25"/>
      <c r="L2123" s="25"/>
      <c r="M2123" s="25"/>
      <c r="N2123" s="25"/>
      <c r="O2123" s="25"/>
      <c r="P2123" s="25"/>
    </row>
    <row r="2124" spans="1:16" x14ac:dyDescent="0.3">
      <c r="A2124" s="25"/>
      <c r="B2124" s="25"/>
      <c r="C2124" s="25"/>
      <c r="D2124" s="26"/>
      <c r="E2124" s="26"/>
      <c r="F2124" s="26"/>
      <c r="G2124" s="26"/>
      <c r="H2124" s="26"/>
      <c r="I2124" s="25"/>
      <c r="J2124" s="25"/>
      <c r="K2124" s="25"/>
      <c r="L2124" s="25"/>
      <c r="M2124" s="25"/>
      <c r="N2124" s="25"/>
      <c r="O2124" s="25"/>
      <c r="P2124" s="25"/>
    </row>
    <row r="2125" spans="1:16" x14ac:dyDescent="0.3">
      <c r="A2125" s="25"/>
      <c r="B2125" s="25"/>
      <c r="C2125" s="25"/>
      <c r="D2125" s="26"/>
      <c r="E2125" s="26"/>
      <c r="F2125" s="26"/>
      <c r="G2125" s="26"/>
      <c r="H2125" s="26"/>
      <c r="I2125" s="25"/>
      <c r="J2125" s="25"/>
      <c r="K2125" s="25"/>
      <c r="L2125" s="25"/>
      <c r="M2125" s="25"/>
      <c r="N2125" s="25"/>
      <c r="O2125" s="25"/>
      <c r="P2125" s="25"/>
    </row>
    <row r="2126" spans="1:16" x14ac:dyDescent="0.3">
      <c r="A2126" s="25"/>
      <c r="B2126" s="25"/>
      <c r="C2126" s="25"/>
      <c r="D2126" s="26"/>
      <c r="E2126" s="26"/>
      <c r="F2126" s="26"/>
      <c r="G2126" s="26"/>
      <c r="H2126" s="26"/>
      <c r="I2126" s="25"/>
      <c r="J2126" s="25"/>
      <c r="K2126" s="25"/>
      <c r="L2126" s="25"/>
      <c r="M2126" s="25"/>
      <c r="N2126" s="25"/>
      <c r="O2126" s="25"/>
      <c r="P2126" s="25"/>
    </row>
    <row r="2127" spans="1:16" x14ac:dyDescent="0.3">
      <c r="A2127" s="25"/>
      <c r="B2127" s="25"/>
      <c r="C2127" s="25"/>
      <c r="D2127" s="26"/>
      <c r="E2127" s="26"/>
      <c r="F2127" s="26"/>
      <c r="G2127" s="26"/>
      <c r="H2127" s="26"/>
      <c r="I2127" s="25"/>
      <c r="J2127" s="25"/>
      <c r="K2127" s="25"/>
      <c r="L2127" s="25"/>
      <c r="M2127" s="25"/>
      <c r="N2127" s="25"/>
      <c r="O2127" s="25"/>
      <c r="P2127" s="25"/>
    </row>
    <row r="2128" spans="1:16" x14ac:dyDescent="0.3">
      <c r="A2128" s="25"/>
      <c r="B2128" s="25"/>
      <c r="C2128" s="25"/>
      <c r="D2128" s="26"/>
      <c r="E2128" s="26"/>
      <c r="F2128" s="26"/>
      <c r="G2128" s="26"/>
      <c r="H2128" s="26"/>
      <c r="I2128" s="25"/>
      <c r="J2128" s="25"/>
      <c r="K2128" s="25"/>
      <c r="L2128" s="25"/>
      <c r="M2128" s="25"/>
      <c r="N2128" s="25"/>
      <c r="O2128" s="25"/>
      <c r="P2128" s="25"/>
    </row>
    <row r="2129" spans="1:16" x14ac:dyDescent="0.3">
      <c r="A2129" s="25"/>
      <c r="B2129" s="25"/>
      <c r="C2129" s="25"/>
      <c r="D2129" s="26"/>
      <c r="E2129" s="26"/>
      <c r="F2129" s="26"/>
      <c r="G2129" s="26"/>
      <c r="H2129" s="26"/>
      <c r="I2129" s="25"/>
      <c r="J2129" s="25"/>
      <c r="K2129" s="25"/>
      <c r="L2129" s="25"/>
      <c r="M2129" s="25"/>
      <c r="N2129" s="25"/>
      <c r="O2129" s="25"/>
      <c r="P2129" s="25"/>
    </row>
    <row r="2130" spans="1:16" x14ac:dyDescent="0.3">
      <c r="A2130" s="25"/>
      <c r="B2130" s="25"/>
      <c r="C2130" s="25"/>
      <c r="D2130" s="26"/>
      <c r="E2130" s="26"/>
      <c r="F2130" s="26"/>
      <c r="G2130" s="26"/>
      <c r="H2130" s="26"/>
      <c r="I2130" s="25"/>
      <c r="J2130" s="25"/>
      <c r="K2130" s="25"/>
      <c r="L2130" s="25"/>
      <c r="M2130" s="25"/>
      <c r="N2130" s="25"/>
      <c r="O2130" s="25"/>
      <c r="P2130" s="25"/>
    </row>
    <row r="2131" spans="1:16" x14ac:dyDescent="0.3">
      <c r="A2131" s="25"/>
      <c r="B2131" s="25"/>
      <c r="C2131" s="25"/>
      <c r="D2131" s="26"/>
      <c r="E2131" s="26"/>
      <c r="F2131" s="26"/>
      <c r="G2131" s="26"/>
      <c r="H2131" s="26"/>
      <c r="I2131" s="25"/>
      <c r="J2131" s="25"/>
      <c r="K2131" s="25"/>
      <c r="L2131" s="25"/>
      <c r="M2131" s="25"/>
      <c r="N2131" s="25"/>
      <c r="O2131" s="25"/>
      <c r="P2131" s="25"/>
    </row>
    <row r="2132" spans="1:16" x14ac:dyDescent="0.3">
      <c r="A2132" s="25"/>
      <c r="B2132" s="25"/>
      <c r="C2132" s="25"/>
      <c r="D2132" s="26"/>
      <c r="E2132" s="26"/>
      <c r="F2132" s="26"/>
      <c r="G2132" s="26"/>
      <c r="H2132" s="26"/>
      <c r="I2132" s="25"/>
      <c r="J2132" s="25"/>
      <c r="K2132" s="25"/>
      <c r="L2132" s="25"/>
      <c r="M2132" s="25"/>
      <c r="N2132" s="25"/>
      <c r="O2132" s="25"/>
      <c r="P2132" s="25"/>
    </row>
    <row r="2133" spans="1:16" x14ac:dyDescent="0.3">
      <c r="A2133" s="25"/>
      <c r="B2133" s="25"/>
      <c r="C2133" s="25"/>
      <c r="D2133" s="26"/>
      <c r="E2133" s="26"/>
      <c r="F2133" s="26"/>
      <c r="G2133" s="26"/>
      <c r="H2133" s="26"/>
      <c r="I2133" s="25"/>
      <c r="J2133" s="25"/>
      <c r="K2133" s="25"/>
      <c r="L2133" s="25"/>
      <c r="M2133" s="25"/>
      <c r="N2133" s="25"/>
      <c r="O2133" s="25"/>
      <c r="P2133" s="25"/>
    </row>
    <row r="2134" spans="1:16" x14ac:dyDescent="0.3">
      <c r="A2134" s="25"/>
      <c r="B2134" s="25"/>
      <c r="C2134" s="25"/>
      <c r="D2134" s="26"/>
      <c r="E2134" s="26"/>
      <c r="F2134" s="26"/>
      <c r="G2134" s="26"/>
      <c r="H2134" s="26"/>
      <c r="I2134" s="25"/>
      <c r="J2134" s="25"/>
      <c r="K2134" s="25"/>
      <c r="L2134" s="25"/>
      <c r="M2134" s="25"/>
      <c r="N2134" s="25"/>
      <c r="O2134" s="25"/>
      <c r="P2134" s="25"/>
    </row>
    <row r="2135" spans="1:16" x14ac:dyDescent="0.3">
      <c r="A2135" s="25"/>
      <c r="B2135" s="25"/>
      <c r="C2135" s="25"/>
      <c r="D2135" s="26"/>
      <c r="E2135" s="26"/>
      <c r="F2135" s="26"/>
      <c r="G2135" s="26"/>
      <c r="H2135" s="26"/>
      <c r="I2135" s="25"/>
      <c r="J2135" s="25"/>
      <c r="K2135" s="25"/>
      <c r="L2135" s="25"/>
      <c r="M2135" s="25"/>
      <c r="N2135" s="25"/>
      <c r="O2135" s="25"/>
      <c r="P2135" s="25"/>
    </row>
    <row r="2136" spans="1:16" x14ac:dyDescent="0.3">
      <c r="A2136" s="25"/>
      <c r="B2136" s="25"/>
      <c r="C2136" s="25"/>
      <c r="D2136" s="26"/>
      <c r="E2136" s="26"/>
      <c r="F2136" s="26"/>
      <c r="G2136" s="26"/>
      <c r="H2136" s="26"/>
      <c r="I2136" s="25"/>
      <c r="J2136" s="25"/>
      <c r="K2136" s="25"/>
      <c r="L2136" s="25"/>
      <c r="M2136" s="25"/>
      <c r="N2136" s="25"/>
      <c r="O2136" s="25"/>
      <c r="P2136" s="25"/>
    </row>
    <row r="2137" spans="1:16" x14ac:dyDescent="0.3">
      <c r="A2137" s="25"/>
      <c r="B2137" s="25"/>
      <c r="C2137" s="25"/>
      <c r="D2137" s="26"/>
      <c r="E2137" s="26"/>
      <c r="F2137" s="26"/>
      <c r="G2137" s="26"/>
      <c r="H2137" s="26"/>
      <c r="I2137" s="25"/>
      <c r="J2137" s="25"/>
      <c r="K2137" s="25"/>
      <c r="L2137" s="25"/>
      <c r="M2137" s="25"/>
      <c r="N2137" s="25"/>
      <c r="O2137" s="25"/>
      <c r="P2137" s="25"/>
    </row>
    <row r="2138" spans="1:16" x14ac:dyDescent="0.3">
      <c r="A2138" s="25"/>
      <c r="B2138" s="25"/>
      <c r="C2138" s="25"/>
      <c r="D2138" s="26"/>
      <c r="E2138" s="26"/>
      <c r="F2138" s="26"/>
      <c r="G2138" s="26"/>
      <c r="H2138" s="26"/>
      <c r="I2138" s="25"/>
      <c r="J2138" s="25"/>
      <c r="K2138" s="25"/>
      <c r="L2138" s="25"/>
      <c r="M2138" s="25"/>
      <c r="N2138" s="25"/>
      <c r="O2138" s="25"/>
      <c r="P2138" s="25"/>
    </row>
    <row r="2139" spans="1:16" x14ac:dyDescent="0.3">
      <c r="A2139" s="25"/>
      <c r="B2139" s="25"/>
      <c r="C2139" s="25"/>
      <c r="D2139" s="26"/>
      <c r="E2139" s="26"/>
      <c r="F2139" s="26"/>
      <c r="G2139" s="26"/>
      <c r="H2139" s="26"/>
      <c r="I2139" s="25"/>
      <c r="J2139" s="25"/>
      <c r="K2139" s="25"/>
      <c r="L2139" s="25"/>
      <c r="M2139" s="25"/>
      <c r="N2139" s="25"/>
      <c r="O2139" s="25"/>
      <c r="P2139" s="25"/>
    </row>
    <row r="2140" spans="1:16" x14ac:dyDescent="0.3">
      <c r="A2140" s="25"/>
      <c r="B2140" s="25"/>
      <c r="C2140" s="25"/>
      <c r="D2140" s="26"/>
      <c r="E2140" s="26"/>
      <c r="F2140" s="26"/>
      <c r="G2140" s="26"/>
      <c r="H2140" s="26"/>
      <c r="I2140" s="25"/>
      <c r="J2140" s="25"/>
      <c r="K2140" s="25"/>
      <c r="L2140" s="25"/>
      <c r="M2140" s="25"/>
      <c r="N2140" s="25"/>
      <c r="O2140" s="25"/>
      <c r="P2140" s="25"/>
    </row>
    <row r="2141" spans="1:16" x14ac:dyDescent="0.3">
      <c r="A2141" s="25"/>
      <c r="B2141" s="25"/>
      <c r="C2141" s="25"/>
      <c r="D2141" s="26"/>
      <c r="E2141" s="26"/>
      <c r="F2141" s="26"/>
      <c r="G2141" s="26"/>
      <c r="H2141" s="26"/>
      <c r="I2141" s="25"/>
      <c r="J2141" s="25"/>
      <c r="K2141" s="25"/>
      <c r="L2141" s="25"/>
      <c r="M2141" s="25"/>
      <c r="N2141" s="25"/>
      <c r="O2141" s="25"/>
      <c r="P2141" s="25"/>
    </row>
    <row r="2142" spans="1:16" x14ac:dyDescent="0.3">
      <c r="A2142" s="25"/>
      <c r="B2142" s="25"/>
      <c r="C2142" s="25"/>
      <c r="D2142" s="26"/>
      <c r="E2142" s="26"/>
      <c r="F2142" s="26"/>
      <c r="G2142" s="26"/>
      <c r="H2142" s="26"/>
      <c r="I2142" s="25"/>
      <c r="J2142" s="25"/>
      <c r="K2142" s="25"/>
      <c r="L2142" s="25"/>
      <c r="M2142" s="25"/>
      <c r="N2142" s="25"/>
      <c r="O2142" s="25"/>
      <c r="P2142" s="25"/>
    </row>
    <row r="2143" spans="1:16" x14ac:dyDescent="0.3">
      <c r="A2143" s="25"/>
      <c r="B2143" s="25"/>
      <c r="C2143" s="25"/>
      <c r="D2143" s="26"/>
      <c r="E2143" s="26"/>
      <c r="F2143" s="26"/>
      <c r="G2143" s="26"/>
      <c r="H2143" s="26"/>
      <c r="I2143" s="25"/>
      <c r="J2143" s="25"/>
      <c r="K2143" s="25"/>
      <c r="L2143" s="25"/>
      <c r="M2143" s="25"/>
      <c r="N2143" s="25"/>
      <c r="O2143" s="25"/>
      <c r="P2143" s="25"/>
    </row>
    <row r="2144" spans="1:16" x14ac:dyDescent="0.3">
      <c r="A2144" s="25"/>
      <c r="B2144" s="25"/>
      <c r="C2144" s="25"/>
      <c r="D2144" s="26"/>
      <c r="E2144" s="26"/>
      <c r="F2144" s="26"/>
      <c r="G2144" s="26"/>
      <c r="H2144" s="26"/>
      <c r="I2144" s="25"/>
      <c r="J2144" s="25"/>
      <c r="K2144" s="25"/>
      <c r="L2144" s="25"/>
      <c r="M2144" s="25"/>
      <c r="N2144" s="25"/>
      <c r="O2144" s="25"/>
      <c r="P2144" s="25"/>
    </row>
    <row r="2145" spans="1:16" x14ac:dyDescent="0.3">
      <c r="A2145" s="25"/>
      <c r="B2145" s="25"/>
      <c r="C2145" s="25"/>
      <c r="D2145" s="26"/>
      <c r="E2145" s="26"/>
      <c r="F2145" s="26"/>
      <c r="G2145" s="26"/>
      <c r="H2145" s="26"/>
      <c r="I2145" s="25"/>
      <c r="J2145" s="25"/>
      <c r="K2145" s="25"/>
      <c r="L2145" s="25"/>
      <c r="M2145" s="25"/>
      <c r="N2145" s="25"/>
      <c r="O2145" s="25"/>
      <c r="P2145" s="25"/>
    </row>
    <row r="2146" spans="1:16" x14ac:dyDescent="0.3">
      <c r="A2146" s="25"/>
      <c r="B2146" s="25"/>
      <c r="C2146" s="25"/>
      <c r="D2146" s="26"/>
      <c r="E2146" s="26"/>
      <c r="F2146" s="26"/>
      <c r="G2146" s="26"/>
      <c r="H2146" s="26"/>
      <c r="I2146" s="25"/>
      <c r="J2146" s="25"/>
      <c r="K2146" s="25"/>
      <c r="L2146" s="25"/>
      <c r="M2146" s="25"/>
      <c r="N2146" s="25"/>
      <c r="O2146" s="25"/>
      <c r="P2146" s="25"/>
    </row>
    <row r="2147" spans="1:16" x14ac:dyDescent="0.3">
      <c r="A2147" s="25"/>
      <c r="B2147" s="25"/>
      <c r="C2147" s="25"/>
      <c r="D2147" s="26"/>
      <c r="E2147" s="26"/>
      <c r="F2147" s="26"/>
      <c r="G2147" s="26"/>
      <c r="H2147" s="26"/>
      <c r="I2147" s="25"/>
      <c r="J2147" s="25"/>
      <c r="K2147" s="25"/>
      <c r="L2147" s="25"/>
      <c r="M2147" s="25"/>
      <c r="N2147" s="25"/>
      <c r="O2147" s="25"/>
      <c r="P2147" s="25"/>
    </row>
    <row r="2148" spans="1:16" x14ac:dyDescent="0.3">
      <c r="A2148" s="25"/>
      <c r="B2148" s="25"/>
      <c r="C2148" s="25"/>
      <c r="D2148" s="26"/>
      <c r="E2148" s="26"/>
      <c r="F2148" s="26"/>
      <c r="G2148" s="26"/>
      <c r="H2148" s="26"/>
      <c r="I2148" s="25"/>
      <c r="J2148" s="25"/>
      <c r="K2148" s="25"/>
      <c r="L2148" s="25"/>
      <c r="M2148" s="25"/>
      <c r="N2148" s="25"/>
      <c r="O2148" s="25"/>
      <c r="P2148" s="25"/>
    </row>
    <row r="2149" spans="1:16" x14ac:dyDescent="0.3">
      <c r="A2149" s="25"/>
      <c r="B2149" s="25"/>
      <c r="C2149" s="25"/>
      <c r="D2149" s="26"/>
      <c r="E2149" s="26"/>
      <c r="F2149" s="26"/>
      <c r="G2149" s="26"/>
      <c r="H2149" s="26"/>
      <c r="I2149" s="25"/>
      <c r="J2149" s="25"/>
      <c r="K2149" s="25"/>
      <c r="L2149" s="25"/>
      <c r="M2149" s="25"/>
      <c r="N2149" s="25"/>
      <c r="O2149" s="25"/>
      <c r="P2149" s="25"/>
    </row>
    <row r="2150" spans="1:16" x14ac:dyDescent="0.3">
      <c r="A2150" s="25"/>
      <c r="B2150" s="25"/>
      <c r="C2150" s="25"/>
      <c r="D2150" s="26"/>
      <c r="E2150" s="26"/>
      <c r="F2150" s="26"/>
      <c r="G2150" s="26"/>
      <c r="H2150" s="26"/>
      <c r="I2150" s="25"/>
      <c r="J2150" s="25"/>
      <c r="K2150" s="25"/>
      <c r="L2150" s="25"/>
      <c r="M2150" s="25"/>
      <c r="N2150" s="25"/>
      <c r="O2150" s="25"/>
      <c r="P2150" s="25"/>
    </row>
    <row r="2151" spans="1:16" x14ac:dyDescent="0.3">
      <c r="A2151" s="25"/>
      <c r="B2151" s="25"/>
      <c r="C2151" s="25"/>
      <c r="D2151" s="26"/>
      <c r="E2151" s="26"/>
      <c r="F2151" s="26"/>
      <c r="G2151" s="26"/>
      <c r="H2151" s="26"/>
      <c r="I2151" s="25"/>
      <c r="J2151" s="25"/>
      <c r="K2151" s="25"/>
      <c r="L2151" s="25"/>
      <c r="M2151" s="25"/>
      <c r="N2151" s="25"/>
      <c r="O2151" s="25"/>
      <c r="P2151" s="25"/>
    </row>
    <row r="2152" spans="1:16" x14ac:dyDescent="0.3">
      <c r="A2152" s="25"/>
      <c r="B2152" s="25"/>
      <c r="C2152" s="25"/>
      <c r="D2152" s="26"/>
      <c r="E2152" s="26"/>
      <c r="F2152" s="26"/>
      <c r="G2152" s="26"/>
      <c r="H2152" s="26"/>
      <c r="I2152" s="25"/>
      <c r="J2152" s="25"/>
      <c r="K2152" s="25"/>
      <c r="L2152" s="25"/>
      <c r="M2152" s="25"/>
      <c r="N2152" s="25"/>
      <c r="O2152" s="25"/>
      <c r="P2152" s="25"/>
    </row>
    <row r="2153" spans="1:16" x14ac:dyDescent="0.3">
      <c r="A2153" s="25"/>
      <c r="B2153" s="25"/>
      <c r="C2153" s="25"/>
      <c r="D2153" s="26"/>
      <c r="E2153" s="26"/>
      <c r="F2153" s="26"/>
      <c r="G2153" s="26"/>
      <c r="H2153" s="26"/>
      <c r="I2153" s="25"/>
      <c r="J2153" s="25"/>
      <c r="K2153" s="25"/>
      <c r="L2153" s="25"/>
      <c r="M2153" s="25"/>
      <c r="N2153" s="25"/>
      <c r="O2153" s="25"/>
      <c r="P2153" s="25"/>
    </row>
    <row r="2154" spans="1:16" x14ac:dyDescent="0.3">
      <c r="A2154" s="25"/>
      <c r="B2154" s="25"/>
      <c r="C2154" s="25"/>
      <c r="D2154" s="26"/>
      <c r="E2154" s="26"/>
      <c r="F2154" s="26"/>
      <c r="G2154" s="26"/>
      <c r="H2154" s="26"/>
      <c r="I2154" s="25"/>
      <c r="J2154" s="25"/>
      <c r="K2154" s="25"/>
      <c r="L2154" s="25"/>
      <c r="M2154" s="25"/>
      <c r="N2154" s="25"/>
      <c r="O2154" s="25"/>
      <c r="P2154" s="25"/>
    </row>
    <row r="2155" spans="1:16" x14ac:dyDescent="0.3">
      <c r="A2155" s="25"/>
      <c r="B2155" s="25"/>
      <c r="C2155" s="25"/>
      <c r="D2155" s="26"/>
      <c r="E2155" s="26"/>
      <c r="F2155" s="26"/>
      <c r="G2155" s="26"/>
      <c r="H2155" s="26"/>
      <c r="I2155" s="25"/>
      <c r="J2155" s="25"/>
      <c r="K2155" s="25"/>
      <c r="L2155" s="25"/>
      <c r="M2155" s="25"/>
      <c r="N2155" s="25"/>
      <c r="O2155" s="25"/>
      <c r="P2155" s="25"/>
    </row>
    <row r="2156" spans="1:16" x14ac:dyDescent="0.3">
      <c r="A2156" s="25"/>
      <c r="B2156" s="25"/>
      <c r="C2156" s="25"/>
      <c r="D2156" s="26"/>
      <c r="E2156" s="26"/>
      <c r="F2156" s="26"/>
      <c r="G2156" s="26"/>
      <c r="H2156" s="26"/>
      <c r="I2156" s="25"/>
      <c r="J2156" s="25"/>
      <c r="K2156" s="25"/>
      <c r="L2156" s="25"/>
      <c r="M2156" s="25"/>
      <c r="N2156" s="25"/>
      <c r="O2156" s="25"/>
      <c r="P2156" s="25"/>
    </row>
    <row r="2157" spans="1:16" x14ac:dyDescent="0.3">
      <c r="A2157" s="25"/>
      <c r="B2157" s="25"/>
      <c r="C2157" s="25"/>
      <c r="D2157" s="26"/>
      <c r="E2157" s="26"/>
      <c r="F2157" s="26"/>
      <c r="G2157" s="26"/>
      <c r="H2157" s="26"/>
      <c r="I2157" s="25"/>
      <c r="J2157" s="25"/>
      <c r="K2157" s="25"/>
      <c r="L2157" s="25"/>
      <c r="M2157" s="25"/>
      <c r="N2157" s="25"/>
      <c r="O2157" s="25"/>
      <c r="P2157" s="25"/>
    </row>
    <row r="2158" spans="1:16" x14ac:dyDescent="0.3">
      <c r="A2158" s="25"/>
      <c r="B2158" s="25"/>
      <c r="C2158" s="25"/>
      <c r="D2158" s="26"/>
      <c r="E2158" s="26"/>
      <c r="F2158" s="26"/>
      <c r="G2158" s="26"/>
      <c r="H2158" s="26"/>
      <c r="I2158" s="25"/>
      <c r="J2158" s="25"/>
      <c r="K2158" s="25"/>
      <c r="L2158" s="25"/>
      <c r="M2158" s="25"/>
      <c r="N2158" s="25"/>
      <c r="O2158" s="25"/>
      <c r="P2158" s="25"/>
    </row>
    <row r="2159" spans="1:16" x14ac:dyDescent="0.3">
      <c r="A2159" s="25"/>
      <c r="B2159" s="25"/>
      <c r="C2159" s="25"/>
      <c r="D2159" s="26"/>
      <c r="E2159" s="26"/>
      <c r="F2159" s="26"/>
      <c r="G2159" s="26"/>
      <c r="H2159" s="26"/>
      <c r="I2159" s="25"/>
      <c r="J2159" s="25"/>
      <c r="K2159" s="25"/>
      <c r="L2159" s="25"/>
      <c r="M2159" s="25"/>
      <c r="N2159" s="25"/>
      <c r="O2159" s="25"/>
      <c r="P2159" s="25"/>
    </row>
    <row r="2160" spans="1:16" x14ac:dyDescent="0.3">
      <c r="A2160" s="25"/>
      <c r="B2160" s="25"/>
      <c r="C2160" s="25"/>
      <c r="D2160" s="26"/>
      <c r="E2160" s="26"/>
      <c r="F2160" s="26"/>
      <c r="G2160" s="26"/>
      <c r="H2160" s="26"/>
      <c r="I2160" s="25"/>
      <c r="J2160" s="25"/>
      <c r="K2160" s="25"/>
      <c r="L2160" s="25"/>
      <c r="M2160" s="25"/>
      <c r="N2160" s="25"/>
      <c r="O2160" s="25"/>
      <c r="P2160" s="25"/>
    </row>
    <row r="2161" spans="1:16" x14ac:dyDescent="0.3">
      <c r="A2161" s="25"/>
      <c r="B2161" s="25"/>
      <c r="C2161" s="25"/>
      <c r="D2161" s="26"/>
      <c r="E2161" s="26"/>
      <c r="F2161" s="26"/>
      <c r="G2161" s="26"/>
      <c r="H2161" s="26"/>
      <c r="I2161" s="25"/>
      <c r="J2161" s="25"/>
      <c r="K2161" s="25"/>
      <c r="L2161" s="25"/>
      <c r="M2161" s="25"/>
      <c r="N2161" s="25"/>
      <c r="O2161" s="25"/>
      <c r="P2161" s="25"/>
    </row>
    <row r="2162" spans="1:16" x14ac:dyDescent="0.3">
      <c r="A2162" s="25"/>
      <c r="B2162" s="25"/>
      <c r="C2162" s="25"/>
      <c r="D2162" s="26"/>
      <c r="E2162" s="26"/>
      <c r="F2162" s="26"/>
      <c r="G2162" s="26"/>
      <c r="H2162" s="26"/>
      <c r="I2162" s="25"/>
      <c r="J2162" s="25"/>
      <c r="K2162" s="25"/>
      <c r="L2162" s="25"/>
      <c r="M2162" s="25"/>
      <c r="N2162" s="25"/>
      <c r="O2162" s="25"/>
      <c r="P2162" s="25"/>
    </row>
    <row r="2163" spans="1:16" x14ac:dyDescent="0.3">
      <c r="A2163" s="25"/>
      <c r="B2163" s="25"/>
      <c r="C2163" s="25"/>
      <c r="D2163" s="26"/>
      <c r="E2163" s="26"/>
      <c r="F2163" s="26"/>
      <c r="G2163" s="26"/>
      <c r="H2163" s="26"/>
      <c r="I2163" s="25"/>
      <c r="J2163" s="25"/>
      <c r="K2163" s="25"/>
      <c r="L2163" s="25"/>
      <c r="M2163" s="25"/>
      <c r="N2163" s="25"/>
      <c r="O2163" s="25"/>
      <c r="P2163" s="25"/>
    </row>
    <row r="2164" spans="1:16" x14ac:dyDescent="0.3">
      <c r="A2164" s="25"/>
      <c r="B2164" s="25"/>
      <c r="C2164" s="25"/>
      <c r="D2164" s="26"/>
      <c r="E2164" s="26"/>
      <c r="F2164" s="26"/>
      <c r="G2164" s="26"/>
      <c r="H2164" s="26"/>
      <c r="I2164" s="25"/>
      <c r="J2164" s="25"/>
      <c r="K2164" s="25"/>
      <c r="L2164" s="25"/>
      <c r="M2164" s="25"/>
      <c r="N2164" s="25"/>
      <c r="O2164" s="25"/>
      <c r="P2164" s="25"/>
    </row>
    <row r="2165" spans="1:16" x14ac:dyDescent="0.3">
      <c r="A2165" s="25"/>
      <c r="B2165" s="25"/>
      <c r="C2165" s="25"/>
      <c r="D2165" s="26"/>
      <c r="E2165" s="26"/>
      <c r="F2165" s="26"/>
      <c r="G2165" s="26"/>
      <c r="H2165" s="26"/>
      <c r="I2165" s="25"/>
      <c r="J2165" s="25"/>
      <c r="K2165" s="25"/>
      <c r="L2165" s="25"/>
      <c r="M2165" s="25"/>
      <c r="N2165" s="25"/>
      <c r="O2165" s="25"/>
      <c r="P2165" s="25"/>
    </row>
    <row r="2166" spans="1:16" x14ac:dyDescent="0.3">
      <c r="A2166" s="25"/>
      <c r="B2166" s="25"/>
      <c r="C2166" s="25"/>
      <c r="D2166" s="26"/>
      <c r="E2166" s="26"/>
      <c r="F2166" s="26"/>
      <c r="G2166" s="26"/>
      <c r="H2166" s="26"/>
      <c r="I2166" s="25"/>
      <c r="J2166" s="25"/>
      <c r="K2166" s="25"/>
      <c r="L2166" s="25"/>
      <c r="M2166" s="25"/>
      <c r="N2166" s="25"/>
      <c r="O2166" s="25"/>
      <c r="P2166" s="25"/>
    </row>
    <row r="2167" spans="1:16" x14ac:dyDescent="0.3">
      <c r="A2167" s="25"/>
      <c r="B2167" s="25"/>
      <c r="C2167" s="25"/>
      <c r="D2167" s="26"/>
      <c r="E2167" s="26"/>
      <c r="F2167" s="26"/>
      <c r="G2167" s="26"/>
      <c r="H2167" s="26"/>
      <c r="I2167" s="25"/>
      <c r="J2167" s="25"/>
      <c r="K2167" s="25"/>
      <c r="L2167" s="25"/>
      <c r="M2167" s="25"/>
      <c r="N2167" s="25"/>
      <c r="O2167" s="25"/>
      <c r="P2167" s="25"/>
    </row>
    <row r="2168" spans="1:16" x14ac:dyDescent="0.3">
      <c r="A2168" s="25"/>
      <c r="B2168" s="25"/>
      <c r="C2168" s="25"/>
      <c r="D2168" s="26"/>
      <c r="E2168" s="26"/>
      <c r="F2168" s="26"/>
      <c r="G2168" s="26"/>
      <c r="H2168" s="26"/>
      <c r="I2168" s="25"/>
      <c r="J2168" s="25"/>
      <c r="K2168" s="25"/>
      <c r="L2168" s="25"/>
      <c r="M2168" s="25"/>
      <c r="N2168" s="25"/>
      <c r="O2168" s="25"/>
      <c r="P2168" s="25"/>
    </row>
    <row r="2169" spans="1:16" x14ac:dyDescent="0.3">
      <c r="A2169" s="25"/>
      <c r="B2169" s="25"/>
      <c r="C2169" s="25"/>
      <c r="D2169" s="26"/>
      <c r="E2169" s="26"/>
      <c r="F2169" s="26"/>
      <c r="G2169" s="26"/>
      <c r="H2169" s="26"/>
      <c r="I2169" s="25"/>
      <c r="J2169" s="25"/>
      <c r="K2169" s="25"/>
      <c r="L2169" s="25"/>
      <c r="M2169" s="25"/>
      <c r="N2169" s="25"/>
      <c r="O2169" s="25"/>
      <c r="P2169" s="25"/>
    </row>
    <row r="2170" spans="1:16" x14ac:dyDescent="0.3">
      <c r="A2170" s="25"/>
      <c r="B2170" s="25"/>
      <c r="C2170" s="25"/>
      <c r="D2170" s="26"/>
      <c r="E2170" s="26"/>
      <c r="F2170" s="26"/>
      <c r="G2170" s="26"/>
      <c r="H2170" s="26"/>
      <c r="I2170" s="25"/>
      <c r="J2170" s="25"/>
      <c r="K2170" s="25"/>
      <c r="L2170" s="25"/>
      <c r="M2170" s="25"/>
      <c r="N2170" s="25"/>
      <c r="O2170" s="25"/>
      <c r="P2170" s="25"/>
    </row>
    <row r="2171" spans="1:16" x14ac:dyDescent="0.3">
      <c r="A2171" s="25"/>
      <c r="B2171" s="25"/>
      <c r="C2171" s="25"/>
      <c r="D2171" s="26"/>
      <c r="E2171" s="26"/>
      <c r="F2171" s="26"/>
      <c r="G2171" s="26"/>
      <c r="H2171" s="26"/>
      <c r="I2171" s="25"/>
      <c r="J2171" s="25"/>
      <c r="K2171" s="25"/>
      <c r="L2171" s="25"/>
      <c r="M2171" s="25"/>
      <c r="N2171" s="25"/>
      <c r="O2171" s="25"/>
      <c r="P2171" s="25"/>
    </row>
    <row r="2172" spans="1:16" x14ac:dyDescent="0.3">
      <c r="A2172" s="25"/>
      <c r="B2172" s="25"/>
      <c r="C2172" s="25"/>
      <c r="D2172" s="26"/>
      <c r="E2172" s="26"/>
      <c r="F2172" s="26"/>
      <c r="G2172" s="26"/>
      <c r="H2172" s="26"/>
      <c r="I2172" s="25"/>
      <c r="J2172" s="25"/>
      <c r="K2172" s="25"/>
      <c r="L2172" s="25"/>
      <c r="M2172" s="25"/>
      <c r="N2172" s="25"/>
      <c r="O2172" s="25"/>
      <c r="P2172" s="25"/>
    </row>
    <row r="2173" spans="1:16" x14ac:dyDescent="0.3">
      <c r="A2173" s="25"/>
      <c r="B2173" s="25"/>
      <c r="C2173" s="25"/>
      <c r="D2173" s="26"/>
      <c r="E2173" s="26"/>
      <c r="F2173" s="26"/>
      <c r="G2173" s="26"/>
      <c r="H2173" s="26"/>
      <c r="I2173" s="25"/>
      <c r="J2173" s="25"/>
      <c r="K2173" s="25"/>
      <c r="L2173" s="25"/>
      <c r="M2173" s="25"/>
      <c r="N2173" s="25"/>
      <c r="O2173" s="25"/>
      <c r="P2173" s="25"/>
    </row>
    <row r="2174" spans="1:16" x14ac:dyDescent="0.3">
      <c r="A2174" s="25"/>
      <c r="B2174" s="25"/>
      <c r="C2174" s="25"/>
      <c r="D2174" s="26"/>
      <c r="E2174" s="26"/>
      <c r="F2174" s="26"/>
      <c r="G2174" s="26"/>
      <c r="H2174" s="26"/>
      <c r="I2174" s="25"/>
      <c r="J2174" s="25"/>
      <c r="K2174" s="25"/>
      <c r="L2174" s="25"/>
      <c r="M2174" s="25"/>
      <c r="N2174" s="25"/>
      <c r="O2174" s="25"/>
      <c r="P2174" s="25"/>
    </row>
    <row r="2175" spans="1:16" x14ac:dyDescent="0.3">
      <c r="A2175" s="25"/>
      <c r="B2175" s="25"/>
      <c r="C2175" s="25"/>
      <c r="D2175" s="26"/>
      <c r="E2175" s="26"/>
      <c r="F2175" s="26"/>
      <c r="G2175" s="26"/>
      <c r="H2175" s="26"/>
      <c r="I2175" s="25"/>
      <c r="J2175" s="25"/>
      <c r="K2175" s="25"/>
      <c r="L2175" s="25"/>
      <c r="M2175" s="25"/>
      <c r="N2175" s="25"/>
      <c r="O2175" s="25"/>
      <c r="P2175" s="25"/>
    </row>
    <row r="2176" spans="1:16" x14ac:dyDescent="0.3">
      <c r="A2176" s="25"/>
      <c r="B2176" s="25"/>
      <c r="C2176" s="25"/>
      <c r="D2176" s="26"/>
      <c r="E2176" s="26"/>
      <c r="F2176" s="26"/>
      <c r="G2176" s="26"/>
      <c r="H2176" s="26"/>
      <c r="I2176" s="25"/>
      <c r="J2176" s="25"/>
      <c r="K2176" s="25"/>
      <c r="L2176" s="25"/>
      <c r="M2176" s="25"/>
      <c r="N2176" s="25"/>
      <c r="O2176" s="25"/>
      <c r="P2176" s="25"/>
    </row>
    <row r="2177" spans="1:16" x14ac:dyDescent="0.3">
      <c r="A2177" s="25"/>
      <c r="B2177" s="25"/>
      <c r="C2177" s="25"/>
      <c r="D2177" s="26"/>
      <c r="E2177" s="26"/>
      <c r="F2177" s="26"/>
      <c r="G2177" s="26"/>
      <c r="H2177" s="26"/>
      <c r="I2177" s="25"/>
      <c r="J2177" s="25"/>
      <c r="K2177" s="25"/>
      <c r="L2177" s="25"/>
      <c r="M2177" s="25"/>
      <c r="N2177" s="25"/>
      <c r="O2177" s="25"/>
      <c r="P2177" s="25"/>
    </row>
    <row r="2178" spans="1:16" x14ac:dyDescent="0.3">
      <c r="A2178" s="25"/>
      <c r="B2178" s="25"/>
      <c r="C2178" s="25"/>
      <c r="D2178" s="26"/>
      <c r="E2178" s="26"/>
      <c r="F2178" s="26"/>
      <c r="G2178" s="26"/>
      <c r="H2178" s="26"/>
      <c r="I2178" s="25"/>
      <c r="J2178" s="25"/>
      <c r="K2178" s="25"/>
      <c r="L2178" s="25"/>
      <c r="M2178" s="25"/>
      <c r="N2178" s="25"/>
      <c r="O2178" s="25"/>
      <c r="P2178" s="25"/>
    </row>
    <row r="2179" spans="1:16" x14ac:dyDescent="0.3">
      <c r="A2179" s="25"/>
      <c r="B2179" s="25"/>
      <c r="C2179" s="25"/>
      <c r="D2179" s="26"/>
      <c r="E2179" s="26"/>
      <c r="F2179" s="26"/>
      <c r="G2179" s="26"/>
      <c r="H2179" s="26"/>
      <c r="I2179" s="25"/>
      <c r="J2179" s="25"/>
      <c r="K2179" s="25"/>
      <c r="L2179" s="25"/>
      <c r="M2179" s="25"/>
      <c r="N2179" s="25"/>
      <c r="O2179" s="25"/>
      <c r="P2179" s="25"/>
    </row>
    <row r="2180" spans="1:16" x14ac:dyDescent="0.3">
      <c r="A2180" s="25"/>
      <c r="B2180" s="25"/>
      <c r="C2180" s="25"/>
      <c r="D2180" s="26"/>
      <c r="E2180" s="26"/>
      <c r="F2180" s="26"/>
      <c r="G2180" s="26"/>
      <c r="H2180" s="26"/>
      <c r="I2180" s="25"/>
      <c r="J2180" s="25"/>
      <c r="K2180" s="25"/>
      <c r="L2180" s="25"/>
      <c r="M2180" s="25"/>
      <c r="N2180" s="25"/>
      <c r="O2180" s="25"/>
      <c r="P2180" s="25"/>
    </row>
    <row r="2181" spans="1:16" x14ac:dyDescent="0.3">
      <c r="A2181" s="25"/>
      <c r="B2181" s="25"/>
      <c r="C2181" s="25"/>
      <c r="D2181" s="26"/>
      <c r="E2181" s="26"/>
      <c r="F2181" s="26"/>
      <c r="G2181" s="26"/>
      <c r="H2181" s="26"/>
      <c r="I2181" s="25"/>
      <c r="J2181" s="25"/>
      <c r="K2181" s="25"/>
      <c r="L2181" s="25"/>
      <c r="M2181" s="25"/>
      <c r="N2181" s="25"/>
      <c r="O2181" s="25"/>
      <c r="P2181" s="25"/>
    </row>
    <row r="2182" spans="1:16" x14ac:dyDescent="0.3">
      <c r="A2182" s="25"/>
      <c r="B2182" s="25"/>
      <c r="C2182" s="25"/>
      <c r="D2182" s="26"/>
      <c r="E2182" s="26"/>
      <c r="F2182" s="26"/>
      <c r="G2182" s="26"/>
      <c r="H2182" s="26"/>
      <c r="I2182" s="25"/>
      <c r="J2182" s="25"/>
      <c r="K2182" s="25"/>
      <c r="L2182" s="25"/>
      <c r="M2182" s="25"/>
      <c r="N2182" s="25"/>
      <c r="O2182" s="25"/>
      <c r="P2182" s="25"/>
    </row>
    <row r="2183" spans="1:16" x14ac:dyDescent="0.3">
      <c r="A2183" s="25"/>
      <c r="B2183" s="25"/>
      <c r="C2183" s="25"/>
      <c r="D2183" s="26"/>
      <c r="E2183" s="26"/>
      <c r="F2183" s="26"/>
      <c r="G2183" s="26"/>
      <c r="H2183" s="26"/>
      <c r="I2183" s="25"/>
      <c r="J2183" s="25"/>
      <c r="K2183" s="25"/>
      <c r="L2183" s="25"/>
      <c r="M2183" s="25"/>
      <c r="N2183" s="25"/>
      <c r="O2183" s="25"/>
      <c r="P2183" s="25"/>
    </row>
    <row r="2184" spans="1:16" x14ac:dyDescent="0.3">
      <c r="A2184" s="25"/>
      <c r="B2184" s="25"/>
      <c r="C2184" s="25"/>
      <c r="D2184" s="26"/>
      <c r="E2184" s="26"/>
      <c r="F2184" s="26"/>
      <c r="G2184" s="26"/>
      <c r="H2184" s="26"/>
      <c r="I2184" s="25"/>
      <c r="J2184" s="25"/>
      <c r="K2184" s="25"/>
      <c r="L2184" s="25"/>
      <c r="M2184" s="25"/>
      <c r="N2184" s="25"/>
      <c r="O2184" s="25"/>
      <c r="P2184" s="25"/>
    </row>
    <row r="2185" spans="1:16" x14ac:dyDescent="0.3">
      <c r="A2185" s="25"/>
      <c r="B2185" s="25"/>
      <c r="C2185" s="25"/>
      <c r="D2185" s="26"/>
      <c r="E2185" s="26"/>
      <c r="F2185" s="26"/>
      <c r="G2185" s="26"/>
      <c r="H2185" s="26"/>
      <c r="I2185" s="25"/>
      <c r="J2185" s="25"/>
      <c r="K2185" s="25"/>
      <c r="L2185" s="25"/>
      <c r="M2185" s="25"/>
      <c r="N2185" s="25"/>
      <c r="O2185" s="25"/>
      <c r="P2185" s="25"/>
    </row>
    <row r="2186" spans="1:16" x14ac:dyDescent="0.3">
      <c r="A2186" s="25"/>
      <c r="B2186" s="25"/>
      <c r="C2186" s="25"/>
      <c r="D2186" s="26"/>
      <c r="E2186" s="26"/>
      <c r="F2186" s="26"/>
      <c r="G2186" s="26"/>
      <c r="H2186" s="26"/>
      <c r="I2186" s="25"/>
      <c r="J2186" s="25"/>
      <c r="K2186" s="25"/>
      <c r="L2186" s="25"/>
      <c r="M2186" s="25"/>
      <c r="N2186" s="25"/>
      <c r="O2186" s="25"/>
      <c r="P2186" s="25"/>
    </row>
    <row r="2187" spans="1:16" x14ac:dyDescent="0.3">
      <c r="A2187" s="25"/>
      <c r="B2187" s="25"/>
      <c r="C2187" s="25"/>
      <c r="D2187" s="26"/>
      <c r="E2187" s="26"/>
      <c r="F2187" s="26"/>
      <c r="G2187" s="26"/>
      <c r="H2187" s="26"/>
      <c r="I2187" s="25"/>
      <c r="J2187" s="25"/>
      <c r="K2187" s="25"/>
      <c r="L2187" s="25"/>
      <c r="M2187" s="25"/>
      <c r="N2187" s="25"/>
      <c r="O2187" s="25"/>
      <c r="P2187" s="25"/>
    </row>
    <row r="2188" spans="1:16" x14ac:dyDescent="0.3">
      <c r="A2188" s="25"/>
      <c r="B2188" s="25"/>
      <c r="C2188" s="25"/>
      <c r="D2188" s="26"/>
      <c r="E2188" s="26"/>
      <c r="F2188" s="26"/>
      <c r="G2188" s="26"/>
      <c r="H2188" s="26"/>
      <c r="I2188" s="25"/>
      <c r="J2188" s="25"/>
      <c r="K2188" s="25"/>
      <c r="L2188" s="25"/>
      <c r="M2188" s="25"/>
      <c r="N2188" s="25"/>
      <c r="O2188" s="25"/>
      <c r="P2188" s="25"/>
    </row>
    <row r="2189" spans="1:16" x14ac:dyDescent="0.3">
      <c r="A2189" s="25"/>
      <c r="B2189" s="25"/>
      <c r="C2189" s="25"/>
      <c r="D2189" s="26"/>
      <c r="E2189" s="26"/>
      <c r="F2189" s="26"/>
      <c r="G2189" s="26"/>
      <c r="H2189" s="26"/>
      <c r="I2189" s="25"/>
      <c r="J2189" s="25"/>
      <c r="K2189" s="25"/>
      <c r="L2189" s="25"/>
      <c r="M2189" s="25"/>
      <c r="N2189" s="25"/>
      <c r="O2189" s="25"/>
      <c r="P2189" s="25"/>
    </row>
    <row r="2190" spans="1:16" x14ac:dyDescent="0.3">
      <c r="A2190" s="25"/>
      <c r="B2190" s="25"/>
      <c r="C2190" s="25"/>
      <c r="D2190" s="26"/>
      <c r="E2190" s="26"/>
      <c r="F2190" s="26"/>
      <c r="G2190" s="26"/>
      <c r="H2190" s="26"/>
      <c r="I2190" s="25"/>
      <c r="J2190" s="25"/>
      <c r="K2190" s="25"/>
      <c r="L2190" s="25"/>
      <c r="M2190" s="25"/>
      <c r="N2190" s="25"/>
      <c r="O2190" s="25"/>
      <c r="P2190" s="25"/>
    </row>
    <row r="2191" spans="1:16" x14ac:dyDescent="0.3">
      <c r="A2191" s="25"/>
      <c r="B2191" s="25"/>
      <c r="C2191" s="25"/>
      <c r="D2191" s="26"/>
      <c r="E2191" s="26"/>
      <c r="F2191" s="26"/>
      <c r="G2191" s="26"/>
      <c r="H2191" s="26"/>
      <c r="I2191" s="25"/>
      <c r="J2191" s="25"/>
      <c r="K2191" s="25"/>
      <c r="L2191" s="25"/>
      <c r="M2191" s="25"/>
      <c r="N2191" s="25"/>
      <c r="O2191" s="25"/>
      <c r="P2191" s="25"/>
    </row>
    <row r="2192" spans="1:16" x14ac:dyDescent="0.3">
      <c r="A2192" s="25"/>
      <c r="B2192" s="25"/>
      <c r="C2192" s="25"/>
      <c r="D2192" s="26"/>
      <c r="E2192" s="26"/>
      <c r="F2192" s="26"/>
      <c r="G2192" s="26"/>
      <c r="H2192" s="26"/>
      <c r="I2192" s="25"/>
      <c r="J2192" s="25"/>
      <c r="K2192" s="25"/>
      <c r="L2192" s="25"/>
      <c r="M2192" s="25"/>
      <c r="N2192" s="25"/>
      <c r="O2192" s="25"/>
      <c r="P2192" s="25"/>
    </row>
    <row r="2193" spans="1:16" x14ac:dyDescent="0.3">
      <c r="A2193" s="25"/>
      <c r="B2193" s="25"/>
      <c r="C2193" s="25"/>
      <c r="D2193" s="26"/>
      <c r="E2193" s="26"/>
      <c r="F2193" s="26"/>
      <c r="G2193" s="26"/>
      <c r="H2193" s="26"/>
      <c r="I2193" s="25"/>
      <c r="J2193" s="25"/>
      <c r="K2193" s="25"/>
      <c r="L2193" s="25"/>
      <c r="M2193" s="25"/>
      <c r="N2193" s="25"/>
      <c r="O2193" s="25"/>
      <c r="P2193" s="25"/>
    </row>
    <row r="2194" spans="1:16" x14ac:dyDescent="0.3">
      <c r="A2194" s="25"/>
      <c r="B2194" s="25"/>
      <c r="C2194" s="25"/>
      <c r="D2194" s="26"/>
      <c r="E2194" s="26"/>
      <c r="F2194" s="26"/>
      <c r="G2194" s="26"/>
      <c r="H2194" s="26"/>
      <c r="I2194" s="25"/>
      <c r="J2194" s="25"/>
      <c r="K2194" s="25"/>
      <c r="L2194" s="25"/>
      <c r="M2194" s="25"/>
      <c r="N2194" s="25"/>
      <c r="O2194" s="25"/>
      <c r="P2194" s="25"/>
    </row>
    <row r="2195" spans="1:16" x14ac:dyDescent="0.3">
      <c r="A2195" s="25"/>
      <c r="B2195" s="25"/>
      <c r="C2195" s="25"/>
      <c r="D2195" s="26"/>
      <c r="E2195" s="26"/>
      <c r="F2195" s="26"/>
      <c r="G2195" s="26"/>
      <c r="H2195" s="26"/>
      <c r="I2195" s="25"/>
      <c r="J2195" s="25"/>
      <c r="K2195" s="25"/>
      <c r="L2195" s="25"/>
      <c r="M2195" s="25"/>
      <c r="N2195" s="25"/>
      <c r="O2195" s="25"/>
      <c r="P2195" s="25"/>
    </row>
    <row r="2196" spans="1:16" x14ac:dyDescent="0.3">
      <c r="A2196" s="25"/>
      <c r="B2196" s="25"/>
      <c r="C2196" s="25"/>
      <c r="D2196" s="26"/>
      <c r="E2196" s="26"/>
      <c r="F2196" s="26"/>
      <c r="G2196" s="26"/>
      <c r="H2196" s="26"/>
      <c r="I2196" s="25"/>
      <c r="J2196" s="25"/>
      <c r="K2196" s="25"/>
      <c r="L2196" s="25"/>
      <c r="M2196" s="25"/>
      <c r="N2196" s="25"/>
      <c r="O2196" s="25"/>
      <c r="P2196" s="25"/>
    </row>
    <row r="2197" spans="1:16" x14ac:dyDescent="0.3">
      <c r="A2197" s="25"/>
      <c r="B2197" s="25"/>
      <c r="C2197" s="25"/>
      <c r="D2197" s="26"/>
      <c r="E2197" s="26"/>
      <c r="F2197" s="26"/>
      <c r="G2197" s="26"/>
      <c r="H2197" s="26"/>
      <c r="I2197" s="25"/>
      <c r="J2197" s="25"/>
      <c r="K2197" s="25"/>
      <c r="L2197" s="25"/>
      <c r="M2197" s="25"/>
      <c r="N2197" s="25"/>
      <c r="O2197" s="25"/>
      <c r="P2197" s="25"/>
    </row>
    <row r="2198" spans="1:16" x14ac:dyDescent="0.3">
      <c r="A2198" s="25"/>
      <c r="B2198" s="25"/>
      <c r="C2198" s="25"/>
      <c r="D2198" s="26"/>
      <c r="E2198" s="26"/>
      <c r="F2198" s="26"/>
      <c r="G2198" s="26"/>
      <c r="H2198" s="26"/>
      <c r="I2198" s="25"/>
      <c r="J2198" s="25"/>
      <c r="K2198" s="25"/>
      <c r="L2198" s="25"/>
      <c r="M2198" s="25"/>
      <c r="N2198" s="25"/>
      <c r="O2198" s="25"/>
      <c r="P2198" s="25"/>
    </row>
    <row r="2199" spans="1:16" x14ac:dyDescent="0.3">
      <c r="A2199" s="25"/>
      <c r="B2199" s="25"/>
      <c r="C2199" s="25"/>
      <c r="D2199" s="26"/>
      <c r="E2199" s="26"/>
      <c r="F2199" s="26"/>
      <c r="G2199" s="26"/>
      <c r="H2199" s="26"/>
      <c r="I2199" s="25"/>
      <c r="J2199" s="25"/>
      <c r="K2199" s="25"/>
      <c r="L2199" s="25"/>
      <c r="M2199" s="25"/>
      <c r="N2199" s="25"/>
      <c r="O2199" s="25"/>
      <c r="P2199" s="25"/>
    </row>
    <row r="2200" spans="1:16" x14ac:dyDescent="0.3">
      <c r="A2200" s="25"/>
      <c r="B2200" s="25"/>
      <c r="C2200" s="25"/>
      <c r="D2200" s="26"/>
      <c r="E2200" s="26"/>
      <c r="F2200" s="26"/>
      <c r="G2200" s="26"/>
      <c r="H2200" s="26"/>
      <c r="I2200" s="25"/>
      <c r="J2200" s="25"/>
      <c r="K2200" s="25"/>
      <c r="L2200" s="25"/>
      <c r="M2200" s="25"/>
      <c r="N2200" s="25"/>
      <c r="O2200" s="25"/>
      <c r="P2200" s="25"/>
    </row>
    <row r="2201" spans="1:16" x14ac:dyDescent="0.3">
      <c r="A2201" s="25"/>
      <c r="B2201" s="25"/>
      <c r="C2201" s="25"/>
      <c r="D2201" s="26"/>
      <c r="E2201" s="26"/>
      <c r="F2201" s="26"/>
      <c r="G2201" s="26"/>
      <c r="H2201" s="26"/>
      <c r="I2201" s="25"/>
      <c r="J2201" s="25"/>
      <c r="K2201" s="25"/>
      <c r="L2201" s="25"/>
      <c r="M2201" s="25"/>
      <c r="N2201" s="25"/>
      <c r="O2201" s="25"/>
      <c r="P2201" s="25"/>
    </row>
    <row r="2202" spans="1:16" x14ac:dyDescent="0.3">
      <c r="A2202" s="25"/>
      <c r="B2202" s="25"/>
      <c r="C2202" s="25"/>
      <c r="D2202" s="26"/>
      <c r="E2202" s="26"/>
      <c r="F2202" s="26"/>
      <c r="G2202" s="26"/>
      <c r="H2202" s="26"/>
      <c r="I2202" s="25"/>
      <c r="J2202" s="25"/>
      <c r="K2202" s="25"/>
      <c r="L2202" s="25"/>
      <c r="M2202" s="25"/>
      <c r="N2202" s="25"/>
      <c r="O2202" s="25"/>
      <c r="P2202" s="25"/>
    </row>
    <row r="2203" spans="1:16" x14ac:dyDescent="0.3">
      <c r="A2203" s="25"/>
      <c r="B2203" s="25"/>
      <c r="C2203" s="25"/>
      <c r="D2203" s="26"/>
      <c r="E2203" s="26"/>
      <c r="F2203" s="26"/>
      <c r="G2203" s="26"/>
      <c r="H2203" s="26"/>
      <c r="I2203" s="25"/>
      <c r="J2203" s="25"/>
      <c r="K2203" s="25"/>
      <c r="L2203" s="25"/>
      <c r="M2203" s="25"/>
      <c r="N2203" s="25"/>
      <c r="O2203" s="25"/>
      <c r="P2203" s="25"/>
    </row>
    <row r="2204" spans="1:16" x14ac:dyDescent="0.3">
      <c r="A2204" s="25"/>
      <c r="B2204" s="25"/>
      <c r="C2204" s="25"/>
      <c r="D2204" s="26"/>
      <c r="E2204" s="26"/>
      <c r="F2204" s="26"/>
      <c r="G2204" s="26"/>
      <c r="H2204" s="26"/>
      <c r="I2204" s="25"/>
      <c r="J2204" s="25"/>
      <c r="K2204" s="25"/>
      <c r="L2204" s="25"/>
      <c r="M2204" s="25"/>
      <c r="N2204" s="25"/>
      <c r="O2204" s="25"/>
      <c r="P2204" s="25"/>
    </row>
    <row r="2205" spans="1:16" x14ac:dyDescent="0.3">
      <c r="A2205" s="25"/>
      <c r="B2205" s="25"/>
      <c r="C2205" s="25"/>
      <c r="D2205" s="26"/>
      <c r="E2205" s="26"/>
      <c r="F2205" s="26"/>
      <c r="G2205" s="26"/>
      <c r="H2205" s="26"/>
      <c r="I2205" s="25"/>
      <c r="J2205" s="25"/>
      <c r="K2205" s="25"/>
      <c r="L2205" s="25"/>
      <c r="M2205" s="25"/>
      <c r="N2205" s="25"/>
      <c r="O2205" s="25"/>
      <c r="P2205" s="25"/>
    </row>
    <row r="2206" spans="1:16" x14ac:dyDescent="0.3">
      <c r="A2206" s="25"/>
      <c r="B2206" s="25"/>
      <c r="C2206" s="25"/>
      <c r="D2206" s="26"/>
      <c r="E2206" s="26"/>
      <c r="F2206" s="26"/>
      <c r="G2206" s="26"/>
      <c r="H2206" s="26"/>
      <c r="I2206" s="25"/>
      <c r="J2206" s="25"/>
      <c r="K2206" s="25"/>
      <c r="L2206" s="25"/>
      <c r="M2206" s="25"/>
      <c r="N2206" s="25"/>
      <c r="O2206" s="25"/>
      <c r="P2206" s="25"/>
    </row>
    <row r="2207" spans="1:16" x14ac:dyDescent="0.3">
      <c r="A2207" s="25"/>
      <c r="B2207" s="25"/>
      <c r="C2207" s="25"/>
      <c r="D2207" s="26"/>
      <c r="E2207" s="26"/>
      <c r="F2207" s="26"/>
      <c r="G2207" s="26"/>
      <c r="H2207" s="26"/>
      <c r="I2207" s="25"/>
      <c r="J2207" s="25"/>
      <c r="K2207" s="25"/>
      <c r="L2207" s="25"/>
      <c r="M2207" s="25"/>
      <c r="N2207" s="25"/>
      <c r="O2207" s="25"/>
      <c r="P2207" s="25"/>
    </row>
    <row r="2208" spans="1:16" x14ac:dyDescent="0.3">
      <c r="A2208" s="25"/>
      <c r="B2208" s="25"/>
      <c r="C2208" s="25"/>
      <c r="D2208" s="26"/>
      <c r="E2208" s="26"/>
      <c r="F2208" s="26"/>
      <c r="G2208" s="26"/>
      <c r="H2208" s="26"/>
      <c r="I2208" s="25"/>
      <c r="J2208" s="25"/>
      <c r="K2208" s="25"/>
      <c r="L2208" s="25"/>
      <c r="M2208" s="25"/>
      <c r="N2208" s="25"/>
      <c r="O2208" s="25"/>
      <c r="P2208" s="25"/>
    </row>
    <row r="2209" spans="1:16" x14ac:dyDescent="0.3">
      <c r="A2209" s="25"/>
      <c r="B2209" s="25"/>
      <c r="C2209" s="25"/>
      <c r="D2209" s="26"/>
      <c r="E2209" s="26"/>
      <c r="F2209" s="26"/>
      <c r="G2209" s="26"/>
      <c r="H2209" s="26"/>
      <c r="I2209" s="25"/>
      <c r="J2209" s="25"/>
      <c r="K2209" s="25"/>
      <c r="L2209" s="25"/>
      <c r="M2209" s="25"/>
      <c r="N2209" s="25"/>
      <c r="O2209" s="25"/>
      <c r="P2209" s="25"/>
    </row>
    <row r="2210" spans="1:16" x14ac:dyDescent="0.3">
      <c r="A2210" s="25"/>
      <c r="B2210" s="25"/>
      <c r="C2210" s="25"/>
      <c r="D2210" s="26"/>
      <c r="E2210" s="26"/>
      <c r="F2210" s="26"/>
      <c r="G2210" s="26"/>
      <c r="H2210" s="26"/>
      <c r="I2210" s="25"/>
      <c r="J2210" s="25"/>
      <c r="K2210" s="25"/>
      <c r="L2210" s="25"/>
      <c r="M2210" s="25"/>
      <c r="N2210" s="25"/>
      <c r="O2210" s="25"/>
      <c r="P2210" s="25"/>
    </row>
    <row r="2211" spans="1:16" x14ac:dyDescent="0.3">
      <c r="A2211" s="25"/>
      <c r="B2211" s="25"/>
      <c r="C2211" s="25"/>
      <c r="D2211" s="26"/>
      <c r="E2211" s="26"/>
      <c r="F2211" s="26"/>
      <c r="G2211" s="26"/>
      <c r="H2211" s="26"/>
      <c r="I2211" s="25"/>
      <c r="J2211" s="25"/>
      <c r="K2211" s="25"/>
      <c r="L2211" s="25"/>
      <c r="M2211" s="25"/>
      <c r="N2211" s="25"/>
      <c r="O2211" s="25"/>
      <c r="P2211" s="25"/>
    </row>
    <row r="2212" spans="1:16" x14ac:dyDescent="0.3">
      <c r="A2212" s="25"/>
      <c r="B2212" s="25"/>
      <c r="C2212" s="25"/>
      <c r="D2212" s="26"/>
      <c r="E2212" s="26"/>
      <c r="F2212" s="26"/>
      <c r="G2212" s="26"/>
      <c r="H2212" s="26"/>
      <c r="I2212" s="25"/>
      <c r="J2212" s="25"/>
      <c r="K2212" s="25"/>
      <c r="L2212" s="25"/>
      <c r="M2212" s="25"/>
      <c r="N2212" s="25"/>
      <c r="O2212" s="25"/>
      <c r="P2212" s="25"/>
    </row>
    <row r="2213" spans="1:16" x14ac:dyDescent="0.3">
      <c r="A2213" s="25"/>
      <c r="B2213" s="25"/>
      <c r="C2213" s="25"/>
      <c r="D2213" s="26"/>
      <c r="E2213" s="26"/>
      <c r="F2213" s="26"/>
      <c r="G2213" s="26"/>
      <c r="H2213" s="26"/>
      <c r="I2213" s="25"/>
      <c r="J2213" s="25"/>
      <c r="K2213" s="25"/>
      <c r="L2213" s="25"/>
      <c r="M2213" s="25"/>
      <c r="N2213" s="25"/>
      <c r="O2213" s="25"/>
      <c r="P2213" s="25"/>
    </row>
    <row r="2214" spans="1:16" x14ac:dyDescent="0.3">
      <c r="A2214" s="25"/>
      <c r="B2214" s="25"/>
      <c r="C2214" s="25"/>
      <c r="D2214" s="26"/>
      <c r="E2214" s="26"/>
      <c r="F2214" s="26"/>
      <c r="G2214" s="26"/>
      <c r="H2214" s="26"/>
      <c r="I2214" s="25"/>
      <c r="J2214" s="25"/>
      <c r="K2214" s="25"/>
      <c r="L2214" s="25"/>
      <c r="M2214" s="25"/>
      <c r="N2214" s="25"/>
      <c r="O2214" s="25"/>
      <c r="P2214" s="25"/>
    </row>
    <row r="2215" spans="1:16" x14ac:dyDescent="0.3">
      <c r="A2215" s="25"/>
      <c r="B2215" s="25"/>
      <c r="C2215" s="25"/>
      <c r="D2215" s="26"/>
      <c r="E2215" s="26"/>
      <c r="F2215" s="26"/>
      <c r="G2215" s="26"/>
      <c r="H2215" s="26"/>
      <c r="I2215" s="25"/>
      <c r="J2215" s="25"/>
      <c r="K2215" s="25"/>
      <c r="L2215" s="25"/>
      <c r="M2215" s="25"/>
      <c r="N2215" s="25"/>
      <c r="O2215" s="25"/>
      <c r="P2215" s="25"/>
    </row>
    <row r="2216" spans="1:16" x14ac:dyDescent="0.3">
      <c r="A2216" s="25"/>
      <c r="B2216" s="25"/>
      <c r="C2216" s="25"/>
      <c r="D2216" s="26"/>
      <c r="E2216" s="26"/>
      <c r="F2216" s="26"/>
      <c r="G2216" s="26"/>
      <c r="H2216" s="26"/>
      <c r="I2216" s="25"/>
      <c r="J2216" s="25"/>
      <c r="K2216" s="25"/>
      <c r="L2216" s="25"/>
      <c r="M2216" s="25"/>
      <c r="N2216" s="25"/>
      <c r="O2216" s="25"/>
      <c r="P2216" s="25"/>
    </row>
    <row r="2217" spans="1:16" x14ac:dyDescent="0.3">
      <c r="A2217" s="25"/>
      <c r="B2217" s="25"/>
      <c r="C2217" s="25"/>
      <c r="D2217" s="26"/>
      <c r="E2217" s="26"/>
      <c r="F2217" s="26"/>
      <c r="G2217" s="26"/>
      <c r="H2217" s="26"/>
      <c r="I2217" s="25"/>
      <c r="J2217" s="25"/>
      <c r="K2217" s="25"/>
      <c r="L2217" s="25"/>
      <c r="M2217" s="25"/>
      <c r="N2217" s="25"/>
      <c r="O2217" s="25"/>
      <c r="P2217" s="25"/>
    </row>
    <row r="2218" spans="1:16" x14ac:dyDescent="0.3">
      <c r="A2218" s="25"/>
      <c r="B2218" s="25"/>
      <c r="C2218" s="25"/>
      <c r="D2218" s="26"/>
      <c r="E2218" s="26"/>
      <c r="F2218" s="26"/>
      <c r="G2218" s="26"/>
      <c r="H2218" s="26"/>
      <c r="I2218" s="25"/>
      <c r="J2218" s="25"/>
      <c r="K2218" s="25"/>
      <c r="L2218" s="25"/>
      <c r="M2218" s="25"/>
      <c r="N2218" s="25"/>
      <c r="O2218" s="25"/>
      <c r="P2218" s="25"/>
    </row>
    <row r="2219" spans="1:16" x14ac:dyDescent="0.3">
      <c r="A2219" s="25"/>
      <c r="B2219" s="25"/>
      <c r="C2219" s="25"/>
      <c r="D2219" s="26"/>
      <c r="E2219" s="26"/>
      <c r="F2219" s="26"/>
      <c r="G2219" s="26"/>
      <c r="H2219" s="26"/>
      <c r="I2219" s="25"/>
      <c r="J2219" s="25"/>
      <c r="K2219" s="25"/>
      <c r="L2219" s="25"/>
      <c r="M2219" s="25"/>
      <c r="N2219" s="25"/>
      <c r="O2219" s="25"/>
      <c r="P2219" s="25"/>
    </row>
    <row r="2220" spans="1:16" x14ac:dyDescent="0.3">
      <c r="A2220" s="25"/>
      <c r="B2220" s="25"/>
      <c r="C2220" s="25"/>
      <c r="D2220" s="26"/>
      <c r="E2220" s="26"/>
      <c r="F2220" s="26"/>
      <c r="G2220" s="26"/>
      <c r="H2220" s="26"/>
      <c r="I2220" s="25"/>
      <c r="J2220" s="25"/>
      <c r="K2220" s="25"/>
      <c r="L2220" s="25"/>
      <c r="M2220" s="25"/>
      <c r="N2220" s="25"/>
      <c r="O2220" s="25"/>
      <c r="P2220" s="25"/>
    </row>
    <row r="2221" spans="1:16" x14ac:dyDescent="0.3">
      <c r="A2221" s="25"/>
      <c r="B2221" s="25"/>
      <c r="C2221" s="25"/>
      <c r="D2221" s="26"/>
      <c r="E2221" s="26"/>
      <c r="F2221" s="26"/>
      <c r="G2221" s="26"/>
      <c r="H2221" s="26"/>
      <c r="I2221" s="25"/>
      <c r="J2221" s="25"/>
      <c r="K2221" s="25"/>
      <c r="L2221" s="25"/>
      <c r="M2221" s="25"/>
      <c r="N2221" s="25"/>
      <c r="O2221" s="25"/>
      <c r="P2221" s="25"/>
    </row>
    <row r="2222" spans="1:16" x14ac:dyDescent="0.3">
      <c r="A2222" s="25"/>
      <c r="B2222" s="25"/>
      <c r="C2222" s="25"/>
      <c r="D2222" s="26"/>
      <c r="E2222" s="26"/>
      <c r="F2222" s="26"/>
      <c r="G2222" s="26"/>
      <c r="H2222" s="26"/>
      <c r="I2222" s="25"/>
      <c r="J2222" s="25"/>
      <c r="K2222" s="25"/>
      <c r="L2222" s="25"/>
      <c r="M2222" s="25"/>
      <c r="N2222" s="25"/>
      <c r="O2222" s="25"/>
      <c r="P2222" s="25"/>
    </row>
    <row r="2223" spans="1:16" x14ac:dyDescent="0.3">
      <c r="A2223" s="25"/>
      <c r="B2223" s="25"/>
      <c r="C2223" s="25"/>
      <c r="D2223" s="26"/>
      <c r="E2223" s="26"/>
      <c r="F2223" s="26"/>
      <c r="G2223" s="26"/>
      <c r="H2223" s="26"/>
      <c r="I2223" s="25"/>
      <c r="J2223" s="25"/>
      <c r="K2223" s="25"/>
      <c r="L2223" s="25"/>
      <c r="M2223" s="25"/>
      <c r="N2223" s="25"/>
      <c r="O2223" s="25"/>
      <c r="P2223" s="25"/>
    </row>
    <row r="2224" spans="1:16" x14ac:dyDescent="0.3">
      <c r="A2224" s="25"/>
      <c r="B2224" s="25"/>
      <c r="C2224" s="25"/>
      <c r="D2224" s="26"/>
      <c r="E2224" s="26"/>
      <c r="F2224" s="26"/>
      <c r="G2224" s="26"/>
      <c r="H2224" s="26"/>
      <c r="I2224" s="25"/>
      <c r="J2224" s="25"/>
      <c r="K2224" s="25"/>
      <c r="L2224" s="25"/>
      <c r="M2224" s="25"/>
      <c r="N2224" s="25"/>
      <c r="O2224" s="25"/>
      <c r="P2224" s="25"/>
    </row>
    <row r="2225" spans="1:16" x14ac:dyDescent="0.3">
      <c r="A2225" s="25"/>
      <c r="B2225" s="25"/>
      <c r="C2225" s="25"/>
      <c r="D2225" s="26"/>
      <c r="E2225" s="26"/>
      <c r="F2225" s="26"/>
      <c r="G2225" s="26"/>
      <c r="H2225" s="26"/>
      <c r="I2225" s="25"/>
      <c r="J2225" s="25"/>
      <c r="K2225" s="25"/>
      <c r="L2225" s="25"/>
      <c r="M2225" s="25"/>
      <c r="N2225" s="25"/>
      <c r="O2225" s="25"/>
      <c r="P2225" s="25"/>
    </row>
    <row r="2226" spans="1:16" x14ac:dyDescent="0.3">
      <c r="A2226" s="25"/>
      <c r="B2226" s="25"/>
      <c r="C2226" s="25"/>
      <c r="D2226" s="26"/>
      <c r="E2226" s="26"/>
      <c r="F2226" s="26"/>
      <c r="G2226" s="26"/>
      <c r="H2226" s="26"/>
      <c r="I2226" s="25"/>
      <c r="J2226" s="25"/>
      <c r="K2226" s="25"/>
      <c r="L2226" s="25"/>
      <c r="M2226" s="25"/>
      <c r="N2226" s="25"/>
      <c r="O2226" s="25"/>
      <c r="P2226" s="25"/>
    </row>
    <row r="2227" spans="1:16" x14ac:dyDescent="0.3">
      <c r="A2227" s="25"/>
      <c r="B2227" s="25"/>
      <c r="C2227" s="25"/>
      <c r="D2227" s="26"/>
      <c r="E2227" s="26"/>
      <c r="F2227" s="26"/>
      <c r="G2227" s="26"/>
      <c r="H2227" s="26"/>
      <c r="I2227" s="25"/>
      <c r="J2227" s="25"/>
      <c r="K2227" s="25"/>
      <c r="L2227" s="25"/>
      <c r="M2227" s="25"/>
      <c r="N2227" s="25"/>
      <c r="O2227" s="25"/>
      <c r="P2227" s="25"/>
    </row>
    <row r="2228" spans="1:16" x14ac:dyDescent="0.3">
      <c r="A2228" s="25"/>
      <c r="B2228" s="25"/>
      <c r="C2228" s="25"/>
      <c r="D2228" s="26"/>
      <c r="E2228" s="26"/>
      <c r="F2228" s="26"/>
      <c r="G2228" s="26"/>
      <c r="H2228" s="26"/>
      <c r="I2228" s="25"/>
      <c r="J2228" s="25"/>
      <c r="K2228" s="25"/>
      <c r="L2228" s="25"/>
      <c r="M2228" s="25"/>
      <c r="N2228" s="25"/>
      <c r="O2228" s="25"/>
      <c r="P2228" s="25"/>
    </row>
    <row r="2229" spans="1:16" x14ac:dyDescent="0.3">
      <c r="A2229" s="25"/>
      <c r="B2229" s="25"/>
      <c r="C2229" s="25"/>
      <c r="D2229" s="26"/>
      <c r="E2229" s="26"/>
      <c r="F2229" s="26"/>
      <c r="G2229" s="26"/>
      <c r="H2229" s="26"/>
      <c r="I2229" s="25"/>
      <c r="J2229" s="25"/>
      <c r="K2229" s="25"/>
      <c r="L2229" s="25"/>
      <c r="M2229" s="25"/>
      <c r="N2229" s="25"/>
      <c r="O2229" s="25"/>
      <c r="P2229" s="25"/>
    </row>
    <row r="2230" spans="1:16" x14ac:dyDescent="0.3">
      <c r="A2230" s="25"/>
      <c r="B2230" s="25"/>
      <c r="C2230" s="25"/>
      <c r="D2230" s="26"/>
      <c r="E2230" s="26"/>
      <c r="F2230" s="26"/>
      <c r="G2230" s="26"/>
      <c r="H2230" s="26"/>
      <c r="I2230" s="25"/>
      <c r="J2230" s="25"/>
      <c r="K2230" s="25"/>
      <c r="L2230" s="25"/>
      <c r="M2230" s="25"/>
      <c r="N2230" s="25"/>
      <c r="O2230" s="25"/>
      <c r="P2230" s="25"/>
    </row>
    <row r="2231" spans="1:16" x14ac:dyDescent="0.3">
      <c r="A2231" s="25"/>
      <c r="B2231" s="25"/>
      <c r="C2231" s="25"/>
      <c r="D2231" s="26"/>
      <c r="E2231" s="26"/>
      <c r="F2231" s="26"/>
      <c r="G2231" s="26"/>
      <c r="H2231" s="26"/>
      <c r="I2231" s="25"/>
      <c r="J2231" s="25"/>
      <c r="K2231" s="25"/>
      <c r="L2231" s="25"/>
      <c r="M2231" s="25"/>
      <c r="N2231" s="25"/>
      <c r="O2231" s="25"/>
      <c r="P2231" s="25"/>
    </row>
    <row r="2232" spans="1:16" x14ac:dyDescent="0.3">
      <c r="A2232" s="25"/>
      <c r="B2232" s="25"/>
      <c r="C2232" s="25"/>
      <c r="D2232" s="26"/>
      <c r="E2232" s="26"/>
      <c r="F2232" s="26"/>
      <c r="G2232" s="26"/>
      <c r="H2232" s="26"/>
      <c r="I2232" s="25"/>
      <c r="J2232" s="25"/>
      <c r="K2232" s="25"/>
      <c r="L2232" s="25"/>
      <c r="M2232" s="25"/>
      <c r="N2232" s="25"/>
      <c r="O2232" s="25"/>
      <c r="P2232" s="25"/>
    </row>
    <row r="2233" spans="1:16" x14ac:dyDescent="0.3">
      <c r="A2233" s="25"/>
      <c r="B2233" s="25"/>
      <c r="C2233" s="25"/>
      <c r="D2233" s="26"/>
      <c r="E2233" s="26"/>
      <c r="F2233" s="26"/>
      <c r="G2233" s="26"/>
      <c r="H2233" s="26"/>
      <c r="I2233" s="25"/>
      <c r="J2233" s="25"/>
      <c r="K2233" s="25"/>
      <c r="L2233" s="25"/>
      <c r="M2233" s="25"/>
      <c r="N2233" s="25"/>
      <c r="O2233" s="25"/>
      <c r="P2233" s="25"/>
    </row>
    <row r="2234" spans="1:16" x14ac:dyDescent="0.3">
      <c r="A2234" s="25"/>
      <c r="B2234" s="25"/>
      <c r="C2234" s="25"/>
      <c r="D2234" s="26"/>
      <c r="E2234" s="26"/>
      <c r="F2234" s="26"/>
      <c r="G2234" s="26"/>
      <c r="H2234" s="26"/>
      <c r="I2234" s="25"/>
      <c r="J2234" s="25"/>
      <c r="K2234" s="25"/>
      <c r="L2234" s="25"/>
      <c r="M2234" s="25"/>
      <c r="N2234" s="25"/>
      <c r="O2234" s="25"/>
      <c r="P2234" s="25"/>
    </row>
    <row r="2235" spans="1:16" x14ac:dyDescent="0.3">
      <c r="A2235" s="25"/>
      <c r="B2235" s="25"/>
      <c r="C2235" s="25"/>
      <c r="D2235" s="26"/>
      <c r="E2235" s="26"/>
      <c r="F2235" s="26"/>
      <c r="G2235" s="26"/>
      <c r="H2235" s="26"/>
      <c r="I2235" s="25"/>
      <c r="J2235" s="25"/>
      <c r="K2235" s="25"/>
      <c r="L2235" s="25"/>
      <c r="M2235" s="25"/>
      <c r="N2235" s="25"/>
      <c r="O2235" s="25"/>
      <c r="P2235" s="25"/>
    </row>
    <row r="2236" spans="1:16" x14ac:dyDescent="0.3">
      <c r="A2236" s="25"/>
      <c r="B2236" s="25"/>
      <c r="C2236" s="25"/>
      <c r="D2236" s="26"/>
      <c r="E2236" s="26"/>
      <c r="F2236" s="26"/>
      <c r="G2236" s="26"/>
      <c r="H2236" s="26"/>
      <c r="I2236" s="25"/>
      <c r="J2236" s="25"/>
      <c r="K2236" s="25"/>
      <c r="L2236" s="25"/>
      <c r="M2236" s="25"/>
      <c r="N2236" s="25"/>
      <c r="O2236" s="25"/>
      <c r="P2236" s="25"/>
    </row>
    <row r="2237" spans="1:16" x14ac:dyDescent="0.3">
      <c r="A2237" s="25"/>
      <c r="B2237" s="25"/>
      <c r="C2237" s="25"/>
      <c r="D2237" s="26"/>
      <c r="E2237" s="26"/>
      <c r="F2237" s="26"/>
      <c r="G2237" s="26"/>
      <c r="H2237" s="26"/>
      <c r="I2237" s="25"/>
      <c r="J2237" s="25"/>
      <c r="K2237" s="25"/>
      <c r="L2237" s="25"/>
      <c r="M2237" s="25"/>
      <c r="N2237" s="25"/>
      <c r="O2237" s="25"/>
      <c r="P2237" s="25"/>
    </row>
    <row r="2238" spans="1:16" x14ac:dyDescent="0.3">
      <c r="A2238" s="25"/>
      <c r="B2238" s="25"/>
      <c r="C2238" s="25"/>
      <c r="D2238" s="26"/>
      <c r="E2238" s="26"/>
      <c r="F2238" s="26"/>
      <c r="G2238" s="26"/>
      <c r="H2238" s="26"/>
      <c r="I2238" s="25"/>
      <c r="J2238" s="25"/>
      <c r="K2238" s="25"/>
      <c r="L2238" s="25"/>
      <c r="M2238" s="25"/>
      <c r="N2238" s="25"/>
      <c r="O2238" s="25"/>
      <c r="P2238" s="25"/>
    </row>
    <row r="2239" spans="1:16" x14ac:dyDescent="0.3">
      <c r="A2239" s="25"/>
      <c r="B2239" s="25"/>
      <c r="C2239" s="25"/>
      <c r="D2239" s="26"/>
      <c r="E2239" s="26"/>
      <c r="F2239" s="26"/>
      <c r="G2239" s="26"/>
      <c r="H2239" s="26"/>
      <c r="I2239" s="25"/>
      <c r="J2239" s="25"/>
      <c r="K2239" s="25"/>
      <c r="L2239" s="25"/>
      <c r="M2239" s="25"/>
      <c r="N2239" s="25"/>
      <c r="O2239" s="25"/>
      <c r="P2239" s="25"/>
    </row>
    <row r="2240" spans="1:16" x14ac:dyDescent="0.3">
      <c r="A2240" s="25"/>
      <c r="B2240" s="25"/>
      <c r="C2240" s="25"/>
      <c r="D2240" s="26"/>
      <c r="E2240" s="26"/>
      <c r="F2240" s="26"/>
      <c r="G2240" s="26"/>
      <c r="H2240" s="26"/>
      <c r="I2240" s="25"/>
      <c r="J2240" s="25"/>
      <c r="K2240" s="25"/>
      <c r="L2240" s="25"/>
      <c r="M2240" s="25"/>
      <c r="N2240" s="25"/>
      <c r="O2240" s="25"/>
      <c r="P2240" s="25"/>
    </row>
    <row r="2241" spans="1:16" x14ac:dyDescent="0.3">
      <c r="A2241" s="25"/>
      <c r="B2241" s="25"/>
      <c r="C2241" s="25"/>
      <c r="D2241" s="26"/>
      <c r="E2241" s="26"/>
      <c r="F2241" s="26"/>
      <c r="G2241" s="26"/>
      <c r="H2241" s="26"/>
      <c r="I2241" s="25"/>
      <c r="J2241" s="25"/>
      <c r="K2241" s="25"/>
      <c r="L2241" s="25"/>
      <c r="M2241" s="25"/>
      <c r="N2241" s="25"/>
      <c r="O2241" s="25"/>
      <c r="P2241" s="25"/>
    </row>
    <row r="2242" spans="1:16" x14ac:dyDescent="0.3">
      <c r="A2242" s="25"/>
      <c r="B2242" s="25"/>
      <c r="C2242" s="25"/>
      <c r="D2242" s="26"/>
      <c r="E2242" s="26"/>
      <c r="F2242" s="26"/>
      <c r="G2242" s="26"/>
      <c r="H2242" s="26"/>
      <c r="I2242" s="25"/>
      <c r="J2242" s="25"/>
      <c r="K2242" s="25"/>
      <c r="L2242" s="25"/>
      <c r="M2242" s="25"/>
      <c r="N2242" s="25"/>
      <c r="O2242" s="25"/>
      <c r="P2242" s="25"/>
    </row>
    <row r="2243" spans="1:16" x14ac:dyDescent="0.3">
      <c r="A2243" s="25"/>
      <c r="B2243" s="25"/>
      <c r="C2243" s="25"/>
      <c r="D2243" s="26"/>
      <c r="E2243" s="26"/>
      <c r="F2243" s="26"/>
      <c r="G2243" s="26"/>
      <c r="H2243" s="26"/>
      <c r="I2243" s="25"/>
      <c r="J2243" s="25"/>
      <c r="K2243" s="25"/>
      <c r="L2243" s="25"/>
      <c r="M2243" s="25"/>
      <c r="N2243" s="25"/>
      <c r="O2243" s="25"/>
      <c r="P2243" s="25"/>
    </row>
    <row r="2244" spans="1:16" x14ac:dyDescent="0.3">
      <c r="A2244" s="25"/>
      <c r="B2244" s="25"/>
      <c r="C2244" s="25"/>
      <c r="D2244" s="26"/>
      <c r="E2244" s="26"/>
      <c r="F2244" s="26"/>
      <c r="G2244" s="26"/>
      <c r="H2244" s="26"/>
      <c r="I2244" s="25"/>
      <c r="J2244" s="25"/>
      <c r="K2244" s="25"/>
      <c r="L2244" s="25"/>
      <c r="M2244" s="25"/>
      <c r="N2244" s="25"/>
      <c r="O2244" s="25"/>
      <c r="P2244" s="25"/>
    </row>
    <row r="2245" spans="1:16" x14ac:dyDescent="0.3">
      <c r="A2245" s="25"/>
      <c r="B2245" s="25"/>
      <c r="C2245" s="25"/>
      <c r="D2245" s="26"/>
      <c r="E2245" s="26"/>
      <c r="F2245" s="26"/>
      <c r="G2245" s="26"/>
      <c r="H2245" s="26"/>
      <c r="I2245" s="25"/>
      <c r="J2245" s="25"/>
      <c r="K2245" s="25"/>
      <c r="L2245" s="25"/>
      <c r="M2245" s="25"/>
      <c r="N2245" s="25"/>
      <c r="O2245" s="25"/>
      <c r="P2245" s="25"/>
    </row>
    <row r="2246" spans="1:16" x14ac:dyDescent="0.3">
      <c r="A2246" s="25"/>
      <c r="B2246" s="25"/>
      <c r="C2246" s="25"/>
      <c r="D2246" s="26"/>
      <c r="E2246" s="26"/>
      <c r="F2246" s="26"/>
      <c r="G2246" s="26"/>
      <c r="H2246" s="26"/>
      <c r="I2246" s="25"/>
      <c r="J2246" s="25"/>
      <c r="K2246" s="25"/>
      <c r="L2246" s="25"/>
      <c r="M2246" s="25"/>
      <c r="N2246" s="25"/>
      <c r="O2246" s="25"/>
      <c r="P2246" s="25"/>
    </row>
    <row r="2247" spans="1:16" x14ac:dyDescent="0.3">
      <c r="A2247" s="25"/>
      <c r="B2247" s="25"/>
      <c r="C2247" s="25"/>
      <c r="D2247" s="26"/>
      <c r="E2247" s="26"/>
      <c r="F2247" s="26"/>
      <c r="G2247" s="26"/>
      <c r="H2247" s="26"/>
      <c r="I2247" s="25"/>
      <c r="J2247" s="25"/>
      <c r="K2247" s="25"/>
      <c r="L2247" s="25"/>
      <c r="M2247" s="25"/>
      <c r="N2247" s="25"/>
      <c r="O2247" s="25"/>
      <c r="P2247" s="25"/>
    </row>
    <row r="2248" spans="1:16" x14ac:dyDescent="0.3">
      <c r="A2248" s="25"/>
      <c r="B2248" s="25"/>
      <c r="C2248" s="25"/>
      <c r="D2248" s="26"/>
      <c r="E2248" s="26"/>
      <c r="F2248" s="26"/>
      <c r="G2248" s="26"/>
      <c r="H2248" s="26"/>
      <c r="I2248" s="25"/>
      <c r="J2248" s="25"/>
      <c r="K2248" s="25"/>
      <c r="L2248" s="25"/>
      <c r="M2248" s="25"/>
      <c r="N2248" s="25"/>
      <c r="O2248" s="25"/>
      <c r="P2248" s="25"/>
    </row>
    <row r="2249" spans="1:16" x14ac:dyDescent="0.3">
      <c r="A2249" s="25"/>
      <c r="B2249" s="25"/>
      <c r="C2249" s="25"/>
      <c r="D2249" s="26"/>
      <c r="E2249" s="26"/>
      <c r="F2249" s="26"/>
      <c r="G2249" s="26"/>
      <c r="H2249" s="26"/>
      <c r="I2249" s="25"/>
      <c r="J2249" s="25"/>
      <c r="K2249" s="25"/>
      <c r="L2249" s="25"/>
      <c r="M2249" s="25"/>
      <c r="N2249" s="25"/>
      <c r="O2249" s="25"/>
      <c r="P2249" s="25"/>
    </row>
    <row r="2250" spans="1:16" x14ac:dyDescent="0.3">
      <c r="A2250" s="25"/>
      <c r="B2250" s="25"/>
      <c r="C2250" s="25"/>
      <c r="D2250" s="26"/>
      <c r="E2250" s="26"/>
      <c r="F2250" s="26"/>
      <c r="G2250" s="26"/>
      <c r="H2250" s="26"/>
      <c r="I2250" s="25"/>
      <c r="J2250" s="25"/>
      <c r="K2250" s="25"/>
      <c r="L2250" s="25"/>
      <c r="M2250" s="25"/>
      <c r="N2250" s="25"/>
      <c r="O2250" s="25"/>
      <c r="P2250" s="25"/>
    </row>
    <row r="2251" spans="1:16" x14ac:dyDescent="0.3">
      <c r="A2251" s="25"/>
      <c r="B2251" s="25"/>
      <c r="C2251" s="25"/>
      <c r="D2251" s="26"/>
      <c r="E2251" s="26"/>
      <c r="F2251" s="26"/>
      <c r="G2251" s="26"/>
      <c r="H2251" s="26"/>
      <c r="I2251" s="25"/>
      <c r="J2251" s="25"/>
      <c r="K2251" s="25"/>
      <c r="L2251" s="25"/>
      <c r="M2251" s="25"/>
      <c r="N2251" s="25"/>
      <c r="O2251" s="25"/>
      <c r="P2251" s="25"/>
    </row>
    <row r="2252" spans="1:16" x14ac:dyDescent="0.3">
      <c r="A2252" s="25"/>
      <c r="B2252" s="25"/>
      <c r="C2252" s="25"/>
      <c r="D2252" s="26"/>
      <c r="E2252" s="26"/>
      <c r="F2252" s="26"/>
      <c r="G2252" s="26"/>
      <c r="H2252" s="26"/>
      <c r="I2252" s="25"/>
      <c r="J2252" s="25"/>
      <c r="K2252" s="25"/>
      <c r="L2252" s="25"/>
      <c r="M2252" s="25"/>
      <c r="N2252" s="25"/>
      <c r="O2252" s="25"/>
      <c r="P2252" s="25"/>
    </row>
    <row r="2253" spans="1:16" x14ac:dyDescent="0.3">
      <c r="A2253" s="25"/>
      <c r="B2253" s="25"/>
      <c r="C2253" s="25"/>
      <c r="D2253" s="26"/>
      <c r="E2253" s="26"/>
      <c r="F2253" s="26"/>
      <c r="G2253" s="26"/>
      <c r="H2253" s="26"/>
      <c r="I2253" s="25"/>
      <c r="J2253" s="25"/>
      <c r="K2253" s="25"/>
      <c r="L2253" s="25"/>
      <c r="M2253" s="25"/>
      <c r="N2253" s="25"/>
      <c r="O2253" s="25"/>
      <c r="P2253" s="25"/>
    </row>
    <row r="2254" spans="1:16" x14ac:dyDescent="0.3">
      <c r="A2254" s="25"/>
      <c r="B2254" s="25"/>
      <c r="C2254" s="25"/>
      <c r="D2254" s="26"/>
      <c r="E2254" s="26"/>
      <c r="F2254" s="26"/>
      <c r="G2254" s="26"/>
      <c r="H2254" s="26"/>
      <c r="I2254" s="25"/>
      <c r="J2254" s="25"/>
      <c r="K2254" s="25"/>
      <c r="L2254" s="25"/>
      <c r="M2254" s="25"/>
      <c r="N2254" s="25"/>
      <c r="O2254" s="25"/>
      <c r="P2254" s="25"/>
    </row>
    <row r="2255" spans="1:16" x14ac:dyDescent="0.3">
      <c r="A2255" s="25"/>
      <c r="B2255" s="25"/>
      <c r="C2255" s="25"/>
      <c r="D2255" s="26"/>
      <c r="E2255" s="26"/>
      <c r="F2255" s="26"/>
      <c r="G2255" s="26"/>
      <c r="H2255" s="26"/>
      <c r="I2255" s="25"/>
      <c r="J2255" s="25"/>
      <c r="K2255" s="25"/>
      <c r="L2255" s="25"/>
      <c r="M2255" s="25"/>
      <c r="N2255" s="25"/>
      <c r="O2255" s="25"/>
      <c r="P2255" s="25"/>
    </row>
    <row r="2256" spans="1:16" x14ac:dyDescent="0.3">
      <c r="A2256" s="25"/>
      <c r="B2256" s="25"/>
      <c r="C2256" s="25"/>
      <c r="D2256" s="26"/>
      <c r="E2256" s="26"/>
      <c r="F2256" s="26"/>
      <c r="G2256" s="26"/>
      <c r="H2256" s="26"/>
      <c r="I2256" s="25"/>
      <c r="J2256" s="25"/>
      <c r="K2256" s="25"/>
      <c r="L2256" s="25"/>
      <c r="M2256" s="25"/>
      <c r="N2256" s="25"/>
      <c r="O2256" s="25"/>
      <c r="P2256" s="25"/>
    </row>
    <row r="2257" spans="1:16" x14ac:dyDescent="0.3">
      <c r="A2257" s="25"/>
      <c r="B2257" s="25"/>
      <c r="C2257" s="25"/>
      <c r="D2257" s="26"/>
      <c r="E2257" s="26"/>
      <c r="F2257" s="26"/>
      <c r="G2257" s="26"/>
      <c r="H2257" s="26"/>
      <c r="I2257" s="25"/>
      <c r="J2257" s="25"/>
      <c r="K2257" s="25"/>
      <c r="L2257" s="25"/>
      <c r="M2257" s="25"/>
      <c r="N2257" s="25"/>
      <c r="O2257" s="25"/>
      <c r="P2257" s="25"/>
    </row>
    <row r="2258" spans="1:16" x14ac:dyDescent="0.3">
      <c r="A2258" s="25"/>
      <c r="B2258" s="25"/>
      <c r="C2258" s="25"/>
      <c r="D2258" s="26"/>
      <c r="E2258" s="26"/>
      <c r="F2258" s="26"/>
      <c r="G2258" s="26"/>
      <c r="H2258" s="26"/>
      <c r="I2258" s="25"/>
      <c r="J2258" s="25"/>
      <c r="K2258" s="25"/>
      <c r="L2258" s="25"/>
      <c r="M2258" s="25"/>
      <c r="N2258" s="25"/>
      <c r="O2258" s="25"/>
      <c r="P2258" s="25"/>
    </row>
    <row r="2259" spans="1:16" x14ac:dyDescent="0.3">
      <c r="A2259" s="25"/>
      <c r="B2259" s="25"/>
      <c r="C2259" s="25"/>
      <c r="D2259" s="26"/>
      <c r="E2259" s="26"/>
      <c r="F2259" s="26"/>
      <c r="G2259" s="26"/>
      <c r="H2259" s="26"/>
      <c r="I2259" s="25"/>
      <c r="J2259" s="25"/>
      <c r="K2259" s="25"/>
      <c r="L2259" s="25"/>
      <c r="M2259" s="25"/>
      <c r="N2259" s="25"/>
      <c r="O2259" s="25"/>
      <c r="P2259" s="25"/>
    </row>
    <row r="2260" spans="1:16" x14ac:dyDescent="0.3">
      <c r="A2260" s="25"/>
      <c r="B2260" s="25"/>
      <c r="C2260" s="25"/>
      <c r="D2260" s="26"/>
      <c r="E2260" s="26"/>
      <c r="F2260" s="26"/>
      <c r="G2260" s="26"/>
      <c r="H2260" s="26"/>
      <c r="I2260" s="25"/>
      <c r="J2260" s="25"/>
      <c r="K2260" s="25"/>
      <c r="L2260" s="25"/>
      <c r="M2260" s="25"/>
      <c r="N2260" s="25"/>
      <c r="O2260" s="25"/>
      <c r="P2260" s="25"/>
    </row>
    <row r="2261" spans="1:16" x14ac:dyDescent="0.3">
      <c r="A2261" s="25"/>
      <c r="B2261" s="25"/>
      <c r="C2261" s="25"/>
      <c r="D2261" s="26"/>
      <c r="E2261" s="26"/>
      <c r="F2261" s="26"/>
      <c r="G2261" s="26"/>
      <c r="H2261" s="26"/>
      <c r="I2261" s="25"/>
      <c r="J2261" s="25"/>
      <c r="K2261" s="25"/>
      <c r="L2261" s="25"/>
      <c r="M2261" s="25"/>
      <c r="N2261" s="25"/>
      <c r="O2261" s="25"/>
      <c r="P2261" s="25"/>
    </row>
    <row r="2262" spans="1:16" x14ac:dyDescent="0.3">
      <c r="A2262" s="25"/>
      <c r="B2262" s="25"/>
      <c r="C2262" s="25"/>
      <c r="D2262" s="26"/>
      <c r="E2262" s="26"/>
      <c r="F2262" s="26"/>
      <c r="G2262" s="26"/>
      <c r="H2262" s="26"/>
      <c r="I2262" s="25"/>
      <c r="J2262" s="25"/>
      <c r="K2262" s="25"/>
      <c r="L2262" s="25"/>
      <c r="M2262" s="25"/>
      <c r="N2262" s="25"/>
      <c r="O2262" s="25"/>
      <c r="P2262" s="25"/>
    </row>
    <row r="2263" spans="1:16" x14ac:dyDescent="0.3">
      <c r="A2263" s="25"/>
      <c r="B2263" s="25"/>
      <c r="C2263" s="25"/>
      <c r="D2263" s="26"/>
      <c r="E2263" s="26"/>
      <c r="F2263" s="26"/>
      <c r="G2263" s="26"/>
      <c r="H2263" s="26"/>
      <c r="I2263" s="25"/>
      <c r="J2263" s="25"/>
      <c r="K2263" s="25"/>
      <c r="L2263" s="25"/>
      <c r="M2263" s="25"/>
      <c r="N2263" s="25"/>
      <c r="O2263" s="25"/>
      <c r="P2263" s="25"/>
    </row>
    <row r="2264" spans="1:16" x14ac:dyDescent="0.3">
      <c r="A2264" s="25"/>
      <c r="B2264" s="25"/>
      <c r="C2264" s="25"/>
      <c r="D2264" s="26"/>
      <c r="E2264" s="26"/>
      <c r="F2264" s="26"/>
      <c r="G2264" s="26"/>
      <c r="H2264" s="26"/>
      <c r="I2264" s="25"/>
      <c r="J2264" s="25"/>
      <c r="K2264" s="25"/>
      <c r="L2264" s="25"/>
      <c r="M2264" s="25"/>
      <c r="N2264" s="25"/>
      <c r="O2264" s="25"/>
      <c r="P2264" s="25"/>
    </row>
    <row r="2265" spans="1:16" x14ac:dyDescent="0.3">
      <c r="A2265" s="25"/>
      <c r="B2265" s="25"/>
      <c r="C2265" s="25"/>
      <c r="D2265" s="26"/>
      <c r="E2265" s="26"/>
      <c r="F2265" s="26"/>
      <c r="G2265" s="26"/>
      <c r="H2265" s="26"/>
      <c r="I2265" s="25"/>
      <c r="J2265" s="25"/>
      <c r="K2265" s="25"/>
      <c r="L2265" s="25"/>
      <c r="M2265" s="25"/>
      <c r="N2265" s="25"/>
      <c r="O2265" s="25"/>
      <c r="P2265" s="25"/>
    </row>
    <row r="2266" spans="1:16" x14ac:dyDescent="0.3">
      <c r="A2266" s="25"/>
      <c r="B2266" s="25"/>
      <c r="C2266" s="25"/>
      <c r="D2266" s="26"/>
      <c r="E2266" s="26"/>
      <c r="F2266" s="26"/>
      <c r="G2266" s="26"/>
      <c r="H2266" s="26"/>
      <c r="I2266" s="25"/>
      <c r="J2266" s="25"/>
      <c r="K2266" s="25"/>
      <c r="L2266" s="25"/>
      <c r="M2266" s="25"/>
      <c r="N2266" s="25"/>
      <c r="O2266" s="25"/>
      <c r="P2266" s="25"/>
    </row>
    <row r="2267" spans="1:16" x14ac:dyDescent="0.3">
      <c r="A2267" s="25"/>
      <c r="B2267" s="25"/>
      <c r="C2267" s="25"/>
      <c r="D2267" s="26"/>
      <c r="E2267" s="26"/>
      <c r="F2267" s="26"/>
      <c r="G2267" s="26"/>
      <c r="H2267" s="26"/>
      <c r="I2267" s="25"/>
      <c r="J2267" s="25"/>
      <c r="K2267" s="25"/>
      <c r="L2267" s="25"/>
      <c r="M2267" s="25"/>
      <c r="N2267" s="25"/>
      <c r="O2267" s="25"/>
      <c r="P2267" s="25"/>
    </row>
    <row r="2268" spans="1:16" x14ac:dyDescent="0.3">
      <c r="A2268" s="25"/>
      <c r="B2268" s="25"/>
      <c r="C2268" s="25"/>
      <c r="D2268" s="26"/>
      <c r="E2268" s="26"/>
      <c r="F2268" s="26"/>
      <c r="G2268" s="26"/>
      <c r="H2268" s="26"/>
      <c r="I2268" s="25"/>
      <c r="J2268" s="25"/>
      <c r="K2268" s="25"/>
      <c r="L2268" s="25"/>
      <c r="M2268" s="25"/>
      <c r="N2268" s="25"/>
      <c r="O2268" s="25"/>
      <c r="P2268" s="25"/>
    </row>
    <row r="2269" spans="1:16" x14ac:dyDescent="0.3">
      <c r="A2269" s="25"/>
      <c r="B2269" s="25"/>
      <c r="C2269" s="25"/>
      <c r="D2269" s="26"/>
      <c r="E2269" s="26"/>
      <c r="F2269" s="26"/>
      <c r="G2269" s="26"/>
      <c r="H2269" s="26"/>
      <c r="I2269" s="25"/>
      <c r="J2269" s="25"/>
      <c r="K2269" s="25"/>
      <c r="L2269" s="25"/>
      <c r="M2269" s="25"/>
      <c r="N2269" s="25"/>
      <c r="O2269" s="25"/>
      <c r="P2269" s="25"/>
    </row>
    <row r="2270" spans="1:16" x14ac:dyDescent="0.3">
      <c r="A2270" s="25"/>
      <c r="B2270" s="25"/>
      <c r="C2270" s="25"/>
      <c r="D2270" s="26"/>
      <c r="E2270" s="26"/>
      <c r="F2270" s="26"/>
      <c r="G2270" s="26"/>
      <c r="H2270" s="26"/>
      <c r="I2270" s="25"/>
      <c r="J2270" s="25"/>
      <c r="K2270" s="25"/>
      <c r="L2270" s="25"/>
      <c r="M2270" s="25"/>
      <c r="N2270" s="25"/>
      <c r="O2270" s="25"/>
      <c r="P2270" s="25"/>
    </row>
    <row r="2271" spans="1:16" x14ac:dyDescent="0.3">
      <c r="A2271" s="25"/>
      <c r="B2271" s="25"/>
      <c r="C2271" s="25"/>
      <c r="D2271" s="26"/>
      <c r="E2271" s="26"/>
      <c r="F2271" s="26"/>
      <c r="G2271" s="26"/>
      <c r="H2271" s="26"/>
      <c r="I2271" s="25"/>
      <c r="J2271" s="25"/>
      <c r="K2271" s="25"/>
      <c r="L2271" s="25"/>
      <c r="M2271" s="25"/>
      <c r="N2271" s="25"/>
      <c r="O2271" s="25"/>
      <c r="P2271" s="25"/>
    </row>
    <row r="2272" spans="1:16" x14ac:dyDescent="0.3">
      <c r="A2272" s="25"/>
      <c r="B2272" s="25"/>
      <c r="C2272" s="25"/>
      <c r="D2272" s="26"/>
      <c r="E2272" s="26"/>
      <c r="F2272" s="26"/>
      <c r="G2272" s="26"/>
      <c r="H2272" s="26"/>
      <c r="I2272" s="25"/>
      <c r="J2272" s="25"/>
      <c r="K2272" s="25"/>
      <c r="L2272" s="25"/>
      <c r="M2272" s="25"/>
      <c r="N2272" s="25"/>
      <c r="O2272" s="25"/>
      <c r="P2272" s="25"/>
    </row>
    <row r="2273" spans="1:16" x14ac:dyDescent="0.3">
      <c r="A2273" s="25"/>
      <c r="B2273" s="25"/>
      <c r="C2273" s="25"/>
      <c r="D2273" s="26"/>
      <c r="E2273" s="26"/>
      <c r="F2273" s="26"/>
      <c r="G2273" s="26"/>
      <c r="H2273" s="26"/>
      <c r="I2273" s="25"/>
      <c r="J2273" s="25"/>
      <c r="K2273" s="25"/>
      <c r="L2273" s="25"/>
      <c r="M2273" s="25"/>
      <c r="N2273" s="25"/>
      <c r="O2273" s="25"/>
      <c r="P2273" s="25"/>
    </row>
    <row r="2274" spans="1:16" x14ac:dyDescent="0.3">
      <c r="A2274" s="25"/>
      <c r="B2274" s="25"/>
      <c r="C2274" s="25"/>
      <c r="D2274" s="26"/>
      <c r="E2274" s="26"/>
      <c r="F2274" s="26"/>
      <c r="G2274" s="26"/>
      <c r="H2274" s="26"/>
      <c r="I2274" s="25"/>
      <c r="J2274" s="25"/>
      <c r="K2274" s="25"/>
      <c r="L2274" s="25"/>
      <c r="M2274" s="25"/>
      <c r="N2274" s="25"/>
      <c r="O2274" s="25"/>
      <c r="P2274" s="25"/>
    </row>
    <row r="2275" spans="1:16" x14ac:dyDescent="0.3">
      <c r="A2275" s="25"/>
      <c r="B2275" s="25"/>
      <c r="C2275" s="25"/>
      <c r="D2275" s="26"/>
      <c r="E2275" s="26"/>
      <c r="F2275" s="26"/>
      <c r="G2275" s="26"/>
      <c r="H2275" s="26"/>
      <c r="I2275" s="25"/>
      <c r="J2275" s="25"/>
      <c r="K2275" s="25"/>
      <c r="L2275" s="25"/>
      <c r="M2275" s="25"/>
      <c r="N2275" s="25"/>
      <c r="O2275" s="25"/>
      <c r="P2275" s="25"/>
    </row>
    <row r="2276" spans="1:16" x14ac:dyDescent="0.3">
      <c r="A2276" s="25"/>
      <c r="B2276" s="25"/>
      <c r="C2276" s="25"/>
      <c r="D2276" s="26"/>
      <c r="E2276" s="26"/>
      <c r="F2276" s="26"/>
      <c r="G2276" s="26"/>
      <c r="H2276" s="26"/>
      <c r="I2276" s="25"/>
      <c r="J2276" s="25"/>
      <c r="K2276" s="25"/>
      <c r="L2276" s="25"/>
      <c r="M2276" s="25"/>
      <c r="N2276" s="25"/>
      <c r="O2276" s="25"/>
      <c r="P2276" s="25"/>
    </row>
    <row r="2277" spans="1:16" x14ac:dyDescent="0.3">
      <c r="A2277" s="25"/>
      <c r="B2277" s="25"/>
      <c r="C2277" s="25"/>
      <c r="D2277" s="26"/>
      <c r="E2277" s="26"/>
      <c r="F2277" s="26"/>
      <c r="G2277" s="26"/>
      <c r="H2277" s="26"/>
      <c r="I2277" s="25"/>
      <c r="J2277" s="25"/>
      <c r="K2277" s="25"/>
      <c r="L2277" s="25"/>
      <c r="M2277" s="25"/>
      <c r="N2277" s="25"/>
      <c r="O2277" s="25"/>
      <c r="P2277" s="25"/>
    </row>
    <row r="2278" spans="1:16" x14ac:dyDescent="0.3">
      <c r="A2278" s="25"/>
      <c r="B2278" s="25"/>
      <c r="C2278" s="25"/>
      <c r="D2278" s="26"/>
      <c r="E2278" s="26"/>
      <c r="F2278" s="26"/>
      <c r="G2278" s="26"/>
      <c r="H2278" s="26"/>
      <c r="I2278" s="25"/>
      <c r="J2278" s="25"/>
      <c r="K2278" s="25"/>
      <c r="L2278" s="25"/>
      <c r="M2278" s="25"/>
      <c r="N2278" s="25"/>
      <c r="O2278" s="25"/>
      <c r="P2278" s="25"/>
    </row>
    <row r="2279" spans="1:16" x14ac:dyDescent="0.3">
      <c r="A2279" s="25"/>
      <c r="B2279" s="25"/>
      <c r="C2279" s="25"/>
      <c r="D2279" s="26"/>
      <c r="E2279" s="26"/>
      <c r="F2279" s="26"/>
      <c r="G2279" s="26"/>
      <c r="H2279" s="26"/>
      <c r="I2279" s="25"/>
      <c r="J2279" s="25"/>
      <c r="K2279" s="25"/>
      <c r="L2279" s="25"/>
      <c r="M2279" s="25"/>
      <c r="N2279" s="25"/>
      <c r="O2279" s="25"/>
      <c r="P2279" s="25"/>
    </row>
    <row r="2280" spans="1:16" x14ac:dyDescent="0.3">
      <c r="A2280" s="25"/>
      <c r="B2280" s="25"/>
      <c r="C2280" s="25"/>
      <c r="D2280" s="26"/>
      <c r="E2280" s="26"/>
      <c r="F2280" s="26"/>
      <c r="G2280" s="26"/>
      <c r="H2280" s="26"/>
      <c r="I2280" s="25"/>
      <c r="J2280" s="25"/>
      <c r="K2280" s="25"/>
      <c r="L2280" s="25"/>
      <c r="M2280" s="25"/>
      <c r="N2280" s="25"/>
      <c r="O2280" s="25"/>
      <c r="P2280" s="25"/>
    </row>
    <row r="2281" spans="1:16" x14ac:dyDescent="0.3">
      <c r="A2281" s="25"/>
      <c r="B2281" s="25"/>
      <c r="C2281" s="25"/>
      <c r="D2281" s="26"/>
      <c r="E2281" s="26"/>
      <c r="F2281" s="26"/>
      <c r="G2281" s="26"/>
      <c r="H2281" s="26"/>
      <c r="I2281" s="25"/>
      <c r="J2281" s="25"/>
      <c r="K2281" s="25"/>
      <c r="L2281" s="25"/>
      <c r="M2281" s="25"/>
      <c r="N2281" s="25"/>
      <c r="O2281" s="25"/>
      <c r="P2281" s="25"/>
    </row>
    <row r="2282" spans="1:16" x14ac:dyDescent="0.3">
      <c r="A2282" s="25"/>
      <c r="B2282" s="25"/>
      <c r="C2282" s="25"/>
      <c r="D2282" s="26"/>
      <c r="E2282" s="26"/>
      <c r="F2282" s="26"/>
      <c r="G2282" s="26"/>
      <c r="H2282" s="26"/>
      <c r="I2282" s="25"/>
      <c r="J2282" s="25"/>
      <c r="K2282" s="25"/>
      <c r="L2282" s="25"/>
      <c r="M2282" s="25"/>
      <c r="N2282" s="25"/>
      <c r="O2282" s="25"/>
      <c r="P2282" s="25"/>
    </row>
    <row r="2283" spans="1:16" x14ac:dyDescent="0.3">
      <c r="A2283" s="25"/>
      <c r="B2283" s="25"/>
      <c r="C2283" s="25"/>
      <c r="D2283" s="26"/>
      <c r="E2283" s="26"/>
      <c r="F2283" s="26"/>
      <c r="G2283" s="26"/>
      <c r="H2283" s="26"/>
      <c r="I2283" s="25"/>
      <c r="J2283" s="25"/>
      <c r="K2283" s="25"/>
      <c r="L2283" s="25"/>
      <c r="M2283" s="25"/>
      <c r="N2283" s="25"/>
      <c r="O2283" s="25"/>
      <c r="P2283" s="25"/>
    </row>
    <row r="2284" spans="1:16" x14ac:dyDescent="0.3">
      <c r="A2284" s="25"/>
      <c r="B2284" s="25"/>
      <c r="C2284" s="25"/>
      <c r="D2284" s="26"/>
      <c r="E2284" s="26"/>
      <c r="F2284" s="26"/>
      <c r="G2284" s="26"/>
      <c r="H2284" s="26"/>
      <c r="I2284" s="25"/>
      <c r="J2284" s="25"/>
      <c r="K2284" s="25"/>
      <c r="L2284" s="25"/>
      <c r="M2284" s="25"/>
      <c r="N2284" s="25"/>
      <c r="O2284" s="25"/>
      <c r="P2284" s="25"/>
    </row>
    <row r="2285" spans="1:16" x14ac:dyDescent="0.3">
      <c r="A2285" s="25"/>
      <c r="B2285" s="25"/>
      <c r="C2285" s="25"/>
      <c r="D2285" s="26"/>
      <c r="E2285" s="26"/>
      <c r="F2285" s="26"/>
      <c r="G2285" s="26"/>
      <c r="H2285" s="26"/>
      <c r="I2285" s="25"/>
      <c r="J2285" s="25"/>
      <c r="K2285" s="25"/>
      <c r="L2285" s="25"/>
      <c r="M2285" s="25"/>
      <c r="N2285" s="25"/>
      <c r="O2285" s="25"/>
      <c r="P2285" s="25"/>
    </row>
    <row r="2286" spans="1:16" x14ac:dyDescent="0.3">
      <c r="A2286" s="25"/>
      <c r="B2286" s="25"/>
      <c r="C2286" s="25"/>
      <c r="D2286" s="26"/>
      <c r="E2286" s="26"/>
      <c r="F2286" s="26"/>
      <c r="G2286" s="26"/>
      <c r="H2286" s="26"/>
      <c r="I2286" s="25"/>
      <c r="J2286" s="25"/>
      <c r="K2286" s="25"/>
      <c r="L2286" s="25"/>
      <c r="M2286" s="25"/>
      <c r="N2286" s="25"/>
      <c r="O2286" s="25"/>
      <c r="P2286" s="25"/>
    </row>
    <row r="2287" spans="1:16" x14ac:dyDescent="0.3">
      <c r="A2287" s="25"/>
      <c r="B2287" s="25"/>
      <c r="C2287" s="25"/>
      <c r="D2287" s="26"/>
      <c r="E2287" s="26"/>
      <c r="F2287" s="26"/>
      <c r="G2287" s="26"/>
      <c r="H2287" s="26"/>
      <c r="I2287" s="25"/>
      <c r="J2287" s="25"/>
      <c r="K2287" s="25"/>
      <c r="L2287" s="25"/>
      <c r="M2287" s="25"/>
      <c r="N2287" s="25"/>
      <c r="O2287" s="25"/>
      <c r="P2287" s="25"/>
    </row>
    <row r="2288" spans="1:16" x14ac:dyDescent="0.3">
      <c r="A2288" s="25"/>
      <c r="B2288" s="25"/>
      <c r="C2288" s="25"/>
      <c r="D2288" s="26"/>
      <c r="E2288" s="26"/>
      <c r="F2288" s="26"/>
      <c r="G2288" s="26"/>
      <c r="H2288" s="26"/>
      <c r="I2288" s="25"/>
      <c r="J2288" s="25"/>
      <c r="K2288" s="25"/>
      <c r="L2288" s="25"/>
      <c r="M2288" s="25"/>
      <c r="N2288" s="25"/>
      <c r="O2288" s="25"/>
      <c r="P2288" s="25"/>
    </row>
    <row r="2289" spans="1:16" x14ac:dyDescent="0.3">
      <c r="A2289" s="25"/>
      <c r="B2289" s="25"/>
      <c r="C2289" s="25"/>
      <c r="D2289" s="26"/>
      <c r="E2289" s="26"/>
      <c r="F2289" s="26"/>
      <c r="G2289" s="26"/>
      <c r="H2289" s="26"/>
      <c r="I2289" s="25"/>
      <c r="J2289" s="25"/>
      <c r="K2289" s="25"/>
      <c r="L2289" s="25"/>
      <c r="M2289" s="25"/>
      <c r="N2289" s="25"/>
      <c r="O2289" s="25"/>
      <c r="P2289" s="25"/>
    </row>
    <row r="2290" spans="1:16" x14ac:dyDescent="0.3">
      <c r="A2290" s="25"/>
      <c r="B2290" s="25"/>
      <c r="C2290" s="25"/>
      <c r="D2290" s="26"/>
      <c r="E2290" s="26"/>
      <c r="F2290" s="26"/>
      <c r="G2290" s="26"/>
      <c r="H2290" s="26"/>
      <c r="I2290" s="25"/>
      <c r="J2290" s="25"/>
      <c r="K2290" s="25"/>
      <c r="L2290" s="25"/>
      <c r="M2290" s="25"/>
      <c r="N2290" s="25"/>
      <c r="O2290" s="25"/>
      <c r="P2290" s="25"/>
    </row>
    <row r="2291" spans="1:16" x14ac:dyDescent="0.3">
      <c r="A2291" s="25"/>
      <c r="B2291" s="25"/>
      <c r="C2291" s="25"/>
      <c r="D2291" s="26"/>
      <c r="E2291" s="26"/>
      <c r="F2291" s="26"/>
      <c r="G2291" s="26"/>
      <c r="H2291" s="26"/>
      <c r="I2291" s="25"/>
      <c r="J2291" s="25"/>
      <c r="K2291" s="25"/>
      <c r="L2291" s="25"/>
      <c r="M2291" s="25"/>
      <c r="N2291" s="25"/>
      <c r="O2291" s="25"/>
      <c r="P2291" s="25"/>
    </row>
    <row r="2292" spans="1:16" x14ac:dyDescent="0.3">
      <c r="A2292" s="25"/>
      <c r="B2292" s="25"/>
      <c r="C2292" s="25"/>
      <c r="D2292" s="26"/>
      <c r="E2292" s="26"/>
      <c r="F2292" s="26"/>
      <c r="G2292" s="26"/>
      <c r="H2292" s="26"/>
      <c r="I2292" s="25"/>
      <c r="J2292" s="25"/>
      <c r="K2292" s="25"/>
      <c r="L2292" s="25"/>
      <c r="M2292" s="25"/>
      <c r="N2292" s="25"/>
      <c r="O2292" s="25"/>
      <c r="P2292" s="25"/>
    </row>
    <row r="2293" spans="1:16" x14ac:dyDescent="0.3">
      <c r="A2293" s="25"/>
      <c r="B2293" s="25"/>
      <c r="C2293" s="25"/>
      <c r="D2293" s="26"/>
      <c r="E2293" s="26"/>
      <c r="F2293" s="26"/>
      <c r="G2293" s="26"/>
      <c r="H2293" s="26"/>
      <c r="I2293" s="25"/>
      <c r="J2293" s="25"/>
      <c r="K2293" s="25"/>
      <c r="L2293" s="25"/>
      <c r="M2293" s="25"/>
      <c r="N2293" s="25"/>
      <c r="O2293" s="25"/>
      <c r="P2293" s="25"/>
    </row>
    <row r="2294" spans="1:16" x14ac:dyDescent="0.3">
      <c r="A2294" s="25"/>
      <c r="B2294" s="25"/>
      <c r="C2294" s="25"/>
      <c r="D2294" s="26"/>
      <c r="E2294" s="26"/>
      <c r="F2294" s="26"/>
      <c r="G2294" s="26"/>
      <c r="H2294" s="26"/>
      <c r="I2294" s="25"/>
      <c r="J2294" s="25"/>
      <c r="K2294" s="25"/>
      <c r="L2294" s="25"/>
      <c r="M2294" s="25"/>
      <c r="N2294" s="25"/>
      <c r="O2294" s="25"/>
      <c r="P2294" s="25"/>
    </row>
    <row r="2295" spans="1:16" x14ac:dyDescent="0.3">
      <c r="A2295" s="25"/>
      <c r="B2295" s="25"/>
      <c r="C2295" s="25"/>
      <c r="D2295" s="26"/>
      <c r="E2295" s="26"/>
      <c r="F2295" s="26"/>
      <c r="G2295" s="26"/>
      <c r="H2295" s="26"/>
      <c r="I2295" s="25"/>
      <c r="J2295" s="25"/>
      <c r="K2295" s="25"/>
      <c r="L2295" s="25"/>
      <c r="M2295" s="25"/>
      <c r="N2295" s="25"/>
      <c r="O2295" s="25"/>
      <c r="P2295" s="25"/>
    </row>
    <row r="2296" spans="1:16" x14ac:dyDescent="0.3">
      <c r="A2296" s="25"/>
      <c r="B2296" s="25"/>
      <c r="C2296" s="25"/>
      <c r="D2296" s="26"/>
      <c r="E2296" s="26"/>
      <c r="F2296" s="26"/>
      <c r="G2296" s="26"/>
      <c r="H2296" s="26"/>
      <c r="I2296" s="25"/>
      <c r="J2296" s="25"/>
      <c r="K2296" s="25"/>
      <c r="L2296" s="25"/>
      <c r="M2296" s="25"/>
      <c r="N2296" s="25"/>
      <c r="O2296" s="25"/>
      <c r="P2296" s="25"/>
    </row>
    <row r="2297" spans="1:16" x14ac:dyDescent="0.3">
      <c r="A2297" s="25"/>
      <c r="B2297" s="25"/>
      <c r="C2297" s="25"/>
      <c r="D2297" s="26"/>
      <c r="E2297" s="26"/>
      <c r="F2297" s="26"/>
      <c r="G2297" s="26"/>
      <c r="H2297" s="26"/>
      <c r="I2297" s="25"/>
      <c r="J2297" s="25"/>
      <c r="K2297" s="25"/>
      <c r="L2297" s="25"/>
      <c r="M2297" s="25"/>
      <c r="N2297" s="25"/>
      <c r="O2297" s="25"/>
      <c r="P2297" s="25"/>
    </row>
    <row r="2298" spans="1:16" x14ac:dyDescent="0.3">
      <c r="A2298" s="25"/>
      <c r="B2298" s="25"/>
      <c r="C2298" s="25"/>
      <c r="D2298" s="26"/>
      <c r="E2298" s="26"/>
      <c r="F2298" s="26"/>
      <c r="G2298" s="26"/>
      <c r="H2298" s="26"/>
      <c r="I2298" s="25"/>
      <c r="J2298" s="25"/>
      <c r="K2298" s="25"/>
      <c r="L2298" s="25"/>
      <c r="M2298" s="25"/>
      <c r="N2298" s="25"/>
      <c r="O2298" s="25"/>
      <c r="P2298" s="25"/>
    </row>
    <row r="2299" spans="1:16" x14ac:dyDescent="0.3">
      <c r="A2299" s="25"/>
      <c r="B2299" s="25"/>
      <c r="C2299" s="25"/>
      <c r="D2299" s="26"/>
      <c r="E2299" s="26"/>
      <c r="F2299" s="26"/>
      <c r="G2299" s="26"/>
      <c r="H2299" s="26"/>
      <c r="I2299" s="25"/>
      <c r="J2299" s="25"/>
      <c r="K2299" s="25"/>
      <c r="L2299" s="25"/>
      <c r="M2299" s="25"/>
      <c r="N2299" s="25"/>
      <c r="O2299" s="25"/>
      <c r="P2299" s="25"/>
    </row>
    <row r="2300" spans="1:16" x14ac:dyDescent="0.3">
      <c r="A2300" s="25"/>
      <c r="B2300" s="25"/>
      <c r="C2300" s="25"/>
      <c r="D2300" s="26"/>
      <c r="E2300" s="26"/>
      <c r="F2300" s="26"/>
      <c r="G2300" s="26"/>
      <c r="H2300" s="26"/>
      <c r="I2300" s="25"/>
      <c r="J2300" s="25"/>
      <c r="K2300" s="25"/>
      <c r="L2300" s="25"/>
      <c r="M2300" s="25"/>
      <c r="N2300" s="25"/>
      <c r="O2300" s="25"/>
      <c r="P2300" s="25"/>
    </row>
    <row r="2301" spans="1:16" x14ac:dyDescent="0.3">
      <c r="A2301" s="25"/>
      <c r="B2301" s="25"/>
      <c r="C2301" s="25"/>
      <c r="D2301" s="26"/>
      <c r="E2301" s="26"/>
      <c r="F2301" s="26"/>
      <c r="G2301" s="26"/>
      <c r="H2301" s="26"/>
      <c r="I2301" s="25"/>
      <c r="J2301" s="25"/>
      <c r="K2301" s="25"/>
      <c r="L2301" s="25"/>
      <c r="M2301" s="25"/>
      <c r="N2301" s="25"/>
      <c r="O2301" s="25"/>
      <c r="P2301" s="25"/>
    </row>
    <row r="2302" spans="1:16" x14ac:dyDescent="0.3">
      <c r="A2302" s="25"/>
      <c r="B2302" s="25"/>
      <c r="C2302" s="25"/>
      <c r="D2302" s="26"/>
      <c r="E2302" s="26"/>
      <c r="F2302" s="26"/>
      <c r="G2302" s="26"/>
      <c r="H2302" s="26"/>
      <c r="I2302" s="25"/>
      <c r="J2302" s="25"/>
      <c r="K2302" s="25"/>
      <c r="L2302" s="25"/>
      <c r="M2302" s="25"/>
      <c r="N2302" s="25"/>
      <c r="O2302" s="25"/>
      <c r="P2302" s="25"/>
    </row>
    <row r="2303" spans="1:16" x14ac:dyDescent="0.3">
      <c r="A2303" s="25"/>
      <c r="B2303" s="25"/>
      <c r="C2303" s="25"/>
      <c r="D2303" s="26"/>
      <c r="E2303" s="26"/>
      <c r="F2303" s="26"/>
      <c r="G2303" s="26"/>
      <c r="H2303" s="26"/>
      <c r="I2303" s="25"/>
      <c r="J2303" s="25"/>
      <c r="K2303" s="25"/>
      <c r="L2303" s="25"/>
      <c r="M2303" s="25"/>
      <c r="N2303" s="25"/>
      <c r="O2303" s="25"/>
      <c r="P2303" s="25"/>
    </row>
    <row r="2304" spans="1:16" x14ac:dyDescent="0.3">
      <c r="A2304" s="25"/>
      <c r="B2304" s="25"/>
      <c r="C2304" s="25"/>
      <c r="D2304" s="26"/>
      <c r="E2304" s="26"/>
      <c r="F2304" s="26"/>
      <c r="G2304" s="26"/>
      <c r="H2304" s="26"/>
      <c r="I2304" s="25"/>
      <c r="J2304" s="25"/>
      <c r="K2304" s="25"/>
      <c r="L2304" s="25"/>
      <c r="M2304" s="25"/>
      <c r="N2304" s="25"/>
      <c r="O2304" s="25"/>
      <c r="P2304" s="25"/>
    </row>
    <row r="2305" spans="1:16" x14ac:dyDescent="0.3">
      <c r="A2305" s="25"/>
      <c r="B2305" s="25"/>
      <c r="C2305" s="25"/>
      <c r="D2305" s="26"/>
      <c r="E2305" s="26"/>
      <c r="F2305" s="26"/>
      <c r="G2305" s="26"/>
      <c r="H2305" s="26"/>
      <c r="I2305" s="25"/>
      <c r="J2305" s="25"/>
      <c r="K2305" s="25"/>
      <c r="L2305" s="25"/>
      <c r="M2305" s="25"/>
      <c r="N2305" s="25"/>
      <c r="O2305" s="25"/>
      <c r="P2305" s="25"/>
    </row>
    <row r="2306" spans="1:16" x14ac:dyDescent="0.3">
      <c r="A2306" s="25"/>
      <c r="B2306" s="25"/>
      <c r="C2306" s="25"/>
      <c r="D2306" s="26"/>
      <c r="E2306" s="26"/>
      <c r="F2306" s="26"/>
      <c r="G2306" s="26"/>
      <c r="H2306" s="26"/>
      <c r="I2306" s="25"/>
      <c r="J2306" s="25"/>
      <c r="K2306" s="25"/>
      <c r="L2306" s="25"/>
      <c r="M2306" s="25"/>
      <c r="N2306" s="25"/>
      <c r="O2306" s="25"/>
      <c r="P2306" s="25"/>
    </row>
    <row r="2307" spans="1:16" x14ac:dyDescent="0.3">
      <c r="A2307" s="25"/>
      <c r="B2307" s="25"/>
      <c r="C2307" s="25"/>
      <c r="D2307" s="26"/>
      <c r="E2307" s="26"/>
      <c r="F2307" s="26"/>
      <c r="G2307" s="26"/>
      <c r="H2307" s="26"/>
      <c r="I2307" s="25"/>
      <c r="J2307" s="25"/>
      <c r="K2307" s="25"/>
      <c r="L2307" s="25"/>
      <c r="M2307" s="25"/>
      <c r="N2307" s="25"/>
      <c r="O2307" s="25"/>
      <c r="P2307" s="25"/>
    </row>
    <row r="2308" spans="1:16" x14ac:dyDescent="0.3">
      <c r="A2308" s="25"/>
      <c r="B2308" s="25"/>
      <c r="C2308" s="25"/>
      <c r="D2308" s="26"/>
      <c r="E2308" s="26"/>
      <c r="F2308" s="26"/>
      <c r="G2308" s="26"/>
      <c r="H2308" s="26"/>
      <c r="I2308" s="25"/>
      <c r="J2308" s="25"/>
      <c r="K2308" s="25"/>
      <c r="L2308" s="25"/>
      <c r="M2308" s="25"/>
      <c r="N2308" s="25"/>
      <c r="O2308" s="25"/>
      <c r="P2308" s="25"/>
    </row>
    <row r="2309" spans="1:16" x14ac:dyDescent="0.3">
      <c r="A2309" s="25"/>
      <c r="B2309" s="25"/>
      <c r="C2309" s="25"/>
      <c r="D2309" s="26"/>
      <c r="E2309" s="26"/>
      <c r="F2309" s="26"/>
      <c r="G2309" s="26"/>
      <c r="H2309" s="26"/>
      <c r="I2309" s="25"/>
      <c r="J2309" s="25"/>
      <c r="K2309" s="25"/>
      <c r="L2309" s="25"/>
      <c r="M2309" s="25"/>
      <c r="N2309" s="25"/>
      <c r="O2309" s="25"/>
      <c r="P2309" s="25"/>
    </row>
    <row r="2310" spans="1:16" x14ac:dyDescent="0.3">
      <c r="A2310" s="25"/>
      <c r="B2310" s="25"/>
      <c r="C2310" s="25"/>
      <c r="D2310" s="26"/>
      <c r="E2310" s="26"/>
      <c r="F2310" s="26"/>
      <c r="G2310" s="26"/>
      <c r="H2310" s="26"/>
      <c r="I2310" s="25"/>
      <c r="J2310" s="25"/>
      <c r="K2310" s="25"/>
      <c r="L2310" s="25"/>
      <c r="M2310" s="25"/>
      <c r="N2310" s="25"/>
      <c r="O2310" s="25"/>
      <c r="P2310" s="25"/>
    </row>
    <row r="2311" spans="1:16" x14ac:dyDescent="0.3">
      <c r="A2311" s="25"/>
      <c r="B2311" s="25"/>
      <c r="C2311" s="25"/>
      <c r="D2311" s="26"/>
      <c r="E2311" s="26"/>
      <c r="F2311" s="26"/>
      <c r="G2311" s="26"/>
      <c r="H2311" s="26"/>
      <c r="I2311" s="25"/>
      <c r="J2311" s="25"/>
      <c r="K2311" s="25"/>
      <c r="L2311" s="25"/>
      <c r="M2311" s="25"/>
      <c r="N2311" s="25"/>
      <c r="O2311" s="25"/>
      <c r="P2311" s="25"/>
    </row>
    <row r="2312" spans="1:16" x14ac:dyDescent="0.3">
      <c r="A2312" s="25"/>
      <c r="B2312" s="25"/>
      <c r="C2312" s="25"/>
      <c r="D2312" s="26"/>
      <c r="E2312" s="26"/>
      <c r="F2312" s="26"/>
      <c r="G2312" s="26"/>
      <c r="H2312" s="26"/>
      <c r="I2312" s="25"/>
      <c r="J2312" s="25"/>
      <c r="K2312" s="25"/>
      <c r="L2312" s="25"/>
      <c r="M2312" s="25"/>
      <c r="N2312" s="25"/>
      <c r="O2312" s="25"/>
      <c r="P2312" s="25"/>
    </row>
    <row r="2313" spans="1:16" x14ac:dyDescent="0.3">
      <c r="A2313" s="25"/>
      <c r="B2313" s="25"/>
      <c r="C2313" s="25"/>
      <c r="D2313" s="26"/>
      <c r="E2313" s="26"/>
      <c r="F2313" s="26"/>
      <c r="G2313" s="26"/>
      <c r="H2313" s="26"/>
      <c r="I2313" s="25"/>
      <c r="J2313" s="25"/>
      <c r="K2313" s="25"/>
      <c r="L2313" s="25"/>
      <c r="M2313" s="25"/>
      <c r="N2313" s="25"/>
      <c r="O2313" s="25"/>
      <c r="P2313" s="25"/>
    </row>
    <row r="2314" spans="1:16" x14ac:dyDescent="0.3">
      <c r="A2314" s="25"/>
      <c r="B2314" s="25"/>
      <c r="C2314" s="25"/>
      <c r="D2314" s="26"/>
      <c r="E2314" s="26"/>
      <c r="F2314" s="26"/>
      <c r="G2314" s="26"/>
      <c r="H2314" s="26"/>
      <c r="I2314" s="25"/>
      <c r="J2314" s="25"/>
      <c r="K2314" s="25"/>
      <c r="L2314" s="25"/>
      <c r="M2314" s="25"/>
      <c r="N2314" s="25"/>
      <c r="O2314" s="25"/>
      <c r="P2314" s="25"/>
    </row>
    <row r="2315" spans="1:16" x14ac:dyDescent="0.3">
      <c r="A2315" s="25"/>
      <c r="B2315" s="25"/>
      <c r="C2315" s="25"/>
      <c r="D2315" s="26"/>
      <c r="E2315" s="26"/>
      <c r="F2315" s="26"/>
      <c r="G2315" s="26"/>
      <c r="H2315" s="26"/>
      <c r="I2315" s="25"/>
      <c r="J2315" s="25"/>
      <c r="K2315" s="25"/>
      <c r="L2315" s="25"/>
      <c r="M2315" s="25"/>
      <c r="N2315" s="25"/>
      <c r="O2315" s="25"/>
      <c r="P2315" s="25"/>
    </row>
    <row r="2316" spans="1:16" x14ac:dyDescent="0.3">
      <c r="A2316" s="25"/>
      <c r="B2316" s="25"/>
      <c r="C2316" s="25"/>
      <c r="D2316" s="26"/>
      <c r="E2316" s="26"/>
      <c r="F2316" s="26"/>
      <c r="G2316" s="26"/>
      <c r="H2316" s="26"/>
      <c r="I2316" s="25"/>
      <c r="J2316" s="25"/>
      <c r="K2316" s="25"/>
      <c r="L2316" s="25"/>
      <c r="M2316" s="25"/>
      <c r="N2316" s="25"/>
      <c r="O2316" s="25"/>
      <c r="P2316" s="25"/>
    </row>
    <row r="2317" spans="1:16" x14ac:dyDescent="0.3">
      <c r="A2317" s="25"/>
      <c r="B2317" s="25"/>
      <c r="C2317" s="25"/>
      <c r="D2317" s="26"/>
      <c r="E2317" s="26"/>
      <c r="F2317" s="26"/>
      <c r="G2317" s="26"/>
      <c r="H2317" s="26"/>
      <c r="I2317" s="25"/>
      <c r="J2317" s="25"/>
      <c r="K2317" s="25"/>
      <c r="L2317" s="25"/>
      <c r="M2317" s="25"/>
      <c r="N2317" s="25"/>
      <c r="O2317" s="25"/>
      <c r="P2317" s="25"/>
    </row>
    <row r="2318" spans="1:16" x14ac:dyDescent="0.3">
      <c r="A2318" s="25"/>
      <c r="B2318" s="25"/>
      <c r="C2318" s="25"/>
      <c r="D2318" s="26"/>
      <c r="E2318" s="26"/>
      <c r="F2318" s="26"/>
      <c r="G2318" s="26"/>
      <c r="H2318" s="26"/>
      <c r="I2318" s="25"/>
      <c r="J2318" s="25"/>
      <c r="K2318" s="25"/>
      <c r="L2318" s="25"/>
      <c r="M2318" s="25"/>
      <c r="N2318" s="25"/>
      <c r="O2318" s="25"/>
      <c r="P2318" s="25"/>
    </row>
    <row r="2319" spans="1:16" x14ac:dyDescent="0.3">
      <c r="A2319" s="25"/>
      <c r="B2319" s="25"/>
      <c r="C2319" s="25"/>
      <c r="D2319" s="26"/>
      <c r="E2319" s="26"/>
      <c r="F2319" s="26"/>
      <c r="G2319" s="26"/>
      <c r="H2319" s="26"/>
      <c r="I2319" s="25"/>
      <c r="J2319" s="25"/>
      <c r="K2319" s="25"/>
      <c r="L2319" s="25"/>
      <c r="M2319" s="25"/>
      <c r="N2319" s="25"/>
      <c r="O2319" s="25"/>
      <c r="P2319" s="25"/>
    </row>
    <row r="2320" spans="1:16" x14ac:dyDescent="0.3">
      <c r="A2320" s="25"/>
      <c r="B2320" s="25"/>
      <c r="C2320" s="25"/>
      <c r="D2320" s="26"/>
      <c r="E2320" s="26"/>
      <c r="F2320" s="26"/>
      <c r="G2320" s="26"/>
      <c r="H2320" s="26"/>
      <c r="I2320" s="25"/>
      <c r="J2320" s="25"/>
      <c r="K2320" s="25"/>
      <c r="L2320" s="25"/>
      <c r="M2320" s="25"/>
      <c r="N2320" s="25"/>
      <c r="O2320" s="25"/>
      <c r="P2320" s="25"/>
    </row>
    <row r="2321" spans="1:16" x14ac:dyDescent="0.3">
      <c r="A2321" s="25"/>
      <c r="B2321" s="25"/>
      <c r="C2321" s="25"/>
      <c r="D2321" s="26"/>
      <c r="E2321" s="26"/>
      <c r="F2321" s="26"/>
      <c r="G2321" s="26"/>
      <c r="H2321" s="26"/>
      <c r="I2321" s="25"/>
      <c r="J2321" s="25"/>
      <c r="K2321" s="25"/>
      <c r="L2321" s="25"/>
      <c r="M2321" s="25"/>
      <c r="N2321" s="25"/>
      <c r="O2321" s="25"/>
      <c r="P2321" s="25"/>
    </row>
    <row r="2322" spans="1:16" x14ac:dyDescent="0.3">
      <c r="A2322" s="25"/>
      <c r="B2322" s="25"/>
      <c r="C2322" s="25"/>
      <c r="D2322" s="26"/>
      <c r="E2322" s="26"/>
      <c r="F2322" s="26"/>
      <c r="G2322" s="26"/>
      <c r="H2322" s="26"/>
      <c r="I2322" s="25"/>
      <c r="J2322" s="25"/>
      <c r="K2322" s="25"/>
      <c r="L2322" s="25"/>
      <c r="M2322" s="25"/>
      <c r="N2322" s="25"/>
      <c r="O2322" s="25"/>
      <c r="P2322" s="25"/>
    </row>
    <row r="2323" spans="1:16" x14ac:dyDescent="0.3">
      <c r="A2323" s="25"/>
      <c r="B2323" s="25"/>
      <c r="C2323" s="25"/>
      <c r="D2323" s="26"/>
      <c r="E2323" s="26"/>
      <c r="F2323" s="26"/>
      <c r="G2323" s="26"/>
      <c r="H2323" s="26"/>
      <c r="I2323" s="25"/>
      <c r="J2323" s="25"/>
      <c r="K2323" s="25"/>
      <c r="L2323" s="25"/>
      <c r="M2323" s="25"/>
      <c r="N2323" s="25"/>
      <c r="O2323" s="25"/>
      <c r="P2323" s="25"/>
    </row>
    <row r="2324" spans="1:16" x14ac:dyDescent="0.3">
      <c r="A2324" s="25"/>
      <c r="B2324" s="25"/>
      <c r="C2324" s="25"/>
      <c r="D2324" s="26"/>
      <c r="E2324" s="26"/>
      <c r="F2324" s="26"/>
      <c r="G2324" s="26"/>
      <c r="H2324" s="26"/>
      <c r="I2324" s="25"/>
      <c r="J2324" s="25"/>
      <c r="K2324" s="25"/>
      <c r="L2324" s="25"/>
      <c r="M2324" s="25"/>
      <c r="N2324" s="25"/>
      <c r="O2324" s="25"/>
      <c r="P2324" s="25"/>
    </row>
    <row r="2325" spans="1:16" x14ac:dyDescent="0.3">
      <c r="A2325" s="25"/>
      <c r="B2325" s="25"/>
      <c r="C2325" s="25"/>
      <c r="D2325" s="26"/>
      <c r="E2325" s="26"/>
      <c r="F2325" s="26"/>
      <c r="G2325" s="26"/>
      <c r="H2325" s="26"/>
      <c r="I2325" s="25"/>
      <c r="J2325" s="25"/>
      <c r="K2325" s="25"/>
      <c r="L2325" s="25"/>
      <c r="M2325" s="25"/>
      <c r="N2325" s="25"/>
      <c r="O2325" s="25"/>
      <c r="P2325" s="25"/>
    </row>
    <row r="2326" spans="1:16" x14ac:dyDescent="0.3">
      <c r="A2326" s="25"/>
      <c r="B2326" s="25"/>
      <c r="C2326" s="25"/>
      <c r="D2326" s="26"/>
      <c r="E2326" s="26"/>
      <c r="F2326" s="26"/>
      <c r="G2326" s="26"/>
      <c r="H2326" s="26"/>
      <c r="I2326" s="25"/>
      <c r="J2326" s="25"/>
      <c r="K2326" s="25"/>
      <c r="L2326" s="25"/>
      <c r="M2326" s="25"/>
      <c r="N2326" s="25"/>
      <c r="O2326" s="25"/>
      <c r="P2326" s="25"/>
    </row>
    <row r="2327" spans="1:16" x14ac:dyDescent="0.3">
      <c r="A2327" s="25"/>
      <c r="B2327" s="25"/>
      <c r="C2327" s="25"/>
      <c r="D2327" s="26"/>
      <c r="E2327" s="26"/>
      <c r="F2327" s="26"/>
      <c r="G2327" s="26"/>
      <c r="H2327" s="26"/>
      <c r="I2327" s="25"/>
      <c r="J2327" s="25"/>
      <c r="K2327" s="25"/>
      <c r="L2327" s="25"/>
      <c r="M2327" s="25"/>
      <c r="N2327" s="25"/>
      <c r="O2327" s="25"/>
      <c r="P2327" s="25"/>
    </row>
    <row r="2328" spans="1:16" x14ac:dyDescent="0.3">
      <c r="A2328" s="25"/>
      <c r="B2328" s="25"/>
      <c r="C2328" s="25"/>
      <c r="D2328" s="26"/>
      <c r="E2328" s="26"/>
      <c r="F2328" s="26"/>
      <c r="G2328" s="26"/>
      <c r="H2328" s="26"/>
      <c r="I2328" s="25"/>
      <c r="J2328" s="25"/>
      <c r="K2328" s="25"/>
      <c r="L2328" s="25"/>
      <c r="M2328" s="25"/>
      <c r="N2328" s="25"/>
      <c r="O2328" s="25"/>
      <c r="P2328" s="25"/>
    </row>
    <row r="2329" spans="1:16" x14ac:dyDescent="0.3">
      <c r="A2329" s="25"/>
      <c r="B2329" s="25"/>
      <c r="C2329" s="25"/>
      <c r="D2329" s="26"/>
      <c r="E2329" s="26"/>
      <c r="F2329" s="26"/>
      <c r="G2329" s="26"/>
      <c r="H2329" s="26"/>
      <c r="I2329" s="25"/>
      <c r="J2329" s="25"/>
      <c r="K2329" s="25"/>
      <c r="L2329" s="25"/>
      <c r="M2329" s="25"/>
      <c r="N2329" s="25"/>
      <c r="O2329" s="25"/>
      <c r="P2329" s="25"/>
    </row>
    <row r="2330" spans="1:16" x14ac:dyDescent="0.3">
      <c r="A2330" s="25"/>
      <c r="B2330" s="25"/>
      <c r="C2330" s="25"/>
      <c r="D2330" s="26"/>
      <c r="E2330" s="26"/>
      <c r="F2330" s="26"/>
      <c r="G2330" s="26"/>
      <c r="H2330" s="26"/>
      <c r="I2330" s="25"/>
      <c r="J2330" s="25"/>
      <c r="K2330" s="25"/>
      <c r="L2330" s="25"/>
      <c r="M2330" s="25"/>
      <c r="N2330" s="25"/>
      <c r="O2330" s="25"/>
      <c r="P2330" s="25"/>
    </row>
    <row r="2331" spans="1:16" x14ac:dyDescent="0.3">
      <c r="A2331" s="25"/>
      <c r="B2331" s="25"/>
      <c r="C2331" s="25"/>
      <c r="D2331" s="26"/>
      <c r="E2331" s="26"/>
      <c r="F2331" s="26"/>
      <c r="G2331" s="26"/>
      <c r="H2331" s="26"/>
      <c r="I2331" s="25"/>
      <c r="J2331" s="25"/>
      <c r="K2331" s="25"/>
      <c r="L2331" s="25"/>
      <c r="M2331" s="25"/>
      <c r="N2331" s="25"/>
      <c r="O2331" s="25"/>
      <c r="P2331" s="25"/>
    </row>
    <row r="2332" spans="1:16" x14ac:dyDescent="0.3">
      <c r="A2332" s="25"/>
      <c r="B2332" s="25"/>
      <c r="C2332" s="25"/>
      <c r="D2332" s="26"/>
      <c r="E2332" s="26"/>
      <c r="F2332" s="26"/>
      <c r="G2332" s="26"/>
      <c r="H2332" s="26"/>
      <c r="I2332" s="25"/>
      <c r="J2332" s="25"/>
      <c r="K2332" s="25"/>
      <c r="L2332" s="25"/>
      <c r="M2332" s="25"/>
      <c r="N2332" s="25"/>
      <c r="O2332" s="25"/>
      <c r="P2332" s="25"/>
    </row>
    <row r="2333" spans="1:16" x14ac:dyDescent="0.3">
      <c r="A2333" s="25"/>
      <c r="B2333" s="25"/>
      <c r="C2333" s="25"/>
      <c r="D2333" s="26"/>
      <c r="E2333" s="26"/>
      <c r="F2333" s="26"/>
      <c r="G2333" s="26"/>
      <c r="H2333" s="26"/>
      <c r="I2333" s="25"/>
      <c r="J2333" s="25"/>
      <c r="K2333" s="25"/>
      <c r="L2333" s="25"/>
      <c r="M2333" s="25"/>
      <c r="N2333" s="25"/>
      <c r="O2333" s="25"/>
      <c r="P2333" s="25"/>
    </row>
    <row r="2334" spans="1:16" x14ac:dyDescent="0.3">
      <c r="A2334" s="25"/>
      <c r="B2334" s="25"/>
      <c r="C2334" s="25"/>
      <c r="D2334" s="26"/>
      <c r="E2334" s="26"/>
      <c r="F2334" s="26"/>
      <c r="G2334" s="26"/>
      <c r="H2334" s="26"/>
      <c r="I2334" s="25"/>
      <c r="J2334" s="25"/>
      <c r="K2334" s="25"/>
      <c r="L2334" s="25"/>
      <c r="M2334" s="25"/>
      <c r="N2334" s="25"/>
      <c r="O2334" s="25"/>
      <c r="P2334" s="25"/>
    </row>
    <row r="2335" spans="1:16" x14ac:dyDescent="0.3">
      <c r="A2335" s="25"/>
      <c r="B2335" s="25"/>
      <c r="C2335" s="25"/>
      <c r="D2335" s="26"/>
      <c r="E2335" s="26"/>
      <c r="F2335" s="26"/>
      <c r="G2335" s="26"/>
      <c r="H2335" s="26"/>
      <c r="I2335" s="25"/>
      <c r="J2335" s="25"/>
      <c r="K2335" s="25"/>
      <c r="L2335" s="25"/>
      <c r="M2335" s="25"/>
      <c r="N2335" s="25"/>
      <c r="O2335" s="25"/>
      <c r="P2335" s="25"/>
    </row>
    <row r="2336" spans="1:16" x14ac:dyDescent="0.3">
      <c r="A2336" s="25"/>
      <c r="B2336" s="25"/>
      <c r="C2336" s="25"/>
      <c r="D2336" s="26"/>
      <c r="E2336" s="26"/>
      <c r="F2336" s="26"/>
      <c r="G2336" s="26"/>
      <c r="H2336" s="26"/>
      <c r="I2336" s="25"/>
      <c r="J2336" s="25"/>
      <c r="K2336" s="25"/>
      <c r="L2336" s="25"/>
      <c r="M2336" s="25"/>
      <c r="N2336" s="25"/>
      <c r="O2336" s="25"/>
      <c r="P2336" s="25"/>
    </row>
    <row r="2337" spans="1:16" x14ac:dyDescent="0.3">
      <c r="A2337" s="25"/>
      <c r="B2337" s="25"/>
      <c r="C2337" s="25"/>
      <c r="D2337" s="26"/>
      <c r="E2337" s="26"/>
      <c r="F2337" s="26"/>
      <c r="G2337" s="26"/>
      <c r="H2337" s="26"/>
      <c r="I2337" s="25"/>
      <c r="J2337" s="25"/>
      <c r="K2337" s="25"/>
      <c r="L2337" s="25"/>
      <c r="M2337" s="25"/>
      <c r="N2337" s="25"/>
      <c r="O2337" s="25"/>
      <c r="P2337" s="25"/>
    </row>
    <row r="2338" spans="1:16" x14ac:dyDescent="0.3">
      <c r="A2338" s="25"/>
      <c r="B2338" s="25"/>
      <c r="C2338" s="25"/>
      <c r="D2338" s="26"/>
      <c r="E2338" s="26"/>
      <c r="F2338" s="26"/>
      <c r="G2338" s="26"/>
      <c r="H2338" s="26"/>
      <c r="I2338" s="25"/>
      <c r="J2338" s="25"/>
      <c r="K2338" s="25"/>
      <c r="L2338" s="25"/>
      <c r="M2338" s="25"/>
      <c r="N2338" s="25"/>
      <c r="O2338" s="25"/>
      <c r="P2338" s="25"/>
    </row>
    <row r="2339" spans="1:16" x14ac:dyDescent="0.3">
      <c r="A2339" s="25"/>
      <c r="B2339" s="25"/>
      <c r="C2339" s="25"/>
      <c r="D2339" s="26"/>
      <c r="E2339" s="26"/>
      <c r="F2339" s="26"/>
      <c r="G2339" s="26"/>
      <c r="H2339" s="26"/>
      <c r="I2339" s="25"/>
      <c r="J2339" s="25"/>
      <c r="K2339" s="25"/>
      <c r="L2339" s="25"/>
      <c r="M2339" s="25"/>
      <c r="N2339" s="25"/>
      <c r="O2339" s="25"/>
      <c r="P2339" s="25"/>
    </row>
    <row r="2340" spans="1:16" x14ac:dyDescent="0.3">
      <c r="A2340" s="25"/>
      <c r="B2340" s="25"/>
      <c r="C2340" s="25"/>
      <c r="D2340" s="26"/>
      <c r="E2340" s="26"/>
      <c r="F2340" s="26"/>
      <c r="G2340" s="26"/>
      <c r="H2340" s="26"/>
      <c r="I2340" s="25"/>
      <c r="J2340" s="25"/>
      <c r="K2340" s="25"/>
      <c r="L2340" s="25"/>
      <c r="M2340" s="25"/>
      <c r="N2340" s="25"/>
      <c r="O2340" s="25"/>
      <c r="P2340" s="25"/>
    </row>
    <row r="2341" spans="1:16" x14ac:dyDescent="0.3">
      <c r="A2341" s="25"/>
      <c r="B2341" s="25"/>
      <c r="C2341" s="25"/>
      <c r="D2341" s="26"/>
      <c r="E2341" s="26"/>
      <c r="F2341" s="26"/>
      <c r="G2341" s="26"/>
      <c r="H2341" s="26"/>
      <c r="I2341" s="25"/>
      <c r="J2341" s="25"/>
      <c r="K2341" s="25"/>
      <c r="L2341" s="25"/>
      <c r="M2341" s="25"/>
      <c r="N2341" s="25"/>
      <c r="O2341" s="25"/>
      <c r="P2341" s="25"/>
    </row>
    <row r="2342" spans="1:16" x14ac:dyDescent="0.3">
      <c r="A2342" s="25"/>
      <c r="B2342" s="25"/>
      <c r="C2342" s="25"/>
      <c r="D2342" s="26"/>
      <c r="E2342" s="26"/>
      <c r="F2342" s="26"/>
      <c r="G2342" s="26"/>
      <c r="H2342" s="26"/>
      <c r="I2342" s="25"/>
      <c r="J2342" s="25"/>
      <c r="K2342" s="25"/>
      <c r="L2342" s="25"/>
      <c r="M2342" s="25"/>
      <c r="N2342" s="25"/>
      <c r="O2342" s="25"/>
      <c r="P2342" s="25"/>
    </row>
    <row r="2343" spans="1:16" x14ac:dyDescent="0.3">
      <c r="A2343" s="25"/>
      <c r="B2343" s="25"/>
      <c r="C2343" s="25"/>
      <c r="D2343" s="26"/>
      <c r="E2343" s="26"/>
      <c r="F2343" s="26"/>
      <c r="G2343" s="26"/>
      <c r="H2343" s="26"/>
      <c r="I2343" s="25"/>
      <c r="J2343" s="25"/>
      <c r="K2343" s="25"/>
      <c r="L2343" s="25"/>
      <c r="M2343" s="25"/>
      <c r="N2343" s="25"/>
      <c r="O2343" s="25"/>
      <c r="P2343" s="25"/>
    </row>
    <row r="2344" spans="1:16" x14ac:dyDescent="0.3">
      <c r="A2344" s="25"/>
      <c r="B2344" s="25"/>
      <c r="C2344" s="25"/>
      <c r="D2344" s="26"/>
      <c r="E2344" s="26"/>
      <c r="F2344" s="26"/>
      <c r="G2344" s="26"/>
      <c r="H2344" s="26"/>
      <c r="I2344" s="25"/>
      <c r="J2344" s="25"/>
      <c r="K2344" s="25"/>
      <c r="L2344" s="25"/>
      <c r="M2344" s="25"/>
      <c r="N2344" s="25"/>
      <c r="O2344" s="25"/>
      <c r="P2344" s="25"/>
    </row>
    <row r="2345" spans="1:16" x14ac:dyDescent="0.3">
      <c r="A2345" s="25"/>
      <c r="B2345" s="25"/>
      <c r="C2345" s="25"/>
      <c r="D2345" s="26"/>
      <c r="E2345" s="26"/>
      <c r="F2345" s="26"/>
      <c r="G2345" s="26"/>
      <c r="H2345" s="26"/>
      <c r="I2345" s="25"/>
      <c r="J2345" s="25"/>
      <c r="K2345" s="25"/>
      <c r="L2345" s="25"/>
      <c r="M2345" s="25"/>
      <c r="N2345" s="25"/>
      <c r="O2345" s="25"/>
      <c r="P2345" s="25"/>
    </row>
    <row r="2346" spans="1:16" x14ac:dyDescent="0.3">
      <c r="A2346" s="25"/>
      <c r="B2346" s="25"/>
      <c r="C2346" s="25"/>
      <c r="D2346" s="26"/>
      <c r="E2346" s="26"/>
      <c r="F2346" s="26"/>
      <c r="G2346" s="26"/>
      <c r="H2346" s="26"/>
      <c r="I2346" s="25"/>
      <c r="J2346" s="25"/>
      <c r="K2346" s="25"/>
      <c r="L2346" s="25"/>
      <c r="M2346" s="25"/>
      <c r="N2346" s="25"/>
      <c r="O2346" s="25"/>
      <c r="P2346" s="25"/>
    </row>
    <row r="2347" spans="1:16" x14ac:dyDescent="0.3">
      <c r="A2347" s="25"/>
      <c r="B2347" s="25"/>
      <c r="C2347" s="25"/>
      <c r="D2347" s="26"/>
      <c r="E2347" s="26"/>
      <c r="F2347" s="26"/>
      <c r="G2347" s="26"/>
      <c r="H2347" s="26"/>
      <c r="I2347" s="25"/>
      <c r="J2347" s="25"/>
      <c r="K2347" s="25"/>
      <c r="L2347" s="25"/>
      <c r="M2347" s="25"/>
      <c r="N2347" s="25"/>
      <c r="O2347" s="25"/>
      <c r="P2347" s="25"/>
    </row>
    <row r="2348" spans="1:16" x14ac:dyDescent="0.3">
      <c r="A2348" s="25"/>
      <c r="B2348" s="25"/>
      <c r="C2348" s="25"/>
      <c r="D2348" s="26"/>
      <c r="E2348" s="26"/>
      <c r="F2348" s="26"/>
      <c r="G2348" s="26"/>
      <c r="H2348" s="26"/>
      <c r="I2348" s="25"/>
      <c r="J2348" s="25"/>
      <c r="K2348" s="25"/>
      <c r="L2348" s="25"/>
      <c r="M2348" s="25"/>
      <c r="N2348" s="25"/>
      <c r="O2348" s="25"/>
      <c r="P2348" s="25"/>
    </row>
    <row r="2349" spans="1:16" x14ac:dyDescent="0.3">
      <c r="A2349" s="25"/>
      <c r="B2349" s="25"/>
      <c r="C2349" s="25"/>
      <c r="D2349" s="26"/>
      <c r="E2349" s="26"/>
      <c r="F2349" s="26"/>
      <c r="G2349" s="26"/>
      <c r="H2349" s="26"/>
      <c r="I2349" s="25"/>
      <c r="J2349" s="25"/>
      <c r="K2349" s="25"/>
      <c r="L2349" s="25"/>
      <c r="M2349" s="25"/>
      <c r="N2349" s="25"/>
      <c r="O2349" s="25"/>
      <c r="P2349" s="25"/>
    </row>
    <row r="2350" spans="1:16" x14ac:dyDescent="0.3">
      <c r="A2350" s="25"/>
      <c r="B2350" s="25"/>
      <c r="C2350" s="25"/>
      <c r="D2350" s="26"/>
      <c r="E2350" s="26"/>
      <c r="F2350" s="26"/>
      <c r="G2350" s="26"/>
      <c r="H2350" s="26"/>
      <c r="I2350" s="25"/>
      <c r="J2350" s="25"/>
      <c r="K2350" s="25"/>
      <c r="L2350" s="25"/>
      <c r="M2350" s="25"/>
      <c r="N2350" s="25"/>
      <c r="O2350" s="25"/>
      <c r="P2350" s="25"/>
    </row>
    <row r="2351" spans="1:16" x14ac:dyDescent="0.3">
      <c r="A2351" s="25"/>
      <c r="B2351" s="25"/>
      <c r="C2351" s="25"/>
      <c r="D2351" s="26"/>
      <c r="E2351" s="26"/>
      <c r="F2351" s="26"/>
      <c r="G2351" s="26"/>
      <c r="H2351" s="26"/>
      <c r="I2351" s="25"/>
      <c r="J2351" s="25"/>
      <c r="K2351" s="25"/>
      <c r="L2351" s="25"/>
      <c r="M2351" s="25"/>
      <c r="N2351" s="25"/>
      <c r="O2351" s="25"/>
      <c r="P2351" s="25"/>
    </row>
    <row r="2352" spans="1:16" x14ac:dyDescent="0.3">
      <c r="A2352" s="25"/>
      <c r="B2352" s="25"/>
      <c r="C2352" s="25"/>
      <c r="D2352" s="26"/>
      <c r="E2352" s="26"/>
      <c r="F2352" s="26"/>
      <c r="G2352" s="26"/>
      <c r="H2352" s="26"/>
      <c r="I2352" s="25"/>
      <c r="J2352" s="25"/>
      <c r="K2352" s="25"/>
      <c r="L2352" s="25"/>
      <c r="M2352" s="25"/>
      <c r="N2352" s="25"/>
      <c r="O2352" s="25"/>
      <c r="P2352" s="25"/>
    </row>
    <row r="2353" spans="1:16" x14ac:dyDescent="0.3">
      <c r="A2353" s="25"/>
      <c r="B2353" s="25"/>
      <c r="C2353" s="25"/>
      <c r="D2353" s="26"/>
      <c r="E2353" s="26"/>
      <c r="F2353" s="26"/>
      <c r="G2353" s="26"/>
      <c r="H2353" s="26"/>
      <c r="I2353" s="25"/>
      <c r="J2353" s="25"/>
      <c r="K2353" s="25"/>
      <c r="L2353" s="25"/>
      <c r="M2353" s="25"/>
      <c r="N2353" s="25"/>
      <c r="O2353" s="25"/>
      <c r="P2353" s="25"/>
    </row>
    <row r="2354" spans="1:16" x14ac:dyDescent="0.3">
      <c r="A2354" s="25"/>
      <c r="B2354" s="25"/>
      <c r="C2354" s="25"/>
      <c r="D2354" s="26"/>
      <c r="E2354" s="26"/>
      <c r="F2354" s="26"/>
      <c r="G2354" s="26"/>
      <c r="H2354" s="26"/>
      <c r="I2354" s="25"/>
      <c r="J2354" s="25"/>
      <c r="K2354" s="25"/>
      <c r="L2354" s="25"/>
      <c r="M2354" s="25"/>
      <c r="N2354" s="25"/>
      <c r="O2354" s="25"/>
      <c r="P2354" s="25"/>
    </row>
    <row r="2355" spans="1:16" x14ac:dyDescent="0.3">
      <c r="A2355" s="25"/>
      <c r="B2355" s="25"/>
      <c r="C2355" s="25"/>
      <c r="D2355" s="26"/>
      <c r="E2355" s="26"/>
      <c r="F2355" s="26"/>
      <c r="G2355" s="26"/>
      <c r="H2355" s="26"/>
      <c r="I2355" s="25"/>
      <c r="J2355" s="25"/>
      <c r="K2355" s="25"/>
      <c r="L2355" s="25"/>
      <c r="M2355" s="25"/>
      <c r="N2355" s="25"/>
      <c r="O2355" s="25"/>
      <c r="P2355" s="25"/>
    </row>
    <row r="2356" spans="1:16" x14ac:dyDescent="0.3">
      <c r="A2356" s="25"/>
      <c r="B2356" s="25"/>
      <c r="C2356" s="25"/>
      <c r="D2356" s="26"/>
      <c r="E2356" s="26"/>
      <c r="F2356" s="26"/>
      <c r="G2356" s="26"/>
      <c r="H2356" s="26"/>
      <c r="I2356" s="25"/>
      <c r="J2356" s="25"/>
      <c r="K2356" s="25"/>
      <c r="L2356" s="25"/>
      <c r="M2356" s="25"/>
      <c r="N2356" s="25"/>
      <c r="O2356" s="25"/>
      <c r="P2356" s="25"/>
    </row>
    <row r="2357" spans="1:16" x14ac:dyDescent="0.3">
      <c r="A2357" s="25"/>
      <c r="B2357" s="25"/>
      <c r="C2357" s="25"/>
      <c r="D2357" s="26"/>
      <c r="E2357" s="26"/>
      <c r="F2357" s="26"/>
      <c r="G2357" s="26"/>
      <c r="H2357" s="26"/>
      <c r="I2357" s="25"/>
      <c r="J2357" s="25"/>
      <c r="K2357" s="25"/>
      <c r="L2357" s="25"/>
      <c r="M2357" s="25"/>
      <c r="N2357" s="25"/>
      <c r="O2357" s="25"/>
      <c r="P2357" s="25"/>
    </row>
    <row r="2358" spans="1:16" x14ac:dyDescent="0.3">
      <c r="A2358" s="25"/>
      <c r="B2358" s="25"/>
      <c r="C2358" s="25"/>
      <c r="D2358" s="26"/>
      <c r="E2358" s="26"/>
      <c r="F2358" s="26"/>
      <c r="G2358" s="26"/>
      <c r="H2358" s="26"/>
      <c r="I2358" s="25"/>
      <c r="J2358" s="25"/>
      <c r="K2358" s="25"/>
      <c r="L2358" s="25"/>
      <c r="M2358" s="25"/>
      <c r="N2358" s="25"/>
      <c r="O2358" s="25"/>
      <c r="P2358" s="25"/>
    </row>
    <row r="2359" spans="1:16" x14ac:dyDescent="0.3">
      <c r="A2359" s="25"/>
      <c r="B2359" s="25"/>
      <c r="C2359" s="25"/>
      <c r="D2359" s="26"/>
      <c r="E2359" s="26"/>
      <c r="F2359" s="26"/>
      <c r="G2359" s="26"/>
      <c r="H2359" s="26"/>
      <c r="I2359" s="25"/>
      <c r="J2359" s="25"/>
      <c r="K2359" s="25"/>
      <c r="L2359" s="25"/>
      <c r="M2359" s="25"/>
      <c r="N2359" s="25"/>
      <c r="O2359" s="25"/>
      <c r="P2359" s="25"/>
    </row>
    <row r="2360" spans="1:16" x14ac:dyDescent="0.3">
      <c r="A2360" s="25"/>
      <c r="B2360" s="25"/>
      <c r="C2360" s="25"/>
      <c r="D2360" s="26"/>
      <c r="E2360" s="26"/>
      <c r="F2360" s="26"/>
      <c r="G2360" s="26"/>
      <c r="H2360" s="26"/>
      <c r="I2360" s="25"/>
      <c r="J2360" s="25"/>
      <c r="K2360" s="25"/>
      <c r="L2360" s="25"/>
      <c r="M2360" s="25"/>
      <c r="N2360" s="25"/>
      <c r="O2360" s="25"/>
      <c r="P2360" s="25"/>
    </row>
    <row r="2361" spans="1:16" x14ac:dyDescent="0.3">
      <c r="A2361" s="25"/>
      <c r="B2361" s="25"/>
      <c r="C2361" s="25"/>
      <c r="D2361" s="26"/>
      <c r="E2361" s="26"/>
      <c r="F2361" s="26"/>
      <c r="G2361" s="26"/>
      <c r="H2361" s="26"/>
      <c r="I2361" s="25"/>
      <c r="J2361" s="25"/>
      <c r="K2361" s="25"/>
      <c r="L2361" s="25"/>
      <c r="M2361" s="25"/>
      <c r="N2361" s="25"/>
      <c r="O2361" s="25"/>
      <c r="P2361" s="25"/>
    </row>
    <row r="2362" spans="1:16" x14ac:dyDescent="0.3">
      <c r="A2362" s="25"/>
      <c r="B2362" s="25"/>
      <c r="C2362" s="25"/>
      <c r="D2362" s="26"/>
      <c r="E2362" s="26"/>
      <c r="F2362" s="26"/>
      <c r="G2362" s="26"/>
      <c r="H2362" s="26"/>
      <c r="I2362" s="25"/>
      <c r="J2362" s="25"/>
      <c r="K2362" s="25"/>
      <c r="L2362" s="25"/>
      <c r="M2362" s="25"/>
      <c r="N2362" s="25"/>
      <c r="O2362" s="25"/>
      <c r="P2362" s="25"/>
    </row>
    <row r="2363" spans="1:16" x14ac:dyDescent="0.3">
      <c r="A2363" s="25"/>
      <c r="B2363" s="25"/>
      <c r="C2363" s="25"/>
      <c r="D2363" s="26"/>
      <c r="E2363" s="26"/>
      <c r="F2363" s="26"/>
      <c r="G2363" s="26"/>
      <c r="H2363" s="26"/>
      <c r="I2363" s="25"/>
      <c r="J2363" s="25"/>
      <c r="K2363" s="25"/>
      <c r="L2363" s="25"/>
      <c r="M2363" s="25"/>
      <c r="N2363" s="25"/>
      <c r="O2363" s="25"/>
      <c r="P2363" s="25"/>
    </row>
    <row r="2364" spans="1:16" x14ac:dyDescent="0.3">
      <c r="A2364" s="25"/>
      <c r="B2364" s="25"/>
      <c r="C2364" s="25"/>
      <c r="D2364" s="26"/>
      <c r="E2364" s="26"/>
      <c r="F2364" s="26"/>
      <c r="G2364" s="26"/>
      <c r="H2364" s="26"/>
      <c r="I2364" s="25"/>
      <c r="J2364" s="25"/>
      <c r="K2364" s="25"/>
      <c r="L2364" s="25"/>
      <c r="M2364" s="25"/>
      <c r="N2364" s="25"/>
      <c r="O2364" s="25"/>
      <c r="P2364" s="25"/>
    </row>
    <row r="2365" spans="1:16" x14ac:dyDescent="0.3">
      <c r="A2365" s="25"/>
      <c r="B2365" s="25"/>
      <c r="C2365" s="25"/>
      <c r="D2365" s="26"/>
      <c r="E2365" s="26"/>
      <c r="F2365" s="26"/>
      <c r="G2365" s="26"/>
      <c r="H2365" s="26"/>
      <c r="I2365" s="25"/>
      <c r="J2365" s="25"/>
      <c r="K2365" s="25"/>
      <c r="L2365" s="25"/>
      <c r="M2365" s="25"/>
      <c r="N2365" s="25"/>
      <c r="O2365" s="25"/>
      <c r="P2365" s="25"/>
    </row>
    <row r="2366" spans="1:16" x14ac:dyDescent="0.3">
      <c r="A2366" s="25"/>
      <c r="B2366" s="25"/>
      <c r="C2366" s="25"/>
      <c r="D2366" s="26"/>
      <c r="E2366" s="26"/>
      <c r="F2366" s="26"/>
      <c r="G2366" s="26"/>
      <c r="H2366" s="26"/>
      <c r="I2366" s="25"/>
      <c r="J2366" s="25"/>
      <c r="K2366" s="25"/>
      <c r="L2366" s="25"/>
      <c r="M2366" s="25"/>
      <c r="N2366" s="25"/>
      <c r="O2366" s="25"/>
      <c r="P2366" s="25"/>
    </row>
    <row r="2367" spans="1:16" x14ac:dyDescent="0.3">
      <c r="A2367" s="25"/>
      <c r="B2367" s="25"/>
      <c r="C2367" s="25"/>
      <c r="D2367" s="26"/>
      <c r="E2367" s="26"/>
      <c r="F2367" s="26"/>
      <c r="G2367" s="26"/>
      <c r="H2367" s="26"/>
      <c r="I2367" s="25"/>
      <c r="J2367" s="25"/>
      <c r="K2367" s="25"/>
      <c r="L2367" s="25"/>
      <c r="M2367" s="25"/>
      <c r="N2367" s="25"/>
      <c r="O2367" s="25"/>
      <c r="P2367" s="25"/>
    </row>
    <row r="2368" spans="1:16" x14ac:dyDescent="0.3">
      <c r="A2368" s="25"/>
      <c r="B2368" s="25"/>
      <c r="C2368" s="25"/>
      <c r="D2368" s="26"/>
      <c r="E2368" s="26"/>
      <c r="F2368" s="26"/>
      <c r="G2368" s="26"/>
      <c r="H2368" s="26"/>
      <c r="I2368" s="25"/>
      <c r="J2368" s="25"/>
      <c r="K2368" s="25"/>
      <c r="L2368" s="25"/>
      <c r="M2368" s="25"/>
      <c r="N2368" s="25"/>
      <c r="O2368" s="25"/>
      <c r="P2368" s="25"/>
    </row>
    <row r="2369" spans="1:16" x14ac:dyDescent="0.3">
      <c r="A2369" s="25"/>
      <c r="B2369" s="25"/>
      <c r="C2369" s="25"/>
      <c r="D2369" s="26"/>
      <c r="E2369" s="26"/>
      <c r="F2369" s="26"/>
      <c r="G2369" s="26"/>
      <c r="H2369" s="26"/>
      <c r="I2369" s="25"/>
      <c r="J2369" s="25"/>
      <c r="K2369" s="25"/>
      <c r="L2369" s="25"/>
      <c r="M2369" s="25"/>
      <c r="N2369" s="25"/>
      <c r="O2369" s="25"/>
      <c r="P2369" s="25"/>
    </row>
    <row r="2370" spans="1:16" x14ac:dyDescent="0.3">
      <c r="A2370" s="25"/>
      <c r="B2370" s="25"/>
      <c r="C2370" s="25"/>
      <c r="D2370" s="26"/>
      <c r="E2370" s="26"/>
      <c r="F2370" s="26"/>
      <c r="G2370" s="26"/>
      <c r="H2370" s="26"/>
      <c r="I2370" s="25"/>
      <c r="J2370" s="25"/>
      <c r="K2370" s="25"/>
      <c r="L2370" s="25"/>
      <c r="M2370" s="25"/>
      <c r="N2370" s="25"/>
      <c r="O2370" s="25"/>
      <c r="P2370" s="25"/>
    </row>
    <row r="2371" spans="1:16" x14ac:dyDescent="0.3">
      <c r="A2371" s="25"/>
      <c r="B2371" s="25"/>
      <c r="C2371" s="25"/>
      <c r="D2371" s="26"/>
      <c r="E2371" s="26"/>
      <c r="F2371" s="26"/>
      <c r="G2371" s="26"/>
      <c r="H2371" s="26"/>
      <c r="I2371" s="25"/>
      <c r="J2371" s="25"/>
      <c r="K2371" s="25"/>
      <c r="L2371" s="25"/>
      <c r="M2371" s="25"/>
      <c r="N2371" s="25"/>
      <c r="O2371" s="25"/>
      <c r="P2371" s="25"/>
    </row>
    <row r="2372" spans="1:16" x14ac:dyDescent="0.3">
      <c r="A2372" s="25"/>
      <c r="B2372" s="25"/>
      <c r="C2372" s="25"/>
      <c r="D2372" s="26"/>
      <c r="E2372" s="26"/>
      <c r="F2372" s="26"/>
      <c r="G2372" s="26"/>
      <c r="H2372" s="26"/>
      <c r="I2372" s="25"/>
      <c r="J2372" s="25"/>
      <c r="K2372" s="25"/>
      <c r="L2372" s="25"/>
      <c r="M2372" s="25"/>
      <c r="N2372" s="25"/>
      <c r="O2372" s="25"/>
      <c r="P2372" s="25"/>
    </row>
    <row r="2373" spans="1:16" x14ac:dyDescent="0.3">
      <c r="A2373" s="25"/>
      <c r="B2373" s="25"/>
      <c r="C2373" s="25"/>
      <c r="D2373" s="26"/>
      <c r="E2373" s="26"/>
      <c r="F2373" s="26"/>
      <c r="G2373" s="26"/>
      <c r="H2373" s="26"/>
      <c r="I2373" s="25"/>
      <c r="J2373" s="25"/>
      <c r="K2373" s="25"/>
      <c r="L2373" s="25"/>
      <c r="M2373" s="25"/>
      <c r="N2373" s="25"/>
      <c r="O2373" s="25"/>
      <c r="P2373" s="25"/>
    </row>
    <row r="2374" spans="1:16" x14ac:dyDescent="0.3">
      <c r="A2374" s="25"/>
      <c r="B2374" s="25"/>
      <c r="C2374" s="25"/>
      <c r="D2374" s="26"/>
      <c r="E2374" s="26"/>
      <c r="F2374" s="26"/>
      <c r="G2374" s="26"/>
      <c r="H2374" s="26"/>
      <c r="I2374" s="25"/>
      <c r="J2374" s="25"/>
      <c r="K2374" s="25"/>
      <c r="L2374" s="25"/>
      <c r="M2374" s="25"/>
      <c r="N2374" s="25"/>
      <c r="O2374" s="25"/>
      <c r="P2374" s="25"/>
    </row>
    <row r="2375" spans="1:16" x14ac:dyDescent="0.3">
      <c r="A2375" s="25"/>
      <c r="B2375" s="25"/>
      <c r="C2375" s="25"/>
      <c r="D2375" s="26"/>
      <c r="E2375" s="26"/>
      <c r="F2375" s="26"/>
      <c r="G2375" s="26"/>
      <c r="H2375" s="26"/>
      <c r="I2375" s="25"/>
      <c r="J2375" s="25"/>
      <c r="K2375" s="25"/>
      <c r="L2375" s="25"/>
      <c r="M2375" s="25"/>
      <c r="N2375" s="25"/>
      <c r="O2375" s="25"/>
      <c r="P2375" s="25"/>
    </row>
    <row r="2376" spans="1:16" x14ac:dyDescent="0.3">
      <c r="A2376" s="25"/>
      <c r="B2376" s="25"/>
      <c r="C2376" s="25"/>
      <c r="D2376" s="26"/>
      <c r="E2376" s="26"/>
      <c r="F2376" s="26"/>
      <c r="G2376" s="26"/>
      <c r="H2376" s="26"/>
      <c r="I2376" s="25"/>
      <c r="J2376" s="25"/>
      <c r="K2376" s="25"/>
      <c r="L2376" s="25"/>
      <c r="M2376" s="25"/>
      <c r="N2376" s="25"/>
      <c r="O2376" s="25"/>
      <c r="P2376" s="25"/>
    </row>
    <row r="2377" spans="1:16" x14ac:dyDescent="0.3">
      <c r="A2377" s="25"/>
      <c r="B2377" s="25"/>
      <c r="C2377" s="25"/>
      <c r="D2377" s="26"/>
      <c r="E2377" s="26"/>
      <c r="F2377" s="26"/>
      <c r="G2377" s="26"/>
      <c r="H2377" s="26"/>
      <c r="I2377" s="25"/>
      <c r="J2377" s="25"/>
      <c r="K2377" s="25"/>
      <c r="L2377" s="25"/>
      <c r="M2377" s="25"/>
      <c r="N2377" s="25"/>
      <c r="O2377" s="25"/>
      <c r="P2377" s="25"/>
    </row>
    <row r="2378" spans="1:16" x14ac:dyDescent="0.3">
      <c r="A2378" s="25"/>
      <c r="B2378" s="25"/>
      <c r="C2378" s="25"/>
      <c r="D2378" s="26"/>
      <c r="E2378" s="26"/>
      <c r="F2378" s="26"/>
      <c r="G2378" s="26"/>
      <c r="H2378" s="26"/>
      <c r="I2378" s="25"/>
      <c r="J2378" s="25"/>
      <c r="K2378" s="25"/>
      <c r="L2378" s="25"/>
      <c r="M2378" s="25"/>
      <c r="N2378" s="25"/>
      <c r="O2378" s="25"/>
      <c r="P2378" s="25"/>
    </row>
    <row r="2379" spans="1:16" x14ac:dyDescent="0.3">
      <c r="A2379" s="25"/>
      <c r="B2379" s="25"/>
      <c r="C2379" s="25"/>
      <c r="D2379" s="26"/>
      <c r="E2379" s="26"/>
      <c r="F2379" s="26"/>
      <c r="G2379" s="26"/>
      <c r="H2379" s="26"/>
      <c r="I2379" s="25"/>
      <c r="J2379" s="25"/>
      <c r="K2379" s="25"/>
      <c r="L2379" s="25"/>
      <c r="M2379" s="25"/>
      <c r="N2379" s="25"/>
      <c r="O2379" s="25"/>
      <c r="P2379" s="25"/>
    </row>
    <row r="2380" spans="1:16" x14ac:dyDescent="0.3">
      <c r="A2380" s="25"/>
      <c r="B2380" s="25"/>
      <c r="C2380" s="25"/>
      <c r="D2380" s="26"/>
      <c r="E2380" s="26"/>
      <c r="F2380" s="26"/>
      <c r="G2380" s="26"/>
      <c r="H2380" s="26"/>
      <c r="I2380" s="25"/>
      <c r="J2380" s="25"/>
      <c r="K2380" s="25"/>
      <c r="L2380" s="25"/>
      <c r="M2380" s="25"/>
      <c r="N2380" s="25"/>
      <c r="O2380" s="25"/>
      <c r="P2380" s="25"/>
    </row>
    <row r="2381" spans="1:16" x14ac:dyDescent="0.3">
      <c r="A2381" s="25"/>
      <c r="B2381" s="25"/>
      <c r="C2381" s="25"/>
      <c r="D2381" s="26"/>
      <c r="E2381" s="26"/>
      <c r="F2381" s="26"/>
      <c r="G2381" s="26"/>
      <c r="H2381" s="26"/>
      <c r="I2381" s="25"/>
      <c r="J2381" s="25"/>
      <c r="K2381" s="25"/>
      <c r="L2381" s="25"/>
      <c r="M2381" s="25"/>
      <c r="N2381" s="25"/>
      <c r="O2381" s="25"/>
      <c r="P2381" s="25"/>
    </row>
    <row r="2382" spans="1:16" x14ac:dyDescent="0.3">
      <c r="A2382" s="25"/>
      <c r="B2382" s="25"/>
      <c r="C2382" s="25"/>
      <c r="D2382" s="26"/>
      <c r="E2382" s="26"/>
      <c r="F2382" s="26"/>
      <c r="G2382" s="26"/>
      <c r="H2382" s="26"/>
      <c r="I2382" s="25"/>
      <c r="J2382" s="25"/>
      <c r="K2382" s="25"/>
      <c r="L2382" s="25"/>
      <c r="M2382" s="25"/>
      <c r="N2382" s="25"/>
      <c r="O2382" s="25"/>
      <c r="P2382" s="25"/>
    </row>
    <row r="2383" spans="1:16" x14ac:dyDescent="0.3">
      <c r="A2383" s="25"/>
      <c r="B2383" s="25"/>
      <c r="C2383" s="25"/>
      <c r="D2383" s="26"/>
      <c r="E2383" s="26"/>
      <c r="F2383" s="26"/>
      <c r="G2383" s="26"/>
      <c r="H2383" s="26"/>
      <c r="I2383" s="25"/>
      <c r="J2383" s="25"/>
      <c r="K2383" s="25"/>
      <c r="L2383" s="25"/>
      <c r="M2383" s="25"/>
      <c r="N2383" s="25"/>
      <c r="O2383" s="25"/>
      <c r="P2383" s="25"/>
    </row>
    <row r="2384" spans="1:16" x14ac:dyDescent="0.3">
      <c r="A2384" s="25"/>
      <c r="B2384" s="25"/>
      <c r="C2384" s="25"/>
      <c r="D2384" s="26"/>
      <c r="E2384" s="26"/>
      <c r="F2384" s="26"/>
      <c r="G2384" s="26"/>
      <c r="H2384" s="26"/>
      <c r="I2384" s="25"/>
      <c r="J2384" s="25"/>
      <c r="K2384" s="25"/>
      <c r="L2384" s="25"/>
      <c r="M2384" s="25"/>
      <c r="N2384" s="25"/>
      <c r="O2384" s="25"/>
      <c r="P2384" s="25"/>
    </row>
    <row r="2385" spans="1:16" x14ac:dyDescent="0.3">
      <c r="A2385" s="25"/>
      <c r="B2385" s="25"/>
      <c r="C2385" s="25"/>
      <c r="D2385" s="26"/>
      <c r="E2385" s="26"/>
      <c r="F2385" s="26"/>
      <c r="G2385" s="26"/>
      <c r="H2385" s="26"/>
      <c r="I2385" s="25"/>
      <c r="J2385" s="25"/>
      <c r="K2385" s="25"/>
      <c r="L2385" s="25"/>
      <c r="M2385" s="25"/>
      <c r="N2385" s="25"/>
      <c r="O2385" s="25"/>
      <c r="P2385" s="25"/>
    </row>
    <row r="2386" spans="1:16" x14ac:dyDescent="0.3">
      <c r="A2386" s="25"/>
      <c r="B2386" s="25"/>
      <c r="C2386" s="25"/>
      <c r="D2386" s="26"/>
      <c r="E2386" s="26"/>
      <c r="F2386" s="26"/>
      <c r="G2386" s="26"/>
      <c r="H2386" s="26"/>
      <c r="I2386" s="25"/>
      <c r="J2386" s="25"/>
      <c r="K2386" s="25"/>
      <c r="L2386" s="25"/>
      <c r="M2386" s="25"/>
      <c r="N2386" s="25"/>
      <c r="O2386" s="25"/>
      <c r="P2386" s="25"/>
    </row>
    <row r="2387" spans="1:16" x14ac:dyDescent="0.3">
      <c r="A2387" s="25"/>
      <c r="B2387" s="25"/>
      <c r="C2387" s="25"/>
      <c r="D2387" s="26"/>
      <c r="E2387" s="26"/>
      <c r="F2387" s="26"/>
      <c r="G2387" s="26"/>
      <c r="H2387" s="26"/>
      <c r="I2387" s="25"/>
      <c r="J2387" s="25"/>
      <c r="K2387" s="25"/>
      <c r="L2387" s="25"/>
      <c r="M2387" s="25"/>
      <c r="N2387" s="25"/>
      <c r="O2387" s="25"/>
      <c r="P2387" s="25"/>
    </row>
    <row r="2388" spans="1:16" x14ac:dyDescent="0.3">
      <c r="A2388" s="25"/>
      <c r="B2388" s="25"/>
      <c r="C2388" s="25"/>
      <c r="D2388" s="26"/>
      <c r="E2388" s="26"/>
      <c r="F2388" s="26"/>
      <c r="G2388" s="26"/>
      <c r="H2388" s="26"/>
      <c r="I2388" s="25"/>
      <c r="J2388" s="25"/>
      <c r="K2388" s="25"/>
      <c r="L2388" s="25"/>
      <c r="M2388" s="25"/>
      <c r="N2388" s="25"/>
      <c r="O2388" s="25"/>
      <c r="P2388" s="25"/>
    </row>
    <row r="2389" spans="1:16" x14ac:dyDescent="0.3">
      <c r="A2389" s="25"/>
      <c r="B2389" s="25"/>
      <c r="C2389" s="25"/>
      <c r="D2389" s="26"/>
      <c r="E2389" s="26"/>
      <c r="F2389" s="26"/>
      <c r="G2389" s="26"/>
      <c r="H2389" s="26"/>
      <c r="I2389" s="25"/>
      <c r="J2389" s="25"/>
      <c r="K2389" s="25"/>
      <c r="L2389" s="25"/>
      <c r="M2389" s="25"/>
      <c r="N2389" s="25"/>
      <c r="O2389" s="25"/>
      <c r="P2389" s="25"/>
    </row>
    <row r="2390" spans="1:16" x14ac:dyDescent="0.3">
      <c r="A2390" s="25"/>
      <c r="B2390" s="25"/>
      <c r="C2390" s="25"/>
      <c r="D2390" s="26"/>
      <c r="E2390" s="26"/>
      <c r="F2390" s="26"/>
      <c r="G2390" s="26"/>
      <c r="H2390" s="26"/>
      <c r="I2390" s="25"/>
      <c r="J2390" s="25"/>
      <c r="K2390" s="25"/>
      <c r="L2390" s="25"/>
      <c r="M2390" s="25"/>
      <c r="N2390" s="25"/>
      <c r="O2390" s="25"/>
      <c r="P2390" s="25"/>
    </row>
    <row r="2391" spans="1:16" x14ac:dyDescent="0.3">
      <c r="A2391" s="25"/>
      <c r="B2391" s="25"/>
      <c r="C2391" s="25"/>
      <c r="D2391" s="26"/>
      <c r="E2391" s="26"/>
      <c r="F2391" s="26"/>
      <c r="G2391" s="26"/>
      <c r="H2391" s="26"/>
      <c r="I2391" s="25"/>
      <c r="J2391" s="25"/>
      <c r="K2391" s="25"/>
      <c r="L2391" s="25"/>
      <c r="M2391" s="25"/>
      <c r="N2391" s="25"/>
      <c r="O2391" s="25"/>
      <c r="P2391" s="25"/>
    </row>
    <row r="2392" spans="1:16" x14ac:dyDescent="0.3">
      <c r="A2392" s="25"/>
      <c r="B2392" s="25"/>
      <c r="C2392" s="25"/>
      <c r="D2392" s="26"/>
      <c r="E2392" s="26"/>
      <c r="F2392" s="26"/>
      <c r="G2392" s="26"/>
      <c r="H2392" s="26"/>
      <c r="I2392" s="25"/>
      <c r="J2392" s="25"/>
      <c r="K2392" s="25"/>
      <c r="L2392" s="25"/>
      <c r="M2392" s="25"/>
      <c r="N2392" s="25"/>
      <c r="O2392" s="25"/>
      <c r="P2392" s="25"/>
    </row>
    <row r="2393" spans="1:16" x14ac:dyDescent="0.3">
      <c r="A2393" s="25"/>
      <c r="B2393" s="25"/>
      <c r="C2393" s="25"/>
      <c r="D2393" s="26"/>
      <c r="E2393" s="26"/>
      <c r="F2393" s="26"/>
      <c r="G2393" s="26"/>
      <c r="H2393" s="26"/>
      <c r="I2393" s="25"/>
      <c r="J2393" s="25"/>
      <c r="K2393" s="25"/>
      <c r="L2393" s="25"/>
      <c r="M2393" s="25"/>
      <c r="N2393" s="25"/>
      <c r="O2393" s="25"/>
      <c r="P2393" s="25"/>
    </row>
    <row r="2394" spans="1:16" x14ac:dyDescent="0.3">
      <c r="A2394" s="25"/>
      <c r="B2394" s="25"/>
      <c r="C2394" s="25"/>
      <c r="D2394" s="26"/>
      <c r="E2394" s="26"/>
      <c r="F2394" s="26"/>
      <c r="G2394" s="26"/>
      <c r="H2394" s="26"/>
      <c r="I2394" s="25"/>
      <c r="J2394" s="25"/>
      <c r="K2394" s="25"/>
      <c r="L2394" s="25"/>
      <c r="M2394" s="25"/>
      <c r="N2394" s="25"/>
      <c r="O2394" s="25"/>
      <c r="P2394" s="25"/>
    </row>
    <row r="2395" spans="1:16" x14ac:dyDescent="0.3">
      <c r="A2395" s="25"/>
      <c r="B2395" s="25"/>
      <c r="C2395" s="25"/>
      <c r="D2395" s="26"/>
      <c r="E2395" s="26"/>
      <c r="F2395" s="26"/>
      <c r="G2395" s="26"/>
      <c r="H2395" s="26"/>
      <c r="I2395" s="25"/>
      <c r="J2395" s="25"/>
      <c r="K2395" s="25"/>
      <c r="L2395" s="25"/>
      <c r="M2395" s="25"/>
      <c r="N2395" s="25"/>
      <c r="O2395" s="25"/>
      <c r="P2395" s="25"/>
    </row>
    <row r="2396" spans="1:16" x14ac:dyDescent="0.3">
      <c r="A2396" s="25"/>
      <c r="B2396" s="25"/>
      <c r="C2396" s="25"/>
      <c r="D2396" s="26"/>
      <c r="E2396" s="26"/>
      <c r="F2396" s="26"/>
      <c r="G2396" s="26"/>
      <c r="H2396" s="26"/>
      <c r="I2396" s="25"/>
      <c r="J2396" s="25"/>
      <c r="K2396" s="25"/>
      <c r="L2396" s="25"/>
      <c r="M2396" s="25"/>
      <c r="N2396" s="25"/>
      <c r="O2396" s="25"/>
      <c r="P2396" s="25"/>
    </row>
    <row r="2397" spans="1:16" x14ac:dyDescent="0.3">
      <c r="A2397" s="25"/>
      <c r="B2397" s="25"/>
      <c r="C2397" s="25"/>
      <c r="D2397" s="26"/>
      <c r="E2397" s="26"/>
      <c r="F2397" s="26"/>
      <c r="G2397" s="26"/>
      <c r="H2397" s="26"/>
      <c r="I2397" s="25"/>
      <c r="J2397" s="25"/>
      <c r="K2397" s="25"/>
      <c r="L2397" s="25"/>
      <c r="M2397" s="25"/>
      <c r="N2397" s="25"/>
      <c r="O2397" s="25"/>
      <c r="P2397" s="25"/>
    </row>
    <row r="2398" spans="1:16" x14ac:dyDescent="0.3">
      <c r="A2398" s="25"/>
      <c r="B2398" s="25"/>
      <c r="C2398" s="25"/>
      <c r="D2398" s="26"/>
      <c r="E2398" s="26"/>
      <c r="F2398" s="26"/>
      <c r="G2398" s="26"/>
      <c r="H2398" s="26"/>
      <c r="I2398" s="25"/>
      <c r="J2398" s="25"/>
      <c r="K2398" s="25"/>
      <c r="L2398" s="25"/>
      <c r="M2398" s="25"/>
      <c r="N2398" s="25"/>
      <c r="O2398" s="25"/>
      <c r="P2398" s="25"/>
    </row>
    <row r="2399" spans="1:16" x14ac:dyDescent="0.3">
      <c r="A2399" s="25"/>
      <c r="B2399" s="25"/>
      <c r="C2399" s="25"/>
      <c r="D2399" s="26"/>
      <c r="E2399" s="26"/>
      <c r="F2399" s="26"/>
      <c r="G2399" s="26"/>
      <c r="H2399" s="26"/>
      <c r="I2399" s="25"/>
      <c r="J2399" s="25"/>
      <c r="K2399" s="25"/>
      <c r="L2399" s="25"/>
      <c r="M2399" s="25"/>
      <c r="N2399" s="25"/>
      <c r="O2399" s="25"/>
      <c r="P2399" s="25"/>
    </row>
    <row r="2400" spans="1:16" x14ac:dyDescent="0.3">
      <c r="A2400" s="25"/>
      <c r="B2400" s="25"/>
      <c r="C2400" s="25"/>
      <c r="D2400" s="26"/>
      <c r="E2400" s="26"/>
      <c r="F2400" s="26"/>
      <c r="G2400" s="26"/>
      <c r="H2400" s="26"/>
      <c r="I2400" s="25"/>
      <c r="J2400" s="25"/>
      <c r="K2400" s="25"/>
      <c r="L2400" s="25"/>
      <c r="M2400" s="25"/>
      <c r="N2400" s="25"/>
      <c r="O2400" s="25"/>
      <c r="P2400" s="25"/>
    </row>
    <row r="2401" spans="1:16" x14ac:dyDescent="0.3">
      <c r="A2401" s="25"/>
      <c r="B2401" s="25"/>
      <c r="C2401" s="25"/>
      <c r="D2401" s="26"/>
      <c r="E2401" s="26"/>
      <c r="F2401" s="26"/>
      <c r="G2401" s="26"/>
      <c r="H2401" s="26"/>
      <c r="I2401" s="25"/>
      <c r="J2401" s="25"/>
      <c r="K2401" s="25"/>
      <c r="L2401" s="25"/>
      <c r="M2401" s="25"/>
      <c r="N2401" s="25"/>
      <c r="O2401" s="25"/>
      <c r="P2401" s="25"/>
    </row>
    <row r="2402" spans="1:16" x14ac:dyDescent="0.3">
      <c r="A2402" s="25"/>
      <c r="B2402" s="25"/>
      <c r="C2402" s="25"/>
      <c r="D2402" s="26"/>
      <c r="E2402" s="26"/>
      <c r="F2402" s="26"/>
      <c r="G2402" s="26"/>
      <c r="H2402" s="26"/>
      <c r="I2402" s="25"/>
      <c r="J2402" s="25"/>
      <c r="K2402" s="25"/>
      <c r="L2402" s="25"/>
      <c r="M2402" s="25"/>
      <c r="N2402" s="25"/>
      <c r="O2402" s="25"/>
      <c r="P2402" s="25"/>
    </row>
    <row r="2403" spans="1:16" x14ac:dyDescent="0.3">
      <c r="A2403" s="25"/>
      <c r="B2403" s="25"/>
      <c r="C2403" s="25"/>
      <c r="D2403" s="26"/>
      <c r="E2403" s="26"/>
      <c r="F2403" s="26"/>
      <c r="G2403" s="26"/>
      <c r="H2403" s="26"/>
      <c r="I2403" s="25"/>
      <c r="J2403" s="25"/>
      <c r="K2403" s="25"/>
      <c r="L2403" s="25"/>
      <c r="M2403" s="25"/>
      <c r="N2403" s="25"/>
      <c r="O2403" s="25"/>
      <c r="P2403" s="25"/>
    </row>
    <row r="2404" spans="1:16" x14ac:dyDescent="0.3">
      <c r="A2404" s="25"/>
      <c r="B2404" s="25"/>
      <c r="C2404" s="25"/>
      <c r="D2404" s="26"/>
      <c r="E2404" s="26"/>
      <c r="F2404" s="26"/>
      <c r="G2404" s="26"/>
      <c r="H2404" s="26"/>
      <c r="I2404" s="25"/>
      <c r="J2404" s="25"/>
      <c r="K2404" s="25"/>
      <c r="L2404" s="25"/>
      <c r="M2404" s="25"/>
      <c r="N2404" s="25"/>
      <c r="O2404" s="25"/>
      <c r="P2404" s="25"/>
    </row>
    <row r="2405" spans="1:16" x14ac:dyDescent="0.3">
      <c r="A2405" s="25"/>
      <c r="B2405" s="25"/>
      <c r="C2405" s="25"/>
      <c r="D2405" s="26"/>
      <c r="E2405" s="26"/>
      <c r="F2405" s="26"/>
      <c r="G2405" s="26"/>
      <c r="H2405" s="26"/>
      <c r="I2405" s="25"/>
      <c r="J2405" s="25"/>
      <c r="K2405" s="25"/>
      <c r="L2405" s="25"/>
      <c r="M2405" s="25"/>
      <c r="N2405" s="25"/>
      <c r="O2405" s="25"/>
      <c r="P2405" s="25"/>
    </row>
    <row r="2406" spans="1:16" x14ac:dyDescent="0.3">
      <c r="A2406" s="25"/>
      <c r="B2406" s="25"/>
      <c r="C2406" s="25"/>
      <c r="D2406" s="26"/>
      <c r="E2406" s="26"/>
      <c r="F2406" s="26"/>
      <c r="G2406" s="26"/>
      <c r="H2406" s="26"/>
      <c r="I2406" s="25"/>
      <c r="J2406" s="25"/>
      <c r="K2406" s="25"/>
      <c r="L2406" s="25"/>
      <c r="M2406" s="25"/>
      <c r="N2406" s="25"/>
      <c r="O2406" s="25"/>
      <c r="P2406" s="25"/>
    </row>
    <row r="2407" spans="1:16" x14ac:dyDescent="0.3">
      <c r="A2407" s="25"/>
      <c r="B2407" s="25"/>
      <c r="C2407" s="25"/>
      <c r="D2407" s="26"/>
      <c r="E2407" s="26"/>
      <c r="F2407" s="26"/>
      <c r="G2407" s="26"/>
      <c r="H2407" s="26"/>
      <c r="I2407" s="25"/>
      <c r="J2407" s="25"/>
      <c r="K2407" s="25"/>
      <c r="L2407" s="25"/>
      <c r="M2407" s="25"/>
      <c r="N2407" s="25"/>
      <c r="O2407" s="25"/>
      <c r="P2407" s="25"/>
    </row>
    <row r="2408" spans="1:16" x14ac:dyDescent="0.3">
      <c r="A2408" s="25"/>
      <c r="B2408" s="25"/>
      <c r="C2408" s="25"/>
      <c r="D2408" s="26"/>
      <c r="E2408" s="26"/>
      <c r="F2408" s="26"/>
      <c r="G2408" s="26"/>
      <c r="H2408" s="26"/>
      <c r="I2408" s="25"/>
      <c r="J2408" s="25"/>
      <c r="K2408" s="25"/>
      <c r="L2408" s="25"/>
      <c r="M2408" s="25"/>
      <c r="N2408" s="25"/>
      <c r="O2408" s="25"/>
      <c r="P2408" s="25"/>
    </row>
    <row r="2409" spans="1:16" x14ac:dyDescent="0.3">
      <c r="A2409" s="25"/>
      <c r="B2409" s="25"/>
      <c r="C2409" s="25"/>
      <c r="D2409" s="26"/>
      <c r="E2409" s="26"/>
      <c r="F2409" s="26"/>
      <c r="G2409" s="26"/>
      <c r="H2409" s="26"/>
      <c r="I2409" s="25"/>
      <c r="J2409" s="25"/>
      <c r="K2409" s="25"/>
      <c r="L2409" s="25"/>
      <c r="M2409" s="25"/>
      <c r="N2409" s="25"/>
      <c r="O2409" s="25"/>
      <c r="P2409" s="25"/>
    </row>
    <row r="2410" spans="1:16" x14ac:dyDescent="0.3">
      <c r="A2410" s="25"/>
      <c r="B2410" s="25"/>
      <c r="C2410" s="25"/>
      <c r="D2410" s="26"/>
      <c r="E2410" s="26"/>
      <c r="F2410" s="26"/>
      <c r="G2410" s="26"/>
      <c r="H2410" s="26"/>
      <c r="I2410" s="25"/>
      <c r="J2410" s="25"/>
      <c r="K2410" s="25"/>
      <c r="L2410" s="25"/>
      <c r="M2410" s="25"/>
      <c r="N2410" s="25"/>
      <c r="O2410" s="25"/>
      <c r="P2410" s="25"/>
    </row>
    <row r="2411" spans="1:16" x14ac:dyDescent="0.3">
      <c r="A2411" s="25"/>
      <c r="B2411" s="25"/>
      <c r="C2411" s="25"/>
      <c r="D2411" s="26"/>
      <c r="E2411" s="26"/>
      <c r="F2411" s="26"/>
      <c r="G2411" s="26"/>
      <c r="H2411" s="26"/>
      <c r="I2411" s="25"/>
      <c r="J2411" s="25"/>
      <c r="K2411" s="25"/>
      <c r="L2411" s="25"/>
      <c r="M2411" s="25"/>
      <c r="N2411" s="25"/>
      <c r="O2411" s="25"/>
      <c r="P2411" s="25"/>
    </row>
    <row r="2412" spans="1:16" x14ac:dyDescent="0.3">
      <c r="A2412" s="25"/>
      <c r="B2412" s="25"/>
      <c r="C2412" s="25"/>
      <c r="D2412" s="26"/>
      <c r="E2412" s="26"/>
      <c r="F2412" s="26"/>
      <c r="G2412" s="26"/>
      <c r="H2412" s="26"/>
      <c r="I2412" s="25"/>
      <c r="J2412" s="25"/>
      <c r="K2412" s="25"/>
      <c r="L2412" s="25"/>
      <c r="M2412" s="25"/>
      <c r="N2412" s="25"/>
      <c r="O2412" s="25"/>
      <c r="P2412" s="25"/>
    </row>
    <row r="2413" spans="1:16" x14ac:dyDescent="0.3">
      <c r="A2413" s="25"/>
      <c r="B2413" s="25"/>
      <c r="C2413" s="25"/>
      <c r="D2413" s="26"/>
      <c r="E2413" s="26"/>
      <c r="F2413" s="26"/>
      <c r="G2413" s="26"/>
      <c r="H2413" s="26"/>
      <c r="I2413" s="25"/>
      <c r="J2413" s="25"/>
      <c r="K2413" s="25"/>
      <c r="L2413" s="25"/>
      <c r="M2413" s="25"/>
      <c r="N2413" s="25"/>
      <c r="O2413" s="25"/>
      <c r="P2413" s="25"/>
    </row>
    <row r="2414" spans="1:16" x14ac:dyDescent="0.3">
      <c r="A2414" s="25"/>
      <c r="B2414" s="25"/>
      <c r="C2414" s="25"/>
      <c r="D2414" s="26"/>
      <c r="E2414" s="26"/>
      <c r="F2414" s="26"/>
      <c r="G2414" s="26"/>
      <c r="H2414" s="26"/>
      <c r="I2414" s="25"/>
      <c r="J2414" s="25"/>
      <c r="K2414" s="25"/>
      <c r="L2414" s="25"/>
      <c r="M2414" s="25"/>
      <c r="N2414" s="25"/>
      <c r="O2414" s="25"/>
      <c r="P2414" s="25"/>
    </row>
    <row r="2415" spans="1:16" x14ac:dyDescent="0.3">
      <c r="A2415" s="25"/>
      <c r="B2415" s="25"/>
      <c r="C2415" s="25"/>
      <c r="D2415" s="26"/>
      <c r="E2415" s="26"/>
      <c r="F2415" s="26"/>
      <c r="G2415" s="26"/>
      <c r="H2415" s="26"/>
      <c r="I2415" s="25"/>
      <c r="J2415" s="25"/>
      <c r="K2415" s="25"/>
      <c r="L2415" s="25"/>
      <c r="M2415" s="25"/>
      <c r="N2415" s="25"/>
      <c r="O2415" s="25"/>
      <c r="P2415" s="25"/>
    </row>
    <row r="2416" spans="1:16" x14ac:dyDescent="0.3">
      <c r="A2416" s="25"/>
      <c r="B2416" s="25"/>
      <c r="C2416" s="25"/>
      <c r="D2416" s="26"/>
      <c r="E2416" s="26"/>
      <c r="F2416" s="26"/>
      <c r="G2416" s="26"/>
      <c r="H2416" s="26"/>
      <c r="I2416" s="25"/>
      <c r="J2416" s="25"/>
      <c r="K2416" s="25"/>
      <c r="L2416" s="25"/>
      <c r="M2416" s="25"/>
      <c r="N2416" s="25"/>
      <c r="O2416" s="25"/>
      <c r="P2416" s="25"/>
    </row>
    <row r="2417" spans="1:16" x14ac:dyDescent="0.3">
      <c r="A2417" s="25"/>
      <c r="B2417" s="25"/>
      <c r="C2417" s="25"/>
      <c r="D2417" s="26"/>
      <c r="E2417" s="26"/>
      <c r="F2417" s="26"/>
      <c r="G2417" s="26"/>
      <c r="H2417" s="26"/>
      <c r="I2417" s="25"/>
      <c r="J2417" s="25"/>
      <c r="K2417" s="25"/>
      <c r="L2417" s="25"/>
      <c r="M2417" s="25"/>
      <c r="N2417" s="25"/>
      <c r="O2417" s="25"/>
      <c r="P2417" s="25"/>
    </row>
    <row r="2418" spans="1:16" x14ac:dyDescent="0.3">
      <c r="A2418" s="25"/>
      <c r="B2418" s="25"/>
      <c r="C2418" s="25"/>
      <c r="D2418" s="26"/>
      <c r="E2418" s="26"/>
      <c r="F2418" s="26"/>
      <c r="G2418" s="26"/>
      <c r="H2418" s="26"/>
      <c r="I2418" s="25"/>
      <c r="J2418" s="25"/>
      <c r="K2418" s="25"/>
      <c r="L2418" s="25"/>
      <c r="M2418" s="25"/>
      <c r="N2418" s="25"/>
      <c r="O2418" s="25"/>
      <c r="P2418" s="25"/>
    </row>
    <row r="2419" spans="1:16" x14ac:dyDescent="0.3">
      <c r="A2419" s="25"/>
      <c r="B2419" s="25"/>
      <c r="C2419" s="25"/>
      <c r="D2419" s="26"/>
      <c r="E2419" s="26"/>
      <c r="F2419" s="26"/>
      <c r="G2419" s="26"/>
      <c r="H2419" s="26"/>
      <c r="I2419" s="25"/>
      <c r="J2419" s="25"/>
      <c r="K2419" s="25"/>
      <c r="L2419" s="25"/>
      <c r="M2419" s="25"/>
      <c r="N2419" s="25"/>
      <c r="O2419" s="25"/>
      <c r="P2419" s="25"/>
    </row>
    <row r="2420" spans="1:16" x14ac:dyDescent="0.3">
      <c r="A2420" s="25"/>
      <c r="B2420" s="25"/>
      <c r="C2420" s="25"/>
      <c r="D2420" s="26"/>
      <c r="E2420" s="26"/>
      <c r="F2420" s="26"/>
      <c r="G2420" s="26"/>
      <c r="H2420" s="26"/>
      <c r="I2420" s="25"/>
      <c r="J2420" s="25"/>
      <c r="K2420" s="25"/>
      <c r="L2420" s="25"/>
      <c r="M2420" s="25"/>
      <c r="N2420" s="25"/>
      <c r="O2420" s="25"/>
      <c r="P2420" s="25"/>
    </row>
    <row r="2421" spans="1:16" x14ac:dyDescent="0.3">
      <c r="A2421" s="25"/>
      <c r="B2421" s="25"/>
      <c r="C2421" s="25"/>
      <c r="D2421" s="26"/>
      <c r="E2421" s="26"/>
      <c r="F2421" s="26"/>
      <c r="G2421" s="26"/>
      <c r="H2421" s="26"/>
      <c r="I2421" s="25"/>
      <c r="J2421" s="25"/>
      <c r="K2421" s="25"/>
      <c r="L2421" s="25"/>
      <c r="M2421" s="25"/>
      <c r="N2421" s="25"/>
      <c r="O2421" s="25"/>
      <c r="P2421" s="25"/>
    </row>
    <row r="2422" spans="1:16" x14ac:dyDescent="0.3">
      <c r="A2422" s="25"/>
      <c r="B2422" s="25"/>
      <c r="C2422" s="25"/>
      <c r="D2422" s="26"/>
      <c r="E2422" s="26"/>
      <c r="F2422" s="26"/>
      <c r="G2422" s="26"/>
      <c r="H2422" s="26"/>
      <c r="I2422" s="25"/>
      <c r="J2422" s="25"/>
      <c r="K2422" s="25"/>
      <c r="L2422" s="25"/>
      <c r="M2422" s="25"/>
      <c r="N2422" s="25"/>
      <c r="O2422" s="25"/>
      <c r="P2422" s="25"/>
    </row>
    <row r="2423" spans="1:16" x14ac:dyDescent="0.3">
      <c r="A2423" s="25"/>
      <c r="B2423" s="25"/>
      <c r="C2423" s="25"/>
      <c r="D2423" s="26"/>
      <c r="E2423" s="26"/>
      <c r="F2423" s="26"/>
      <c r="G2423" s="26"/>
      <c r="H2423" s="26"/>
      <c r="I2423" s="25"/>
      <c r="J2423" s="25"/>
      <c r="K2423" s="25"/>
      <c r="L2423" s="25"/>
      <c r="M2423" s="25"/>
      <c r="N2423" s="25"/>
      <c r="O2423" s="25"/>
      <c r="P2423" s="25"/>
    </row>
    <row r="2424" spans="1:16" x14ac:dyDescent="0.3">
      <c r="A2424" s="25"/>
      <c r="B2424" s="25"/>
      <c r="C2424" s="25"/>
      <c r="D2424" s="26"/>
      <c r="E2424" s="26"/>
      <c r="F2424" s="26"/>
      <c r="G2424" s="26"/>
      <c r="H2424" s="26"/>
      <c r="I2424" s="25"/>
      <c r="J2424" s="25"/>
      <c r="K2424" s="25"/>
      <c r="L2424" s="25"/>
      <c r="M2424" s="25"/>
      <c r="N2424" s="25"/>
      <c r="O2424" s="25"/>
      <c r="P2424" s="25"/>
    </row>
    <row r="2425" spans="1:16" x14ac:dyDescent="0.3">
      <c r="A2425" s="25"/>
      <c r="B2425" s="25"/>
      <c r="C2425" s="25"/>
      <c r="D2425" s="26"/>
      <c r="E2425" s="26"/>
      <c r="F2425" s="26"/>
      <c r="G2425" s="26"/>
      <c r="H2425" s="26"/>
      <c r="I2425" s="25"/>
      <c r="J2425" s="25"/>
      <c r="K2425" s="25"/>
      <c r="L2425" s="25"/>
      <c r="M2425" s="25"/>
      <c r="N2425" s="25"/>
      <c r="O2425" s="25"/>
      <c r="P2425" s="25"/>
    </row>
    <row r="2426" spans="1:16" x14ac:dyDescent="0.3">
      <c r="A2426" s="25"/>
      <c r="B2426" s="25"/>
      <c r="C2426" s="25"/>
      <c r="D2426" s="26"/>
      <c r="E2426" s="26"/>
      <c r="F2426" s="26"/>
      <c r="G2426" s="26"/>
      <c r="H2426" s="26"/>
      <c r="I2426" s="25"/>
      <c r="J2426" s="25"/>
      <c r="K2426" s="25"/>
      <c r="L2426" s="25"/>
      <c r="M2426" s="25"/>
      <c r="N2426" s="25"/>
      <c r="O2426" s="25"/>
      <c r="P2426" s="25"/>
    </row>
    <row r="2427" spans="1:16" x14ac:dyDescent="0.3">
      <c r="A2427" s="25"/>
      <c r="B2427" s="25"/>
      <c r="C2427" s="25"/>
      <c r="D2427" s="26"/>
      <c r="E2427" s="26"/>
      <c r="F2427" s="26"/>
      <c r="G2427" s="26"/>
      <c r="H2427" s="26"/>
      <c r="I2427" s="25"/>
      <c r="J2427" s="25"/>
      <c r="K2427" s="25"/>
      <c r="L2427" s="25"/>
      <c r="M2427" s="25"/>
      <c r="N2427" s="25"/>
      <c r="O2427" s="25"/>
      <c r="P2427" s="25"/>
    </row>
    <row r="2428" spans="1:16" x14ac:dyDescent="0.3">
      <c r="A2428" s="25"/>
      <c r="B2428" s="25"/>
      <c r="C2428" s="25"/>
      <c r="D2428" s="26"/>
      <c r="E2428" s="26"/>
      <c r="F2428" s="26"/>
      <c r="G2428" s="26"/>
      <c r="H2428" s="26"/>
      <c r="I2428" s="25"/>
      <c r="J2428" s="25"/>
      <c r="K2428" s="25"/>
      <c r="L2428" s="25"/>
      <c r="M2428" s="25"/>
      <c r="N2428" s="25"/>
      <c r="O2428" s="25"/>
      <c r="P2428" s="25"/>
    </row>
    <row r="2429" spans="1:16" x14ac:dyDescent="0.3">
      <c r="A2429" s="25"/>
      <c r="B2429" s="25"/>
      <c r="C2429" s="25"/>
      <c r="D2429" s="26"/>
      <c r="E2429" s="26"/>
      <c r="F2429" s="26"/>
      <c r="G2429" s="26"/>
      <c r="H2429" s="26"/>
      <c r="I2429" s="25"/>
      <c r="J2429" s="25"/>
      <c r="K2429" s="25"/>
      <c r="L2429" s="25"/>
      <c r="M2429" s="25"/>
      <c r="N2429" s="25"/>
      <c r="O2429" s="25"/>
      <c r="P2429" s="25"/>
    </row>
    <row r="2430" spans="1:16" x14ac:dyDescent="0.3">
      <c r="A2430" s="25"/>
      <c r="B2430" s="25"/>
      <c r="C2430" s="25"/>
      <c r="D2430" s="26"/>
      <c r="E2430" s="26"/>
      <c r="F2430" s="26"/>
      <c r="G2430" s="26"/>
      <c r="H2430" s="26"/>
      <c r="I2430" s="25"/>
      <c r="J2430" s="25"/>
      <c r="K2430" s="25"/>
      <c r="L2430" s="25"/>
      <c r="M2430" s="25"/>
      <c r="N2430" s="25"/>
      <c r="O2430" s="25"/>
      <c r="P2430" s="25"/>
    </row>
    <row r="2431" spans="1:16" x14ac:dyDescent="0.3">
      <c r="A2431" s="25"/>
      <c r="B2431" s="25"/>
      <c r="C2431" s="25"/>
      <c r="D2431" s="26"/>
      <c r="E2431" s="26"/>
      <c r="F2431" s="26"/>
      <c r="G2431" s="26"/>
      <c r="H2431" s="26"/>
      <c r="I2431" s="25"/>
      <c r="J2431" s="25"/>
      <c r="K2431" s="25"/>
      <c r="L2431" s="25"/>
      <c r="M2431" s="25"/>
      <c r="N2431" s="25"/>
      <c r="O2431" s="25"/>
      <c r="P2431" s="25"/>
    </row>
    <row r="2432" spans="1:16" x14ac:dyDescent="0.3">
      <c r="A2432" s="25"/>
      <c r="B2432" s="25"/>
      <c r="C2432" s="25"/>
      <c r="D2432" s="26"/>
      <c r="E2432" s="26"/>
      <c r="F2432" s="26"/>
      <c r="G2432" s="26"/>
      <c r="H2432" s="26"/>
      <c r="I2432" s="25"/>
      <c r="J2432" s="25"/>
      <c r="K2432" s="25"/>
      <c r="L2432" s="25"/>
      <c r="M2432" s="25"/>
      <c r="N2432" s="25"/>
      <c r="O2432" s="25"/>
      <c r="P2432" s="25"/>
    </row>
    <row r="2433" spans="1:16" x14ac:dyDescent="0.3">
      <c r="A2433" s="25"/>
      <c r="B2433" s="25"/>
      <c r="C2433" s="25"/>
      <c r="D2433" s="26"/>
      <c r="E2433" s="26"/>
      <c r="F2433" s="26"/>
      <c r="G2433" s="26"/>
      <c r="H2433" s="26"/>
      <c r="I2433" s="25"/>
      <c r="J2433" s="25"/>
      <c r="K2433" s="25"/>
      <c r="L2433" s="25"/>
      <c r="M2433" s="25"/>
      <c r="N2433" s="25"/>
      <c r="O2433" s="25"/>
      <c r="P2433" s="25"/>
    </row>
    <row r="2434" spans="1:16" x14ac:dyDescent="0.3">
      <c r="A2434" s="25"/>
      <c r="B2434" s="25"/>
      <c r="C2434" s="25"/>
      <c r="D2434" s="26"/>
      <c r="E2434" s="26"/>
      <c r="F2434" s="26"/>
      <c r="G2434" s="26"/>
      <c r="H2434" s="26"/>
      <c r="I2434" s="25"/>
      <c r="J2434" s="25"/>
      <c r="K2434" s="25"/>
      <c r="L2434" s="25"/>
      <c r="M2434" s="25"/>
      <c r="N2434" s="25"/>
      <c r="O2434" s="25"/>
      <c r="P2434" s="25"/>
    </row>
    <row r="2435" spans="1:16" x14ac:dyDescent="0.3">
      <c r="A2435" s="25"/>
      <c r="B2435" s="25"/>
      <c r="C2435" s="25"/>
      <c r="D2435" s="26"/>
      <c r="E2435" s="26"/>
      <c r="F2435" s="26"/>
      <c r="G2435" s="26"/>
      <c r="H2435" s="26"/>
      <c r="I2435" s="25"/>
      <c r="J2435" s="25"/>
      <c r="K2435" s="25"/>
      <c r="L2435" s="25"/>
      <c r="M2435" s="25"/>
      <c r="N2435" s="25"/>
      <c r="O2435" s="25"/>
      <c r="P2435" s="25"/>
    </row>
    <row r="2436" spans="1:16" x14ac:dyDescent="0.3">
      <c r="A2436" s="25"/>
      <c r="B2436" s="25"/>
      <c r="C2436" s="25"/>
      <c r="D2436" s="26"/>
      <c r="E2436" s="26"/>
      <c r="F2436" s="26"/>
      <c r="G2436" s="26"/>
      <c r="H2436" s="26"/>
      <c r="I2436" s="25"/>
      <c r="J2436" s="25"/>
      <c r="K2436" s="25"/>
      <c r="L2436" s="25"/>
      <c r="M2436" s="25"/>
      <c r="N2436" s="25"/>
      <c r="O2436" s="25"/>
      <c r="P2436" s="25"/>
    </row>
    <row r="2437" spans="1:16" x14ac:dyDescent="0.3">
      <c r="A2437" s="25"/>
      <c r="B2437" s="25"/>
      <c r="C2437" s="25"/>
      <c r="D2437" s="26"/>
      <c r="E2437" s="26"/>
      <c r="F2437" s="26"/>
      <c r="G2437" s="26"/>
      <c r="H2437" s="26"/>
      <c r="I2437" s="25"/>
      <c r="J2437" s="25"/>
      <c r="K2437" s="25"/>
      <c r="L2437" s="25"/>
      <c r="M2437" s="25"/>
      <c r="N2437" s="25"/>
      <c r="O2437" s="25"/>
      <c r="P2437" s="25"/>
    </row>
    <row r="2438" spans="1:16" x14ac:dyDescent="0.3">
      <c r="A2438" s="25"/>
      <c r="B2438" s="25"/>
      <c r="C2438" s="25"/>
      <c r="D2438" s="26"/>
      <c r="E2438" s="26"/>
      <c r="F2438" s="26"/>
      <c r="G2438" s="26"/>
      <c r="H2438" s="26"/>
      <c r="I2438" s="25"/>
      <c r="J2438" s="25"/>
      <c r="K2438" s="25"/>
      <c r="L2438" s="25"/>
      <c r="M2438" s="25"/>
      <c r="N2438" s="25"/>
      <c r="O2438" s="25"/>
      <c r="P2438" s="25"/>
    </row>
    <row r="2439" spans="1:16" x14ac:dyDescent="0.3">
      <c r="A2439" s="25"/>
      <c r="B2439" s="25"/>
      <c r="C2439" s="25"/>
      <c r="D2439" s="26"/>
      <c r="E2439" s="26"/>
      <c r="F2439" s="26"/>
      <c r="G2439" s="26"/>
      <c r="H2439" s="26"/>
      <c r="I2439" s="25"/>
      <c r="J2439" s="25"/>
      <c r="K2439" s="25"/>
      <c r="L2439" s="25"/>
      <c r="M2439" s="25"/>
      <c r="N2439" s="25"/>
      <c r="O2439" s="25"/>
      <c r="P2439" s="25"/>
    </row>
    <row r="2440" spans="1:16" x14ac:dyDescent="0.3">
      <c r="A2440" s="25"/>
      <c r="B2440" s="25"/>
      <c r="C2440" s="25"/>
      <c r="D2440" s="26"/>
      <c r="E2440" s="26"/>
      <c r="F2440" s="26"/>
      <c r="G2440" s="26"/>
      <c r="H2440" s="26"/>
      <c r="I2440" s="25"/>
      <c r="J2440" s="25"/>
      <c r="K2440" s="25"/>
      <c r="L2440" s="25"/>
      <c r="M2440" s="25"/>
      <c r="N2440" s="25"/>
      <c r="O2440" s="25"/>
      <c r="P2440" s="25"/>
    </row>
    <row r="2441" spans="1:16" x14ac:dyDescent="0.3">
      <c r="A2441" s="25"/>
      <c r="B2441" s="25"/>
      <c r="C2441" s="25"/>
      <c r="D2441" s="26"/>
      <c r="E2441" s="26"/>
      <c r="F2441" s="26"/>
      <c r="G2441" s="26"/>
      <c r="H2441" s="26"/>
      <c r="I2441" s="25"/>
      <c r="J2441" s="25"/>
      <c r="K2441" s="25"/>
      <c r="L2441" s="25"/>
      <c r="M2441" s="25"/>
      <c r="N2441" s="25"/>
      <c r="O2441" s="25"/>
      <c r="P2441" s="25"/>
    </row>
    <row r="2442" spans="1:16" x14ac:dyDescent="0.3">
      <c r="A2442" s="25"/>
      <c r="B2442" s="25"/>
      <c r="C2442" s="25"/>
      <c r="D2442" s="26"/>
      <c r="E2442" s="26"/>
      <c r="F2442" s="26"/>
      <c r="G2442" s="26"/>
      <c r="H2442" s="26"/>
      <c r="I2442" s="25"/>
      <c r="J2442" s="25"/>
      <c r="K2442" s="25"/>
      <c r="L2442" s="25"/>
      <c r="M2442" s="25"/>
      <c r="N2442" s="25"/>
      <c r="O2442" s="25"/>
      <c r="P2442" s="25"/>
    </row>
    <row r="2443" spans="1:16" x14ac:dyDescent="0.3">
      <c r="A2443" s="25"/>
      <c r="B2443" s="25"/>
      <c r="C2443" s="25"/>
      <c r="D2443" s="26"/>
      <c r="E2443" s="26"/>
      <c r="F2443" s="26"/>
      <c r="G2443" s="26"/>
      <c r="H2443" s="26"/>
      <c r="I2443" s="25"/>
      <c r="J2443" s="25"/>
      <c r="K2443" s="25"/>
      <c r="L2443" s="25"/>
      <c r="M2443" s="25"/>
      <c r="N2443" s="25"/>
      <c r="O2443" s="25"/>
      <c r="P2443" s="25"/>
    </row>
    <row r="2444" spans="1:16" x14ac:dyDescent="0.3">
      <c r="A2444" s="25"/>
      <c r="B2444" s="25"/>
      <c r="C2444" s="25"/>
      <c r="D2444" s="26"/>
      <c r="E2444" s="26"/>
      <c r="F2444" s="26"/>
      <c r="G2444" s="26"/>
      <c r="H2444" s="26"/>
      <c r="I2444" s="25"/>
      <c r="J2444" s="25"/>
      <c r="K2444" s="25"/>
      <c r="L2444" s="25"/>
      <c r="M2444" s="25"/>
      <c r="N2444" s="25"/>
      <c r="O2444" s="25"/>
      <c r="P2444" s="25"/>
    </row>
    <row r="2445" spans="1:16" x14ac:dyDescent="0.3">
      <c r="A2445" s="25"/>
      <c r="B2445" s="25"/>
      <c r="C2445" s="25"/>
      <c r="D2445" s="26"/>
      <c r="E2445" s="26"/>
      <c r="F2445" s="26"/>
      <c r="G2445" s="26"/>
      <c r="H2445" s="26"/>
      <c r="I2445" s="25"/>
      <c r="J2445" s="25"/>
      <c r="K2445" s="25"/>
      <c r="L2445" s="25"/>
      <c r="M2445" s="25"/>
      <c r="N2445" s="25"/>
      <c r="O2445" s="25"/>
      <c r="P2445" s="25"/>
    </row>
    <row r="2446" spans="1:16" x14ac:dyDescent="0.3">
      <c r="A2446" s="25"/>
      <c r="B2446" s="25"/>
      <c r="C2446" s="25"/>
      <c r="D2446" s="26"/>
      <c r="E2446" s="26"/>
      <c r="F2446" s="26"/>
      <c r="G2446" s="26"/>
      <c r="H2446" s="26"/>
      <c r="I2446" s="25"/>
      <c r="J2446" s="25"/>
      <c r="K2446" s="25"/>
      <c r="L2446" s="25"/>
      <c r="M2446" s="25"/>
      <c r="N2446" s="25"/>
      <c r="O2446" s="25"/>
      <c r="P2446" s="25"/>
    </row>
    <row r="2447" spans="1:16" x14ac:dyDescent="0.3">
      <c r="A2447" s="25"/>
      <c r="B2447" s="25"/>
      <c r="C2447" s="25"/>
      <c r="D2447" s="26"/>
      <c r="E2447" s="26"/>
      <c r="F2447" s="26"/>
      <c r="G2447" s="26"/>
      <c r="H2447" s="26"/>
      <c r="I2447" s="25"/>
      <c r="J2447" s="25"/>
      <c r="K2447" s="25"/>
      <c r="L2447" s="25"/>
      <c r="M2447" s="25"/>
      <c r="N2447" s="25"/>
      <c r="O2447" s="25"/>
      <c r="P2447" s="25"/>
    </row>
    <row r="2448" spans="1:16" x14ac:dyDescent="0.3">
      <c r="A2448" s="25"/>
      <c r="B2448" s="25"/>
      <c r="C2448" s="25"/>
      <c r="D2448" s="26"/>
      <c r="E2448" s="26"/>
      <c r="F2448" s="26"/>
      <c r="G2448" s="26"/>
      <c r="H2448" s="26"/>
      <c r="I2448" s="25"/>
      <c r="J2448" s="25"/>
      <c r="K2448" s="25"/>
      <c r="L2448" s="25"/>
      <c r="M2448" s="25"/>
      <c r="N2448" s="25"/>
      <c r="O2448" s="25"/>
      <c r="P2448" s="25"/>
    </row>
    <row r="2449" spans="1:16" x14ac:dyDescent="0.3">
      <c r="A2449" s="25"/>
      <c r="B2449" s="25"/>
      <c r="C2449" s="25"/>
      <c r="D2449" s="26"/>
      <c r="E2449" s="26"/>
      <c r="F2449" s="26"/>
      <c r="G2449" s="26"/>
      <c r="H2449" s="26"/>
      <c r="I2449" s="25"/>
      <c r="J2449" s="25"/>
      <c r="K2449" s="25"/>
      <c r="L2449" s="25"/>
      <c r="M2449" s="25"/>
      <c r="N2449" s="25"/>
      <c r="O2449" s="25"/>
      <c r="P2449" s="25"/>
    </row>
    <row r="2450" spans="1:16" x14ac:dyDescent="0.3">
      <c r="A2450" s="25"/>
      <c r="B2450" s="25"/>
      <c r="C2450" s="25"/>
      <c r="D2450" s="26"/>
      <c r="E2450" s="26"/>
      <c r="F2450" s="26"/>
      <c r="G2450" s="26"/>
      <c r="H2450" s="26"/>
      <c r="I2450" s="25"/>
      <c r="J2450" s="25"/>
      <c r="K2450" s="25"/>
      <c r="L2450" s="25"/>
      <c r="M2450" s="25"/>
      <c r="N2450" s="25"/>
      <c r="O2450" s="25"/>
      <c r="P2450" s="25"/>
    </row>
    <row r="2451" spans="1:16" x14ac:dyDescent="0.3">
      <c r="A2451" s="25"/>
      <c r="B2451" s="25"/>
      <c r="C2451" s="25"/>
      <c r="D2451" s="26"/>
      <c r="E2451" s="26"/>
      <c r="F2451" s="26"/>
      <c r="G2451" s="26"/>
      <c r="H2451" s="26"/>
      <c r="I2451" s="25"/>
      <c r="J2451" s="25"/>
      <c r="K2451" s="25"/>
      <c r="L2451" s="25"/>
      <c r="M2451" s="25"/>
      <c r="N2451" s="25"/>
      <c r="O2451" s="25"/>
      <c r="P2451" s="25"/>
    </row>
    <row r="2452" spans="1:16" x14ac:dyDescent="0.3">
      <c r="A2452" s="25"/>
      <c r="B2452" s="25"/>
      <c r="C2452" s="25"/>
      <c r="D2452" s="26"/>
      <c r="E2452" s="26"/>
      <c r="F2452" s="26"/>
      <c r="G2452" s="26"/>
      <c r="H2452" s="26"/>
      <c r="I2452" s="25"/>
      <c r="J2452" s="25"/>
      <c r="K2452" s="25"/>
      <c r="L2452" s="25"/>
      <c r="M2452" s="25"/>
      <c r="N2452" s="25"/>
      <c r="O2452" s="25"/>
      <c r="P2452" s="25"/>
    </row>
    <row r="2453" spans="1:16" x14ac:dyDescent="0.3">
      <c r="A2453" s="25"/>
      <c r="B2453" s="25"/>
      <c r="C2453" s="25"/>
      <c r="D2453" s="26"/>
      <c r="E2453" s="26"/>
      <c r="F2453" s="26"/>
      <c r="G2453" s="26"/>
      <c r="H2453" s="26"/>
      <c r="I2453" s="25"/>
      <c r="J2453" s="25"/>
      <c r="K2453" s="25"/>
      <c r="L2453" s="25"/>
      <c r="M2453" s="25"/>
      <c r="N2453" s="25"/>
      <c r="O2453" s="25"/>
      <c r="P2453" s="25"/>
    </row>
    <row r="2454" spans="1:16" x14ac:dyDescent="0.3">
      <c r="A2454" s="25"/>
      <c r="B2454" s="25"/>
      <c r="C2454" s="25"/>
      <c r="D2454" s="26"/>
      <c r="E2454" s="26"/>
      <c r="F2454" s="26"/>
      <c r="G2454" s="26"/>
      <c r="H2454" s="26"/>
      <c r="I2454" s="25"/>
      <c r="J2454" s="25"/>
      <c r="K2454" s="25"/>
      <c r="L2454" s="25"/>
      <c r="M2454" s="25"/>
      <c r="N2454" s="25"/>
      <c r="O2454" s="25"/>
      <c r="P2454" s="25"/>
    </row>
    <row r="2455" spans="1:16" x14ac:dyDescent="0.3">
      <c r="A2455" s="25"/>
      <c r="B2455" s="25"/>
      <c r="C2455" s="25"/>
      <c r="D2455" s="26"/>
      <c r="E2455" s="26"/>
      <c r="F2455" s="26"/>
      <c r="G2455" s="26"/>
      <c r="H2455" s="26"/>
      <c r="I2455" s="25"/>
      <c r="J2455" s="25"/>
      <c r="K2455" s="25"/>
      <c r="L2455" s="25"/>
      <c r="M2455" s="25"/>
      <c r="N2455" s="25"/>
      <c r="O2455" s="25"/>
      <c r="P2455" s="25"/>
    </row>
    <row r="2456" spans="1:16" x14ac:dyDescent="0.3">
      <c r="A2456" s="25"/>
      <c r="B2456" s="25"/>
      <c r="C2456" s="25"/>
      <c r="D2456" s="26"/>
      <c r="E2456" s="26"/>
      <c r="F2456" s="26"/>
      <c r="G2456" s="26"/>
      <c r="H2456" s="26"/>
      <c r="I2456" s="25"/>
      <c r="J2456" s="25"/>
      <c r="K2456" s="25"/>
      <c r="L2456" s="25"/>
      <c r="M2456" s="25"/>
      <c r="N2456" s="25"/>
      <c r="O2456" s="25"/>
      <c r="P2456" s="25"/>
    </row>
    <row r="2457" spans="1:16" x14ac:dyDescent="0.3">
      <c r="A2457" s="25"/>
      <c r="B2457" s="25"/>
      <c r="C2457" s="25"/>
      <c r="D2457" s="26"/>
      <c r="E2457" s="26"/>
      <c r="F2457" s="26"/>
      <c r="G2457" s="26"/>
      <c r="H2457" s="26"/>
      <c r="I2457" s="25"/>
      <c r="J2457" s="25"/>
      <c r="K2457" s="25"/>
      <c r="L2457" s="25"/>
      <c r="M2457" s="25"/>
      <c r="N2457" s="25"/>
      <c r="O2457" s="25"/>
      <c r="P2457" s="25"/>
    </row>
    <row r="2458" spans="1:16" x14ac:dyDescent="0.3">
      <c r="A2458" s="25"/>
      <c r="B2458" s="25"/>
      <c r="C2458" s="25"/>
      <c r="D2458" s="26"/>
      <c r="E2458" s="26"/>
      <c r="F2458" s="26"/>
      <c r="G2458" s="26"/>
      <c r="H2458" s="26"/>
      <c r="I2458" s="25"/>
      <c r="J2458" s="25"/>
      <c r="K2458" s="25"/>
      <c r="L2458" s="25"/>
      <c r="M2458" s="25"/>
      <c r="N2458" s="25"/>
      <c r="O2458" s="25"/>
      <c r="P2458" s="25"/>
    </row>
    <row r="2459" spans="1:16" x14ac:dyDescent="0.3">
      <c r="A2459" s="25"/>
      <c r="B2459" s="25"/>
      <c r="C2459" s="25"/>
      <c r="D2459" s="26"/>
      <c r="E2459" s="26"/>
      <c r="F2459" s="26"/>
      <c r="G2459" s="26"/>
      <c r="H2459" s="26"/>
      <c r="I2459" s="25"/>
      <c r="J2459" s="25"/>
      <c r="K2459" s="25"/>
      <c r="L2459" s="25"/>
      <c r="M2459" s="25"/>
      <c r="N2459" s="25"/>
      <c r="O2459" s="25"/>
      <c r="P2459" s="25"/>
    </row>
    <row r="2460" spans="1:16" x14ac:dyDescent="0.3">
      <c r="A2460" s="25"/>
      <c r="B2460" s="25"/>
      <c r="C2460" s="25"/>
      <c r="D2460" s="26"/>
      <c r="E2460" s="26"/>
      <c r="F2460" s="26"/>
      <c r="G2460" s="26"/>
      <c r="H2460" s="26"/>
      <c r="I2460" s="25"/>
      <c r="J2460" s="25"/>
      <c r="K2460" s="25"/>
      <c r="L2460" s="25"/>
      <c r="M2460" s="25"/>
      <c r="N2460" s="25"/>
      <c r="O2460" s="25"/>
      <c r="P2460" s="25"/>
    </row>
    <row r="2461" spans="1:16" x14ac:dyDescent="0.3">
      <c r="A2461" s="25"/>
      <c r="B2461" s="25"/>
      <c r="C2461" s="25"/>
      <c r="D2461" s="26"/>
      <c r="E2461" s="26"/>
      <c r="F2461" s="26"/>
      <c r="G2461" s="26"/>
      <c r="H2461" s="26"/>
      <c r="I2461" s="25"/>
      <c r="J2461" s="25"/>
      <c r="K2461" s="25"/>
      <c r="L2461" s="25"/>
      <c r="M2461" s="25"/>
      <c r="N2461" s="25"/>
      <c r="O2461" s="25"/>
      <c r="P2461" s="25"/>
    </row>
    <row r="2462" spans="1:16" x14ac:dyDescent="0.3">
      <c r="A2462" s="25"/>
      <c r="B2462" s="25"/>
      <c r="C2462" s="25"/>
      <c r="D2462" s="26"/>
      <c r="E2462" s="26"/>
      <c r="F2462" s="26"/>
      <c r="G2462" s="26"/>
      <c r="H2462" s="26"/>
      <c r="I2462" s="25"/>
      <c r="J2462" s="25"/>
      <c r="K2462" s="25"/>
      <c r="L2462" s="25"/>
      <c r="M2462" s="25"/>
      <c r="N2462" s="25"/>
      <c r="O2462" s="25"/>
      <c r="P2462" s="25"/>
    </row>
    <row r="2463" spans="1:16" x14ac:dyDescent="0.3">
      <c r="A2463" s="25"/>
      <c r="B2463" s="25"/>
      <c r="C2463" s="25"/>
      <c r="D2463" s="26"/>
      <c r="E2463" s="26"/>
      <c r="F2463" s="26"/>
      <c r="G2463" s="26"/>
      <c r="H2463" s="26"/>
      <c r="I2463" s="25"/>
      <c r="J2463" s="25"/>
      <c r="K2463" s="25"/>
      <c r="L2463" s="25"/>
      <c r="M2463" s="25"/>
      <c r="N2463" s="25"/>
      <c r="O2463" s="25"/>
      <c r="P2463" s="25"/>
    </row>
    <row r="2464" spans="1:16" x14ac:dyDescent="0.3">
      <c r="A2464" s="25"/>
      <c r="B2464" s="25"/>
      <c r="C2464" s="25"/>
      <c r="D2464" s="26"/>
      <c r="E2464" s="26"/>
      <c r="F2464" s="26"/>
      <c r="G2464" s="26"/>
      <c r="H2464" s="26"/>
      <c r="I2464" s="25"/>
      <c r="J2464" s="25"/>
      <c r="K2464" s="25"/>
      <c r="L2464" s="25"/>
      <c r="M2464" s="25"/>
      <c r="N2464" s="25"/>
      <c r="O2464" s="25"/>
      <c r="P2464" s="25"/>
    </row>
    <row r="2465" spans="1:16" x14ac:dyDescent="0.3">
      <c r="A2465" s="25"/>
      <c r="B2465" s="25"/>
      <c r="C2465" s="25"/>
      <c r="D2465" s="26"/>
      <c r="E2465" s="26"/>
      <c r="F2465" s="26"/>
      <c r="G2465" s="26"/>
      <c r="H2465" s="26"/>
      <c r="I2465" s="25"/>
      <c r="J2465" s="25"/>
      <c r="K2465" s="25"/>
      <c r="L2465" s="25"/>
      <c r="M2465" s="25"/>
      <c r="N2465" s="25"/>
      <c r="O2465" s="25"/>
      <c r="P2465" s="25"/>
    </row>
    <row r="2466" spans="1:16" x14ac:dyDescent="0.3">
      <c r="A2466" s="25"/>
      <c r="B2466" s="25"/>
      <c r="C2466" s="25"/>
      <c r="D2466" s="26"/>
      <c r="E2466" s="26"/>
      <c r="F2466" s="26"/>
      <c r="G2466" s="26"/>
      <c r="H2466" s="26"/>
      <c r="I2466" s="25"/>
      <c r="J2466" s="25"/>
      <c r="K2466" s="25"/>
      <c r="L2466" s="25"/>
      <c r="M2466" s="25"/>
      <c r="N2466" s="25"/>
      <c r="O2466" s="25"/>
      <c r="P2466" s="25"/>
    </row>
    <row r="2467" spans="1:16" x14ac:dyDescent="0.3">
      <c r="A2467" s="25"/>
      <c r="B2467" s="25"/>
      <c r="C2467" s="25"/>
      <c r="D2467" s="26"/>
      <c r="E2467" s="26"/>
      <c r="F2467" s="26"/>
      <c r="G2467" s="26"/>
      <c r="H2467" s="26"/>
      <c r="I2467" s="25"/>
      <c r="J2467" s="25"/>
      <c r="K2467" s="25"/>
      <c r="L2467" s="25"/>
      <c r="M2467" s="25"/>
      <c r="N2467" s="25"/>
      <c r="O2467" s="25"/>
      <c r="P2467" s="25"/>
    </row>
    <row r="2468" spans="1:16" x14ac:dyDescent="0.3">
      <c r="A2468" s="25"/>
      <c r="B2468" s="25"/>
      <c r="C2468" s="25"/>
      <c r="D2468" s="26"/>
      <c r="E2468" s="26"/>
      <c r="F2468" s="26"/>
      <c r="G2468" s="26"/>
      <c r="H2468" s="26"/>
      <c r="I2468" s="25"/>
      <c r="J2468" s="25"/>
      <c r="K2468" s="25"/>
      <c r="L2468" s="25"/>
      <c r="M2468" s="25"/>
      <c r="N2468" s="25"/>
      <c r="O2468" s="25"/>
      <c r="P2468" s="25"/>
    </row>
    <row r="2469" spans="1:16" x14ac:dyDescent="0.3">
      <c r="A2469" s="25"/>
      <c r="B2469" s="25"/>
      <c r="C2469" s="25"/>
      <c r="D2469" s="26"/>
      <c r="E2469" s="26"/>
      <c r="F2469" s="26"/>
      <c r="G2469" s="26"/>
      <c r="H2469" s="26"/>
      <c r="I2469" s="25"/>
      <c r="J2469" s="25"/>
      <c r="K2469" s="25"/>
      <c r="L2469" s="25"/>
      <c r="M2469" s="25"/>
      <c r="N2469" s="25"/>
      <c r="O2469" s="25"/>
      <c r="P2469" s="25"/>
    </row>
    <row r="2470" spans="1:16" x14ac:dyDescent="0.3">
      <c r="A2470" s="25"/>
      <c r="B2470" s="25"/>
      <c r="C2470" s="25"/>
      <c r="D2470" s="26"/>
      <c r="E2470" s="26"/>
      <c r="F2470" s="26"/>
      <c r="G2470" s="26"/>
      <c r="H2470" s="26"/>
      <c r="I2470" s="25"/>
      <c r="J2470" s="25"/>
      <c r="K2470" s="25"/>
      <c r="L2470" s="25"/>
      <c r="M2470" s="25"/>
      <c r="N2470" s="25"/>
      <c r="O2470" s="25"/>
      <c r="P2470" s="25"/>
    </row>
    <row r="2471" spans="1:16" x14ac:dyDescent="0.3">
      <c r="A2471" s="25"/>
      <c r="B2471" s="25"/>
      <c r="C2471" s="25"/>
      <c r="D2471" s="26"/>
      <c r="E2471" s="26"/>
      <c r="F2471" s="26"/>
      <c r="G2471" s="26"/>
      <c r="H2471" s="26"/>
      <c r="I2471" s="25"/>
      <c r="J2471" s="25"/>
      <c r="K2471" s="25"/>
      <c r="L2471" s="25"/>
      <c r="M2471" s="25"/>
      <c r="N2471" s="25"/>
      <c r="O2471" s="25"/>
      <c r="P2471" s="25"/>
    </row>
    <row r="2472" spans="1:16" x14ac:dyDescent="0.3">
      <c r="A2472" s="25"/>
      <c r="B2472" s="25"/>
      <c r="C2472" s="25"/>
      <c r="D2472" s="26"/>
      <c r="E2472" s="26"/>
      <c r="F2472" s="26"/>
      <c r="G2472" s="26"/>
      <c r="H2472" s="26"/>
      <c r="I2472" s="25"/>
      <c r="J2472" s="25"/>
      <c r="K2472" s="25"/>
      <c r="L2472" s="25"/>
      <c r="M2472" s="25"/>
      <c r="N2472" s="25"/>
      <c r="O2472" s="25"/>
      <c r="P2472" s="25"/>
    </row>
    <row r="2473" spans="1:16" x14ac:dyDescent="0.3">
      <c r="A2473" s="25"/>
      <c r="B2473" s="25"/>
      <c r="C2473" s="25"/>
      <c r="D2473" s="26"/>
      <c r="E2473" s="26"/>
      <c r="F2473" s="26"/>
      <c r="G2473" s="26"/>
      <c r="H2473" s="26"/>
      <c r="I2473" s="25"/>
      <c r="J2473" s="25"/>
      <c r="K2473" s="25"/>
      <c r="L2473" s="25"/>
      <c r="M2473" s="25"/>
      <c r="N2473" s="25"/>
      <c r="O2473" s="25"/>
      <c r="P2473" s="25"/>
    </row>
    <row r="2474" spans="1:16" x14ac:dyDescent="0.3">
      <c r="A2474" s="25"/>
      <c r="B2474" s="25"/>
      <c r="C2474" s="25"/>
      <c r="D2474" s="26"/>
      <c r="E2474" s="26"/>
      <c r="F2474" s="26"/>
      <c r="G2474" s="26"/>
      <c r="H2474" s="26"/>
      <c r="I2474" s="25"/>
      <c r="J2474" s="25"/>
      <c r="K2474" s="25"/>
      <c r="L2474" s="25"/>
      <c r="M2474" s="25"/>
      <c r="N2474" s="25"/>
      <c r="O2474" s="25"/>
      <c r="P2474" s="25"/>
    </row>
    <row r="2475" spans="1:16" x14ac:dyDescent="0.3">
      <c r="A2475" s="25"/>
      <c r="B2475" s="25"/>
      <c r="C2475" s="25"/>
      <c r="D2475" s="26"/>
      <c r="E2475" s="26"/>
      <c r="F2475" s="26"/>
      <c r="G2475" s="26"/>
      <c r="H2475" s="26"/>
      <c r="I2475" s="25"/>
      <c r="J2475" s="25"/>
      <c r="K2475" s="25"/>
      <c r="L2475" s="25"/>
      <c r="M2475" s="25"/>
      <c r="N2475" s="25"/>
      <c r="O2475" s="25"/>
      <c r="P2475" s="25"/>
    </row>
    <row r="2476" spans="1:16" x14ac:dyDescent="0.3">
      <c r="A2476" s="25"/>
      <c r="B2476" s="25"/>
      <c r="C2476" s="25"/>
      <c r="D2476" s="26"/>
      <c r="E2476" s="26"/>
      <c r="F2476" s="26"/>
      <c r="G2476" s="26"/>
      <c r="H2476" s="26"/>
      <c r="I2476" s="25"/>
      <c r="J2476" s="25"/>
      <c r="K2476" s="25"/>
      <c r="L2476" s="25"/>
      <c r="M2476" s="25"/>
      <c r="N2476" s="25"/>
      <c r="O2476" s="25"/>
      <c r="P2476" s="25"/>
    </row>
    <row r="2477" spans="1:16" x14ac:dyDescent="0.3">
      <c r="A2477" s="25"/>
      <c r="B2477" s="25"/>
      <c r="C2477" s="25"/>
      <c r="D2477" s="26"/>
      <c r="E2477" s="26"/>
      <c r="F2477" s="26"/>
      <c r="G2477" s="26"/>
      <c r="H2477" s="26"/>
      <c r="I2477" s="25"/>
      <c r="J2477" s="25"/>
      <c r="K2477" s="25"/>
      <c r="L2477" s="25"/>
      <c r="M2477" s="25"/>
      <c r="N2477" s="25"/>
      <c r="O2477" s="25"/>
      <c r="P2477" s="25"/>
    </row>
    <row r="2478" spans="1:16" x14ac:dyDescent="0.3">
      <c r="A2478" s="25"/>
      <c r="B2478" s="25"/>
      <c r="C2478" s="25"/>
      <c r="D2478" s="26"/>
      <c r="E2478" s="26"/>
      <c r="F2478" s="26"/>
      <c r="G2478" s="26"/>
      <c r="H2478" s="26"/>
      <c r="I2478" s="25"/>
      <c r="J2478" s="25"/>
      <c r="K2478" s="25"/>
      <c r="L2478" s="25"/>
      <c r="M2478" s="25"/>
      <c r="N2478" s="25"/>
      <c r="O2478" s="25"/>
      <c r="P2478" s="25"/>
    </row>
    <row r="2479" spans="1:16" x14ac:dyDescent="0.3">
      <c r="A2479" s="25"/>
      <c r="B2479" s="25"/>
      <c r="C2479" s="25"/>
      <c r="D2479" s="26"/>
      <c r="E2479" s="26"/>
      <c r="F2479" s="26"/>
      <c r="G2479" s="26"/>
      <c r="H2479" s="26"/>
      <c r="I2479" s="25"/>
      <c r="J2479" s="25"/>
      <c r="K2479" s="25"/>
      <c r="L2479" s="25"/>
      <c r="M2479" s="25"/>
      <c r="N2479" s="25"/>
      <c r="O2479" s="25"/>
      <c r="P2479" s="25"/>
    </row>
    <row r="2480" spans="1:16" x14ac:dyDescent="0.3">
      <c r="A2480" s="25"/>
      <c r="B2480" s="25"/>
      <c r="C2480" s="25"/>
      <c r="D2480" s="26"/>
      <c r="E2480" s="26"/>
      <c r="F2480" s="26"/>
      <c r="G2480" s="26"/>
      <c r="H2480" s="26"/>
      <c r="I2480" s="25"/>
      <c r="J2480" s="25"/>
      <c r="K2480" s="25"/>
      <c r="L2480" s="25"/>
      <c r="M2480" s="25"/>
      <c r="N2480" s="25"/>
      <c r="O2480" s="25"/>
      <c r="P2480" s="25"/>
    </row>
    <row r="2481" spans="1:16" x14ac:dyDescent="0.3">
      <c r="A2481" s="25"/>
      <c r="B2481" s="25"/>
      <c r="C2481" s="25"/>
      <c r="D2481" s="26"/>
      <c r="E2481" s="26"/>
      <c r="F2481" s="26"/>
      <c r="G2481" s="26"/>
      <c r="H2481" s="26"/>
      <c r="I2481" s="25"/>
      <c r="J2481" s="25"/>
      <c r="K2481" s="25"/>
      <c r="L2481" s="25"/>
      <c r="M2481" s="25"/>
      <c r="N2481" s="25"/>
      <c r="O2481" s="25"/>
      <c r="P2481" s="25"/>
    </row>
    <row r="2482" spans="1:16" x14ac:dyDescent="0.3">
      <c r="A2482" s="25"/>
      <c r="B2482" s="25"/>
      <c r="C2482" s="25"/>
      <c r="D2482" s="26"/>
      <c r="E2482" s="26"/>
      <c r="F2482" s="26"/>
      <c r="G2482" s="26"/>
      <c r="H2482" s="26"/>
      <c r="I2482" s="25"/>
      <c r="J2482" s="25"/>
      <c r="K2482" s="25"/>
      <c r="L2482" s="25"/>
      <c r="M2482" s="25"/>
      <c r="N2482" s="25"/>
      <c r="O2482" s="25"/>
      <c r="P2482" s="25"/>
    </row>
    <row r="2483" spans="1:16" x14ac:dyDescent="0.3">
      <c r="A2483" s="25"/>
      <c r="B2483" s="25"/>
      <c r="C2483" s="25"/>
      <c r="D2483" s="26"/>
      <c r="E2483" s="26"/>
      <c r="F2483" s="26"/>
      <c r="G2483" s="26"/>
      <c r="H2483" s="26"/>
      <c r="I2483" s="25"/>
      <c r="J2483" s="25"/>
      <c r="K2483" s="25"/>
      <c r="L2483" s="25"/>
      <c r="M2483" s="25"/>
      <c r="N2483" s="25"/>
      <c r="O2483" s="25"/>
      <c r="P2483" s="25"/>
    </row>
    <row r="2484" spans="1:16" x14ac:dyDescent="0.3">
      <c r="A2484" s="25"/>
      <c r="B2484" s="25"/>
      <c r="C2484" s="25"/>
      <c r="D2484" s="26"/>
      <c r="E2484" s="26"/>
      <c r="F2484" s="26"/>
      <c r="G2484" s="26"/>
      <c r="H2484" s="26"/>
      <c r="I2484" s="25"/>
      <c r="J2484" s="25"/>
      <c r="K2484" s="25"/>
      <c r="L2484" s="25"/>
      <c r="M2484" s="25"/>
      <c r="N2484" s="25"/>
      <c r="O2484" s="25"/>
      <c r="P2484" s="25"/>
    </row>
    <row r="2485" spans="1:16" x14ac:dyDescent="0.3">
      <c r="A2485" s="25"/>
      <c r="B2485" s="25"/>
      <c r="C2485" s="25"/>
      <c r="D2485" s="26"/>
      <c r="E2485" s="26"/>
      <c r="F2485" s="26"/>
      <c r="G2485" s="26"/>
      <c r="H2485" s="26"/>
      <c r="I2485" s="25"/>
      <c r="J2485" s="25"/>
      <c r="K2485" s="25"/>
      <c r="L2485" s="25"/>
      <c r="M2485" s="25"/>
      <c r="N2485" s="25"/>
      <c r="O2485" s="25"/>
      <c r="P2485" s="25"/>
    </row>
    <row r="2486" spans="1:16" x14ac:dyDescent="0.3">
      <c r="A2486" s="25"/>
      <c r="B2486" s="25"/>
      <c r="C2486" s="25"/>
      <c r="D2486" s="26"/>
      <c r="E2486" s="26"/>
      <c r="F2486" s="26"/>
      <c r="G2486" s="26"/>
      <c r="H2486" s="26"/>
      <c r="I2486" s="25"/>
      <c r="J2486" s="25"/>
      <c r="K2486" s="25"/>
      <c r="L2486" s="25"/>
      <c r="M2486" s="25"/>
      <c r="N2486" s="25"/>
      <c r="O2486" s="25"/>
      <c r="P2486" s="25"/>
    </row>
    <row r="2487" spans="1:16" x14ac:dyDescent="0.3">
      <c r="A2487" s="25"/>
      <c r="B2487" s="25"/>
      <c r="C2487" s="25"/>
      <c r="D2487" s="26"/>
      <c r="E2487" s="26"/>
      <c r="F2487" s="26"/>
      <c r="G2487" s="26"/>
      <c r="H2487" s="26"/>
      <c r="I2487" s="25"/>
      <c r="J2487" s="25"/>
      <c r="K2487" s="25"/>
      <c r="L2487" s="25"/>
      <c r="M2487" s="25"/>
      <c r="N2487" s="25"/>
      <c r="O2487" s="25"/>
      <c r="P2487" s="25"/>
    </row>
    <row r="2488" spans="1:16" x14ac:dyDescent="0.3">
      <c r="A2488" s="25"/>
      <c r="B2488" s="25"/>
      <c r="C2488" s="25"/>
      <c r="D2488" s="26"/>
      <c r="E2488" s="26"/>
      <c r="F2488" s="26"/>
      <c r="G2488" s="26"/>
      <c r="H2488" s="26"/>
      <c r="I2488" s="25"/>
      <c r="J2488" s="25"/>
      <c r="K2488" s="25"/>
      <c r="L2488" s="25"/>
      <c r="M2488" s="25"/>
      <c r="N2488" s="25"/>
      <c r="O2488" s="25"/>
      <c r="P2488" s="25"/>
    </row>
    <row r="2489" spans="1:16" x14ac:dyDescent="0.3">
      <c r="A2489" s="25"/>
      <c r="B2489" s="25"/>
      <c r="C2489" s="25"/>
      <c r="D2489" s="26"/>
      <c r="E2489" s="26"/>
      <c r="F2489" s="26"/>
      <c r="G2489" s="26"/>
      <c r="H2489" s="26"/>
      <c r="I2489" s="25"/>
      <c r="J2489" s="25"/>
      <c r="K2489" s="25"/>
      <c r="L2489" s="25"/>
      <c r="M2489" s="25"/>
      <c r="N2489" s="25"/>
      <c r="O2489" s="25"/>
      <c r="P2489" s="25"/>
    </row>
    <row r="2490" spans="1:16" x14ac:dyDescent="0.3">
      <c r="A2490" s="25"/>
      <c r="B2490" s="25"/>
      <c r="C2490" s="25"/>
      <c r="D2490" s="26"/>
      <c r="E2490" s="26"/>
      <c r="F2490" s="26"/>
      <c r="G2490" s="26"/>
      <c r="H2490" s="26"/>
      <c r="I2490" s="25"/>
      <c r="J2490" s="25"/>
      <c r="K2490" s="25"/>
      <c r="L2490" s="25"/>
      <c r="M2490" s="25"/>
      <c r="N2490" s="25"/>
      <c r="O2490" s="25"/>
      <c r="P2490" s="25"/>
    </row>
    <row r="2491" spans="1:16" x14ac:dyDescent="0.3">
      <c r="A2491" s="25"/>
      <c r="B2491" s="25"/>
      <c r="C2491" s="25"/>
      <c r="D2491" s="26"/>
      <c r="E2491" s="26"/>
      <c r="F2491" s="26"/>
      <c r="G2491" s="26"/>
      <c r="H2491" s="26"/>
      <c r="I2491" s="25"/>
      <c r="J2491" s="25"/>
      <c r="K2491" s="25"/>
      <c r="L2491" s="25"/>
      <c r="M2491" s="25"/>
      <c r="N2491" s="25"/>
      <c r="O2491" s="25"/>
      <c r="P2491" s="25"/>
    </row>
    <row r="2492" spans="1:16" x14ac:dyDescent="0.3">
      <c r="A2492" s="25"/>
      <c r="B2492" s="25"/>
      <c r="C2492" s="25"/>
      <c r="D2492" s="26"/>
      <c r="E2492" s="26"/>
      <c r="F2492" s="26"/>
      <c r="G2492" s="26"/>
      <c r="H2492" s="26"/>
      <c r="I2492" s="25"/>
      <c r="J2492" s="25"/>
      <c r="K2492" s="25"/>
      <c r="L2492" s="25"/>
      <c r="M2492" s="25"/>
      <c r="N2492" s="25"/>
      <c r="O2492" s="25"/>
      <c r="P2492" s="25"/>
    </row>
    <row r="2493" spans="1:16" x14ac:dyDescent="0.3">
      <c r="A2493" s="25"/>
      <c r="B2493" s="25"/>
      <c r="C2493" s="25"/>
      <c r="D2493" s="26"/>
      <c r="E2493" s="26"/>
      <c r="F2493" s="26"/>
      <c r="G2493" s="26"/>
      <c r="H2493" s="26"/>
      <c r="I2493" s="25"/>
      <c r="J2493" s="25"/>
      <c r="K2493" s="25"/>
      <c r="L2493" s="25"/>
      <c r="M2493" s="25"/>
      <c r="N2493" s="25"/>
      <c r="O2493" s="25"/>
      <c r="P2493" s="25"/>
    </row>
    <row r="2494" spans="1:16" x14ac:dyDescent="0.3">
      <c r="A2494" s="25"/>
      <c r="B2494" s="25"/>
      <c r="C2494" s="25"/>
      <c r="D2494" s="26"/>
      <c r="E2494" s="26"/>
      <c r="F2494" s="26"/>
      <c r="G2494" s="26"/>
      <c r="H2494" s="26"/>
      <c r="I2494" s="25"/>
      <c r="J2494" s="25"/>
      <c r="K2494" s="25"/>
      <c r="L2494" s="25"/>
      <c r="M2494" s="25"/>
      <c r="N2494" s="25"/>
      <c r="O2494" s="25"/>
      <c r="P2494" s="25"/>
    </row>
    <row r="2495" spans="1:16" x14ac:dyDescent="0.3">
      <c r="A2495" s="25"/>
      <c r="B2495" s="25"/>
      <c r="C2495" s="25"/>
      <c r="D2495" s="26"/>
      <c r="E2495" s="26"/>
      <c r="F2495" s="26"/>
      <c r="G2495" s="26"/>
      <c r="H2495" s="26"/>
      <c r="I2495" s="25"/>
      <c r="J2495" s="25"/>
      <c r="K2495" s="25"/>
      <c r="L2495" s="25"/>
      <c r="M2495" s="25"/>
      <c r="N2495" s="25"/>
      <c r="O2495" s="25"/>
      <c r="P2495" s="25"/>
    </row>
    <row r="2496" spans="1:16" x14ac:dyDescent="0.3">
      <c r="A2496" s="25"/>
      <c r="B2496" s="25"/>
      <c r="C2496" s="25"/>
      <c r="D2496" s="26"/>
      <c r="E2496" s="26"/>
      <c r="F2496" s="26"/>
      <c r="G2496" s="26"/>
      <c r="H2496" s="26"/>
      <c r="I2496" s="25"/>
      <c r="J2496" s="25"/>
      <c r="K2496" s="25"/>
      <c r="L2496" s="25"/>
      <c r="M2496" s="25"/>
      <c r="N2496" s="25"/>
      <c r="O2496" s="25"/>
      <c r="P2496" s="25"/>
    </row>
    <row r="2497" spans="1:16" x14ac:dyDescent="0.3">
      <c r="A2497" s="25"/>
      <c r="B2497" s="25"/>
      <c r="C2497" s="25"/>
      <c r="D2497" s="26"/>
      <c r="E2497" s="26"/>
      <c r="F2497" s="26"/>
      <c r="G2497" s="26"/>
      <c r="H2497" s="26"/>
      <c r="I2497" s="25"/>
      <c r="J2497" s="25"/>
      <c r="K2497" s="25"/>
      <c r="L2497" s="25"/>
      <c r="M2497" s="25"/>
      <c r="N2497" s="25"/>
      <c r="O2497" s="25"/>
      <c r="P2497" s="25"/>
    </row>
    <row r="2498" spans="1:16" x14ac:dyDescent="0.3">
      <c r="A2498" s="25"/>
      <c r="B2498" s="25"/>
      <c r="C2498" s="25"/>
      <c r="D2498" s="26"/>
      <c r="E2498" s="26"/>
      <c r="F2498" s="26"/>
      <c r="G2498" s="26"/>
      <c r="H2498" s="26"/>
      <c r="I2498" s="25"/>
      <c r="J2498" s="25"/>
      <c r="K2498" s="25"/>
      <c r="L2498" s="25"/>
      <c r="M2498" s="25"/>
      <c r="N2498" s="25"/>
      <c r="O2498" s="25"/>
      <c r="P2498" s="25"/>
    </row>
    <row r="2499" spans="1:16" x14ac:dyDescent="0.3">
      <c r="A2499" s="25"/>
      <c r="B2499" s="25"/>
      <c r="C2499" s="25"/>
      <c r="D2499" s="26"/>
      <c r="E2499" s="26"/>
      <c r="F2499" s="26"/>
      <c r="G2499" s="26"/>
      <c r="H2499" s="26"/>
      <c r="I2499" s="25"/>
      <c r="J2499" s="25"/>
      <c r="K2499" s="25"/>
      <c r="L2499" s="25"/>
      <c r="M2499" s="25"/>
      <c r="N2499" s="25"/>
      <c r="O2499" s="25"/>
      <c r="P2499" s="25"/>
    </row>
    <row r="2500" spans="1:16" x14ac:dyDescent="0.3">
      <c r="A2500" s="25"/>
      <c r="B2500" s="25"/>
      <c r="C2500" s="25"/>
      <c r="D2500" s="26"/>
      <c r="E2500" s="26"/>
      <c r="F2500" s="26"/>
      <c r="G2500" s="26"/>
      <c r="H2500" s="26"/>
      <c r="I2500" s="25"/>
      <c r="J2500" s="25"/>
      <c r="K2500" s="25"/>
      <c r="L2500" s="25"/>
      <c r="M2500" s="25"/>
      <c r="N2500" s="25"/>
      <c r="O2500" s="25"/>
      <c r="P2500" s="25"/>
    </row>
    <row r="2501" spans="1:16" x14ac:dyDescent="0.3">
      <c r="A2501" s="25"/>
      <c r="B2501" s="25"/>
      <c r="C2501" s="25"/>
      <c r="D2501" s="26"/>
      <c r="E2501" s="26"/>
      <c r="F2501" s="26"/>
      <c r="G2501" s="26"/>
      <c r="H2501" s="26"/>
      <c r="I2501" s="25"/>
      <c r="J2501" s="25"/>
      <c r="K2501" s="25"/>
      <c r="L2501" s="25"/>
      <c r="M2501" s="25"/>
      <c r="N2501" s="25"/>
      <c r="O2501" s="25"/>
      <c r="P2501" s="25"/>
    </row>
    <row r="2502" spans="1:16" x14ac:dyDescent="0.3">
      <c r="A2502" s="25"/>
      <c r="B2502" s="25"/>
      <c r="C2502" s="25"/>
      <c r="D2502" s="26"/>
      <c r="E2502" s="26"/>
      <c r="F2502" s="26"/>
      <c r="G2502" s="26"/>
      <c r="H2502" s="26"/>
      <c r="I2502" s="25"/>
      <c r="J2502" s="25"/>
      <c r="K2502" s="25"/>
      <c r="L2502" s="25"/>
      <c r="M2502" s="25"/>
      <c r="N2502" s="25"/>
      <c r="O2502" s="25"/>
      <c r="P2502" s="25"/>
    </row>
    <row r="2503" spans="1:16" x14ac:dyDescent="0.3">
      <c r="A2503" s="25"/>
      <c r="B2503" s="25"/>
      <c r="C2503" s="25"/>
      <c r="D2503" s="26"/>
      <c r="E2503" s="26"/>
      <c r="F2503" s="26"/>
      <c r="G2503" s="26"/>
      <c r="H2503" s="26"/>
      <c r="I2503" s="25"/>
      <c r="J2503" s="25"/>
      <c r="K2503" s="25"/>
      <c r="L2503" s="25"/>
      <c r="M2503" s="25"/>
      <c r="N2503" s="25"/>
      <c r="O2503" s="25"/>
      <c r="P2503" s="25"/>
    </row>
    <row r="2504" spans="1:16" x14ac:dyDescent="0.3">
      <c r="A2504" s="25"/>
      <c r="B2504" s="25"/>
      <c r="C2504" s="25"/>
      <c r="D2504" s="26"/>
      <c r="E2504" s="26"/>
      <c r="F2504" s="26"/>
      <c r="G2504" s="26"/>
      <c r="H2504" s="26"/>
      <c r="I2504" s="25"/>
      <c r="J2504" s="25"/>
      <c r="K2504" s="25"/>
      <c r="L2504" s="25"/>
      <c r="M2504" s="25"/>
      <c r="N2504" s="25"/>
      <c r="O2504" s="25"/>
      <c r="P2504" s="25"/>
    </row>
    <row r="2505" spans="1:16" x14ac:dyDescent="0.3">
      <c r="A2505" s="25"/>
      <c r="B2505" s="25"/>
      <c r="C2505" s="25"/>
      <c r="D2505" s="26"/>
      <c r="E2505" s="26"/>
      <c r="F2505" s="26"/>
      <c r="G2505" s="26"/>
      <c r="H2505" s="26"/>
      <c r="I2505" s="25"/>
      <c r="J2505" s="25"/>
      <c r="K2505" s="25"/>
      <c r="L2505" s="25"/>
      <c r="M2505" s="25"/>
      <c r="N2505" s="25"/>
      <c r="O2505" s="25"/>
      <c r="P2505" s="25"/>
    </row>
    <row r="2506" spans="1:16" x14ac:dyDescent="0.3">
      <c r="A2506" s="25"/>
      <c r="B2506" s="25"/>
      <c r="C2506" s="25"/>
      <c r="D2506" s="26"/>
      <c r="E2506" s="26"/>
      <c r="F2506" s="26"/>
      <c r="G2506" s="26"/>
      <c r="H2506" s="26"/>
      <c r="I2506" s="25"/>
      <c r="J2506" s="25"/>
      <c r="K2506" s="25"/>
      <c r="L2506" s="25"/>
      <c r="M2506" s="25"/>
      <c r="N2506" s="25"/>
      <c r="O2506" s="25"/>
      <c r="P2506" s="25"/>
    </row>
    <row r="2507" spans="1:16" x14ac:dyDescent="0.3">
      <c r="A2507" s="25"/>
      <c r="B2507" s="25"/>
      <c r="C2507" s="25"/>
      <c r="D2507" s="26"/>
      <c r="E2507" s="26"/>
      <c r="F2507" s="26"/>
      <c r="G2507" s="26"/>
      <c r="H2507" s="26"/>
      <c r="I2507" s="25"/>
      <c r="J2507" s="25"/>
      <c r="K2507" s="25"/>
      <c r="L2507" s="25"/>
      <c r="M2507" s="25"/>
      <c r="N2507" s="25"/>
      <c r="O2507" s="25"/>
      <c r="P2507" s="25"/>
    </row>
    <row r="2508" spans="1:16" x14ac:dyDescent="0.3">
      <c r="A2508" s="25"/>
      <c r="B2508" s="25"/>
      <c r="C2508" s="25"/>
      <c r="D2508" s="26"/>
      <c r="E2508" s="26"/>
      <c r="F2508" s="26"/>
      <c r="G2508" s="26"/>
      <c r="H2508" s="26"/>
      <c r="I2508" s="25"/>
      <c r="J2508" s="25"/>
      <c r="K2508" s="25"/>
      <c r="L2508" s="25"/>
      <c r="M2508" s="25"/>
      <c r="N2508" s="25"/>
      <c r="O2508" s="25"/>
      <c r="P2508" s="25"/>
    </row>
    <row r="2509" spans="1:16" x14ac:dyDescent="0.3">
      <c r="A2509" s="25"/>
      <c r="B2509" s="25"/>
      <c r="C2509" s="25"/>
      <c r="D2509" s="26"/>
      <c r="E2509" s="26"/>
      <c r="F2509" s="26"/>
      <c r="G2509" s="26"/>
      <c r="H2509" s="26"/>
      <c r="I2509" s="25"/>
      <c r="J2509" s="25"/>
      <c r="K2509" s="25"/>
      <c r="L2509" s="25"/>
      <c r="M2509" s="25"/>
      <c r="N2509" s="25"/>
      <c r="O2509" s="25"/>
      <c r="P2509" s="25"/>
    </row>
    <row r="2510" spans="1:16" x14ac:dyDescent="0.3">
      <c r="A2510" s="25"/>
      <c r="B2510" s="25"/>
      <c r="C2510" s="25"/>
      <c r="D2510" s="26"/>
      <c r="E2510" s="26"/>
      <c r="F2510" s="26"/>
      <c r="G2510" s="26"/>
      <c r="H2510" s="26"/>
      <c r="I2510" s="25"/>
      <c r="J2510" s="25"/>
      <c r="K2510" s="25"/>
      <c r="L2510" s="25"/>
      <c r="M2510" s="25"/>
      <c r="N2510" s="25"/>
      <c r="O2510" s="25"/>
      <c r="P2510" s="25"/>
    </row>
    <row r="2511" spans="1:16" x14ac:dyDescent="0.3">
      <c r="A2511" s="25"/>
      <c r="B2511" s="25"/>
      <c r="C2511" s="25"/>
      <c r="D2511" s="26"/>
      <c r="E2511" s="26"/>
      <c r="F2511" s="26"/>
      <c r="G2511" s="26"/>
      <c r="H2511" s="26"/>
      <c r="I2511" s="25"/>
      <c r="J2511" s="25"/>
      <c r="K2511" s="25"/>
      <c r="L2511" s="25"/>
      <c r="M2511" s="25"/>
      <c r="N2511" s="25"/>
      <c r="O2511" s="25"/>
      <c r="P2511" s="25"/>
    </row>
    <row r="2512" spans="1:16" x14ac:dyDescent="0.3">
      <c r="A2512" s="25"/>
      <c r="B2512" s="25"/>
      <c r="C2512" s="25"/>
      <c r="D2512" s="26"/>
      <c r="E2512" s="26"/>
      <c r="F2512" s="26"/>
      <c r="G2512" s="26"/>
      <c r="H2512" s="26"/>
      <c r="I2512" s="25"/>
      <c r="J2512" s="25"/>
      <c r="K2512" s="25"/>
      <c r="L2512" s="25"/>
      <c r="M2512" s="25"/>
      <c r="N2512" s="25"/>
      <c r="O2512" s="25"/>
      <c r="P2512" s="25"/>
    </row>
    <row r="2513" spans="1:16" x14ac:dyDescent="0.3">
      <c r="A2513" s="25"/>
      <c r="B2513" s="25"/>
      <c r="C2513" s="25"/>
      <c r="D2513" s="26"/>
      <c r="E2513" s="26"/>
      <c r="F2513" s="26"/>
      <c r="G2513" s="26"/>
      <c r="H2513" s="26"/>
      <c r="I2513" s="25"/>
      <c r="J2513" s="25"/>
      <c r="K2513" s="25"/>
      <c r="L2513" s="25"/>
      <c r="M2513" s="25"/>
      <c r="N2513" s="25"/>
      <c r="O2513" s="25"/>
      <c r="P2513" s="25"/>
    </row>
    <row r="2514" spans="1:16" x14ac:dyDescent="0.3">
      <c r="A2514" s="25"/>
      <c r="B2514" s="25"/>
      <c r="C2514" s="25"/>
      <c r="D2514" s="26"/>
      <c r="E2514" s="26"/>
      <c r="F2514" s="26"/>
      <c r="G2514" s="26"/>
      <c r="H2514" s="26"/>
      <c r="I2514" s="25"/>
      <c r="J2514" s="25"/>
      <c r="K2514" s="25"/>
      <c r="L2514" s="25"/>
      <c r="M2514" s="25"/>
      <c r="N2514" s="25"/>
      <c r="O2514" s="25"/>
      <c r="P2514" s="25"/>
    </row>
    <row r="2515" spans="1:16" x14ac:dyDescent="0.3">
      <c r="A2515" s="25"/>
      <c r="B2515" s="25"/>
      <c r="C2515" s="25"/>
      <c r="D2515" s="26"/>
      <c r="E2515" s="26"/>
      <c r="F2515" s="26"/>
      <c r="G2515" s="26"/>
      <c r="H2515" s="26"/>
      <c r="I2515" s="25"/>
      <c r="J2515" s="25"/>
      <c r="K2515" s="25"/>
      <c r="L2515" s="25"/>
      <c r="M2515" s="25"/>
      <c r="N2515" s="25"/>
      <c r="O2515" s="25"/>
      <c r="P2515" s="25"/>
    </row>
    <row r="2516" spans="1:16" x14ac:dyDescent="0.3">
      <c r="A2516" s="25"/>
      <c r="B2516" s="25"/>
      <c r="C2516" s="25"/>
      <c r="D2516" s="26"/>
      <c r="E2516" s="26"/>
      <c r="F2516" s="26"/>
      <c r="G2516" s="26"/>
      <c r="H2516" s="26"/>
      <c r="I2516" s="25"/>
      <c r="J2516" s="25"/>
      <c r="K2516" s="25"/>
      <c r="L2516" s="25"/>
      <c r="M2516" s="25"/>
      <c r="N2516" s="25"/>
      <c r="O2516" s="25"/>
      <c r="P2516" s="25"/>
    </row>
    <row r="2517" spans="1:16" x14ac:dyDescent="0.3">
      <c r="A2517" s="25"/>
      <c r="B2517" s="25"/>
      <c r="C2517" s="25"/>
      <c r="D2517" s="26"/>
      <c r="E2517" s="26"/>
      <c r="F2517" s="26"/>
      <c r="G2517" s="26"/>
      <c r="H2517" s="26"/>
      <c r="I2517" s="25"/>
      <c r="J2517" s="25"/>
      <c r="K2517" s="25"/>
      <c r="L2517" s="25"/>
      <c r="M2517" s="25"/>
      <c r="N2517" s="25"/>
      <c r="O2517" s="25"/>
      <c r="P2517" s="25"/>
    </row>
    <row r="2518" spans="1:16" x14ac:dyDescent="0.3">
      <c r="A2518" s="25"/>
      <c r="B2518" s="25"/>
      <c r="C2518" s="25"/>
      <c r="D2518" s="26"/>
      <c r="E2518" s="26"/>
      <c r="F2518" s="26"/>
      <c r="G2518" s="26"/>
      <c r="H2518" s="26"/>
      <c r="I2518" s="25"/>
      <c r="J2518" s="25"/>
      <c r="K2518" s="25"/>
      <c r="L2518" s="25"/>
      <c r="M2518" s="25"/>
      <c r="N2518" s="25"/>
      <c r="O2518" s="25"/>
      <c r="P2518" s="25"/>
    </row>
    <row r="2519" spans="1:16" x14ac:dyDescent="0.3">
      <c r="A2519" s="25"/>
      <c r="B2519" s="25"/>
      <c r="C2519" s="25"/>
      <c r="D2519" s="26"/>
      <c r="E2519" s="26"/>
      <c r="F2519" s="26"/>
      <c r="G2519" s="26"/>
      <c r="H2519" s="26"/>
      <c r="I2519" s="25"/>
      <c r="J2519" s="25"/>
      <c r="K2519" s="25"/>
      <c r="L2519" s="25"/>
      <c r="M2519" s="25"/>
      <c r="N2519" s="25"/>
      <c r="O2519" s="25"/>
      <c r="P2519" s="25"/>
    </row>
    <row r="2520" spans="1:16" x14ac:dyDescent="0.3">
      <c r="A2520" s="25"/>
      <c r="B2520" s="25"/>
      <c r="C2520" s="25"/>
      <c r="D2520" s="26"/>
      <c r="E2520" s="26"/>
      <c r="F2520" s="26"/>
      <c r="G2520" s="26"/>
      <c r="H2520" s="26"/>
      <c r="I2520" s="25"/>
      <c r="J2520" s="25"/>
      <c r="K2520" s="25"/>
      <c r="L2520" s="25"/>
      <c r="M2520" s="25"/>
      <c r="N2520" s="25"/>
      <c r="O2520" s="25"/>
      <c r="P2520" s="25"/>
    </row>
    <row r="2521" spans="1:16" x14ac:dyDescent="0.3">
      <c r="A2521" s="25"/>
      <c r="B2521" s="25"/>
      <c r="C2521" s="25"/>
      <c r="D2521" s="26"/>
      <c r="E2521" s="26"/>
      <c r="F2521" s="26"/>
      <c r="G2521" s="26"/>
      <c r="H2521" s="26"/>
      <c r="I2521" s="25"/>
      <c r="J2521" s="25"/>
      <c r="K2521" s="25"/>
      <c r="L2521" s="25"/>
      <c r="M2521" s="25"/>
      <c r="N2521" s="25"/>
      <c r="O2521" s="25"/>
      <c r="P2521" s="25"/>
    </row>
    <row r="2522" spans="1:16" x14ac:dyDescent="0.3">
      <c r="A2522" s="25"/>
      <c r="B2522" s="25"/>
      <c r="C2522" s="25"/>
      <c r="D2522" s="26"/>
      <c r="E2522" s="26"/>
      <c r="F2522" s="26"/>
      <c r="G2522" s="26"/>
      <c r="H2522" s="26"/>
      <c r="I2522" s="25"/>
      <c r="J2522" s="25"/>
      <c r="K2522" s="25"/>
      <c r="L2522" s="25"/>
      <c r="M2522" s="25"/>
      <c r="N2522" s="25"/>
      <c r="O2522" s="25"/>
      <c r="P2522" s="25"/>
    </row>
    <row r="2523" spans="1:16" x14ac:dyDescent="0.3">
      <c r="A2523" s="25"/>
      <c r="B2523" s="25"/>
      <c r="C2523" s="25"/>
      <c r="D2523" s="26"/>
      <c r="E2523" s="26"/>
      <c r="F2523" s="26"/>
      <c r="G2523" s="26"/>
      <c r="H2523" s="26"/>
      <c r="I2523" s="25"/>
      <c r="J2523" s="25"/>
      <c r="K2523" s="25"/>
      <c r="L2523" s="25"/>
      <c r="M2523" s="25"/>
      <c r="N2523" s="25"/>
      <c r="O2523" s="25"/>
      <c r="P2523" s="25"/>
    </row>
    <row r="2524" spans="1:16" x14ac:dyDescent="0.3">
      <c r="A2524" s="25"/>
      <c r="B2524" s="25"/>
      <c r="C2524" s="25"/>
      <c r="D2524" s="26"/>
      <c r="E2524" s="26"/>
      <c r="F2524" s="26"/>
      <c r="G2524" s="26"/>
      <c r="H2524" s="26"/>
      <c r="I2524" s="25"/>
      <c r="J2524" s="25"/>
      <c r="K2524" s="25"/>
      <c r="L2524" s="25"/>
      <c r="M2524" s="25"/>
      <c r="N2524" s="25"/>
      <c r="O2524" s="25"/>
      <c r="P2524" s="25"/>
    </row>
    <row r="2525" spans="1:16" x14ac:dyDescent="0.3">
      <c r="A2525" s="25"/>
      <c r="B2525" s="25"/>
      <c r="C2525" s="25"/>
      <c r="D2525" s="26"/>
      <c r="E2525" s="26"/>
      <c r="F2525" s="26"/>
      <c r="G2525" s="26"/>
      <c r="H2525" s="26"/>
      <c r="I2525" s="25"/>
      <c r="J2525" s="25"/>
      <c r="K2525" s="25"/>
      <c r="L2525" s="25"/>
      <c r="M2525" s="25"/>
      <c r="N2525" s="25"/>
      <c r="O2525" s="25"/>
      <c r="P2525" s="25"/>
    </row>
    <row r="2526" spans="1:16" x14ac:dyDescent="0.3">
      <c r="A2526" s="25"/>
      <c r="B2526" s="25"/>
      <c r="C2526" s="25"/>
      <c r="D2526" s="26"/>
      <c r="E2526" s="26"/>
      <c r="F2526" s="26"/>
      <c r="G2526" s="26"/>
      <c r="H2526" s="26"/>
      <c r="I2526" s="25"/>
      <c r="J2526" s="25"/>
      <c r="K2526" s="25"/>
      <c r="L2526" s="25"/>
      <c r="M2526" s="25"/>
      <c r="N2526" s="25"/>
      <c r="O2526" s="25"/>
      <c r="P2526" s="25"/>
    </row>
    <row r="2527" spans="1:16" x14ac:dyDescent="0.3">
      <c r="A2527" s="25"/>
      <c r="B2527" s="25"/>
      <c r="C2527" s="25"/>
      <c r="D2527" s="26"/>
      <c r="E2527" s="26"/>
      <c r="F2527" s="26"/>
      <c r="G2527" s="26"/>
      <c r="H2527" s="26"/>
      <c r="I2527" s="25"/>
      <c r="J2527" s="25"/>
      <c r="K2527" s="25"/>
      <c r="L2527" s="25"/>
      <c r="M2527" s="25"/>
      <c r="N2527" s="25"/>
      <c r="O2527" s="25"/>
      <c r="P2527" s="25"/>
    </row>
    <row r="2528" spans="1:16" x14ac:dyDescent="0.3">
      <c r="A2528" s="25"/>
      <c r="B2528" s="25"/>
      <c r="C2528" s="25"/>
      <c r="D2528" s="26"/>
      <c r="E2528" s="26"/>
      <c r="F2528" s="26"/>
      <c r="G2528" s="26"/>
      <c r="H2528" s="26"/>
      <c r="I2528" s="25"/>
      <c r="J2528" s="25"/>
      <c r="K2528" s="25"/>
      <c r="L2528" s="25"/>
      <c r="M2528" s="25"/>
      <c r="N2528" s="25"/>
      <c r="O2528" s="25"/>
      <c r="P2528" s="25"/>
    </row>
    <row r="2529" spans="1:16" x14ac:dyDescent="0.3">
      <c r="A2529" s="25"/>
      <c r="B2529" s="25"/>
      <c r="C2529" s="25"/>
      <c r="D2529" s="26"/>
      <c r="E2529" s="26"/>
      <c r="F2529" s="26"/>
      <c r="G2529" s="26"/>
      <c r="H2529" s="26"/>
      <c r="I2529" s="25"/>
      <c r="J2529" s="25"/>
      <c r="K2529" s="25"/>
      <c r="L2529" s="25"/>
      <c r="M2529" s="25"/>
      <c r="N2529" s="25"/>
      <c r="O2529" s="25"/>
      <c r="P2529" s="25"/>
    </row>
    <row r="2530" spans="1:16" x14ac:dyDescent="0.3">
      <c r="A2530" s="25"/>
      <c r="B2530" s="25"/>
      <c r="C2530" s="25"/>
      <c r="D2530" s="26"/>
      <c r="E2530" s="26"/>
      <c r="F2530" s="26"/>
      <c r="G2530" s="26"/>
      <c r="H2530" s="26"/>
      <c r="I2530" s="25"/>
      <c r="J2530" s="25"/>
      <c r="K2530" s="25"/>
      <c r="L2530" s="25"/>
      <c r="M2530" s="25"/>
      <c r="N2530" s="25"/>
      <c r="O2530" s="25"/>
      <c r="P2530" s="25"/>
    </row>
    <row r="2531" spans="1:16" x14ac:dyDescent="0.3">
      <c r="A2531" s="25"/>
      <c r="B2531" s="25"/>
      <c r="C2531" s="25"/>
      <c r="D2531" s="26"/>
      <c r="E2531" s="26"/>
      <c r="F2531" s="26"/>
      <c r="G2531" s="26"/>
      <c r="H2531" s="26"/>
      <c r="I2531" s="25"/>
      <c r="J2531" s="25"/>
      <c r="K2531" s="25"/>
      <c r="L2531" s="25"/>
      <c r="M2531" s="25"/>
      <c r="N2531" s="25"/>
      <c r="O2531" s="25"/>
      <c r="P2531" s="25"/>
    </row>
    <row r="2532" spans="1:16" x14ac:dyDescent="0.3">
      <c r="A2532" s="25"/>
      <c r="B2532" s="25"/>
      <c r="C2532" s="25"/>
      <c r="D2532" s="26"/>
      <c r="E2532" s="26"/>
      <c r="F2532" s="26"/>
      <c r="G2532" s="26"/>
      <c r="H2532" s="26"/>
      <c r="I2532" s="25"/>
      <c r="J2532" s="25"/>
      <c r="K2532" s="25"/>
      <c r="L2532" s="25"/>
      <c r="M2532" s="25"/>
      <c r="N2532" s="25"/>
      <c r="O2532" s="25"/>
      <c r="P2532" s="25"/>
    </row>
    <row r="2533" spans="1:16" x14ac:dyDescent="0.3">
      <c r="A2533" s="25"/>
      <c r="B2533" s="25"/>
      <c r="C2533" s="25"/>
      <c r="D2533" s="26"/>
      <c r="E2533" s="26"/>
      <c r="F2533" s="26"/>
      <c r="G2533" s="26"/>
      <c r="H2533" s="26"/>
      <c r="I2533" s="25"/>
      <c r="J2533" s="25"/>
      <c r="K2533" s="25"/>
      <c r="L2533" s="25"/>
      <c r="M2533" s="25"/>
      <c r="N2533" s="25"/>
      <c r="O2533" s="25"/>
      <c r="P2533" s="25"/>
    </row>
    <row r="2534" spans="1:16" x14ac:dyDescent="0.3">
      <c r="A2534" s="25"/>
      <c r="B2534" s="25"/>
      <c r="C2534" s="25"/>
      <c r="D2534" s="26"/>
      <c r="E2534" s="26"/>
      <c r="F2534" s="26"/>
      <c r="G2534" s="26"/>
      <c r="H2534" s="26"/>
      <c r="I2534" s="25"/>
      <c r="J2534" s="25"/>
      <c r="K2534" s="25"/>
      <c r="L2534" s="25"/>
      <c r="M2534" s="25"/>
      <c r="N2534" s="25"/>
      <c r="O2534" s="25"/>
      <c r="P2534" s="25"/>
    </row>
    <row r="2535" spans="1:16" x14ac:dyDescent="0.3">
      <c r="A2535" s="25"/>
      <c r="B2535" s="25"/>
      <c r="C2535" s="25"/>
      <c r="D2535" s="26"/>
      <c r="E2535" s="26"/>
      <c r="F2535" s="26"/>
      <c r="G2535" s="26"/>
      <c r="H2535" s="26"/>
      <c r="I2535" s="25"/>
      <c r="J2535" s="25"/>
      <c r="K2535" s="25"/>
      <c r="L2535" s="25"/>
      <c r="M2535" s="25"/>
      <c r="N2535" s="25"/>
      <c r="O2535" s="25"/>
      <c r="P2535" s="25"/>
    </row>
    <row r="2536" spans="1:16" x14ac:dyDescent="0.3">
      <c r="A2536" s="25"/>
      <c r="B2536" s="25"/>
      <c r="C2536" s="25"/>
      <c r="D2536" s="26"/>
      <c r="E2536" s="26"/>
      <c r="F2536" s="26"/>
      <c r="G2536" s="26"/>
      <c r="H2536" s="26"/>
      <c r="I2536" s="25"/>
      <c r="J2536" s="25"/>
      <c r="K2536" s="25"/>
      <c r="L2536" s="25"/>
      <c r="M2536" s="25"/>
      <c r="N2536" s="25"/>
      <c r="O2536" s="25"/>
      <c r="P2536" s="25"/>
    </row>
    <row r="2537" spans="1:16" x14ac:dyDescent="0.3">
      <c r="A2537" s="25"/>
      <c r="B2537" s="25"/>
      <c r="C2537" s="25"/>
      <c r="D2537" s="26"/>
      <c r="E2537" s="26"/>
      <c r="F2537" s="26"/>
      <c r="G2537" s="26"/>
      <c r="H2537" s="26"/>
      <c r="I2537" s="25"/>
      <c r="J2537" s="25"/>
      <c r="K2537" s="25"/>
      <c r="L2537" s="25"/>
      <c r="M2537" s="25"/>
      <c r="N2537" s="25"/>
      <c r="O2537" s="25"/>
      <c r="P2537" s="25"/>
    </row>
    <row r="2538" spans="1:16" x14ac:dyDescent="0.3">
      <c r="A2538" s="25"/>
      <c r="B2538" s="25"/>
      <c r="C2538" s="25"/>
      <c r="D2538" s="26"/>
      <c r="E2538" s="26"/>
      <c r="F2538" s="26"/>
      <c r="G2538" s="26"/>
      <c r="H2538" s="26"/>
      <c r="I2538" s="25"/>
      <c r="J2538" s="25"/>
      <c r="K2538" s="25"/>
      <c r="L2538" s="25"/>
      <c r="M2538" s="25"/>
      <c r="N2538" s="25"/>
      <c r="O2538" s="25"/>
      <c r="P2538" s="25"/>
    </row>
    <row r="2539" spans="1:16" x14ac:dyDescent="0.3">
      <c r="A2539" s="25"/>
      <c r="B2539" s="25"/>
      <c r="C2539" s="25"/>
      <c r="D2539" s="26"/>
      <c r="E2539" s="26"/>
      <c r="F2539" s="26"/>
      <c r="G2539" s="26"/>
      <c r="H2539" s="26"/>
      <c r="I2539" s="25"/>
      <c r="J2539" s="25"/>
      <c r="K2539" s="25"/>
      <c r="L2539" s="25"/>
      <c r="M2539" s="25"/>
      <c r="N2539" s="25"/>
      <c r="O2539" s="25"/>
      <c r="P2539" s="25"/>
    </row>
    <row r="2540" spans="1:16" x14ac:dyDescent="0.3">
      <c r="A2540" s="25"/>
      <c r="B2540" s="25"/>
      <c r="C2540" s="25"/>
      <c r="D2540" s="26"/>
      <c r="E2540" s="26"/>
      <c r="F2540" s="26"/>
      <c r="G2540" s="26"/>
      <c r="H2540" s="26"/>
      <c r="I2540" s="25"/>
      <c r="J2540" s="25"/>
      <c r="K2540" s="25"/>
      <c r="L2540" s="25"/>
      <c r="M2540" s="25"/>
      <c r="N2540" s="25"/>
      <c r="O2540" s="25"/>
      <c r="P2540" s="25"/>
    </row>
    <row r="2541" spans="1:16" x14ac:dyDescent="0.3">
      <c r="A2541" s="25"/>
      <c r="B2541" s="25"/>
      <c r="C2541" s="25"/>
      <c r="D2541" s="26"/>
      <c r="E2541" s="26"/>
      <c r="F2541" s="26"/>
      <c r="G2541" s="26"/>
      <c r="H2541" s="26"/>
      <c r="I2541" s="25"/>
      <c r="J2541" s="25"/>
      <c r="K2541" s="25"/>
      <c r="L2541" s="25"/>
      <c r="M2541" s="25"/>
      <c r="N2541" s="25"/>
      <c r="O2541" s="25"/>
      <c r="P2541" s="25"/>
    </row>
    <row r="2542" spans="1:16" x14ac:dyDescent="0.3">
      <c r="A2542" s="25"/>
      <c r="B2542" s="25"/>
      <c r="C2542" s="25"/>
      <c r="D2542" s="26"/>
      <c r="E2542" s="26"/>
      <c r="F2542" s="26"/>
      <c r="G2542" s="26"/>
      <c r="H2542" s="26"/>
      <c r="I2542" s="25"/>
      <c r="J2542" s="25"/>
      <c r="K2542" s="25"/>
      <c r="L2542" s="25"/>
      <c r="M2542" s="25"/>
      <c r="N2542" s="25"/>
      <c r="O2542" s="25"/>
      <c r="P2542" s="25"/>
    </row>
    <row r="2543" spans="1:16" x14ac:dyDescent="0.3">
      <c r="A2543" s="25"/>
      <c r="B2543" s="25"/>
      <c r="C2543" s="25"/>
      <c r="D2543" s="26"/>
      <c r="E2543" s="26"/>
      <c r="F2543" s="26"/>
      <c r="G2543" s="26"/>
      <c r="H2543" s="26"/>
      <c r="I2543" s="25"/>
      <c r="J2543" s="25"/>
      <c r="K2543" s="25"/>
      <c r="L2543" s="25"/>
      <c r="M2543" s="25"/>
      <c r="N2543" s="25"/>
      <c r="O2543" s="25"/>
      <c r="P2543" s="25"/>
    </row>
    <row r="2544" spans="1:16" x14ac:dyDescent="0.3">
      <c r="A2544" s="25"/>
      <c r="B2544" s="25"/>
      <c r="C2544" s="25"/>
      <c r="D2544" s="26"/>
      <c r="E2544" s="26"/>
      <c r="F2544" s="26"/>
      <c r="G2544" s="26"/>
      <c r="H2544" s="26"/>
      <c r="I2544" s="25"/>
      <c r="J2544" s="25"/>
      <c r="K2544" s="25"/>
      <c r="L2544" s="25"/>
      <c r="M2544" s="25"/>
      <c r="N2544" s="25"/>
      <c r="O2544" s="25"/>
      <c r="P2544" s="25"/>
    </row>
    <row r="2545" spans="1:16" x14ac:dyDescent="0.3">
      <c r="A2545" s="25"/>
      <c r="B2545" s="25"/>
      <c r="C2545" s="25"/>
      <c r="D2545" s="26"/>
      <c r="E2545" s="26"/>
      <c r="F2545" s="26"/>
      <c r="G2545" s="26"/>
      <c r="H2545" s="26"/>
      <c r="I2545" s="25"/>
      <c r="J2545" s="25"/>
      <c r="K2545" s="25"/>
      <c r="L2545" s="25"/>
      <c r="M2545" s="25"/>
      <c r="N2545" s="25"/>
      <c r="O2545" s="25"/>
      <c r="P2545" s="25"/>
    </row>
    <row r="2546" spans="1:16" x14ac:dyDescent="0.3">
      <c r="A2546" s="25"/>
      <c r="B2546" s="25"/>
      <c r="C2546" s="25"/>
      <c r="D2546" s="26"/>
      <c r="E2546" s="26"/>
      <c r="F2546" s="26"/>
      <c r="G2546" s="26"/>
      <c r="H2546" s="26"/>
      <c r="I2546" s="25"/>
      <c r="J2546" s="25"/>
      <c r="K2546" s="25"/>
      <c r="L2546" s="25"/>
      <c r="M2546" s="25"/>
      <c r="N2546" s="25"/>
      <c r="O2546" s="25"/>
      <c r="P2546" s="25"/>
    </row>
    <row r="2547" spans="1:16" x14ac:dyDescent="0.3">
      <c r="A2547" s="25"/>
      <c r="B2547" s="25"/>
      <c r="C2547" s="25"/>
      <c r="D2547" s="26"/>
      <c r="E2547" s="26"/>
      <c r="F2547" s="26"/>
      <c r="G2547" s="26"/>
      <c r="H2547" s="26"/>
      <c r="I2547" s="25"/>
      <c r="J2547" s="25"/>
      <c r="K2547" s="25"/>
      <c r="L2547" s="25"/>
      <c r="M2547" s="25"/>
      <c r="N2547" s="25"/>
      <c r="O2547" s="25"/>
      <c r="P2547" s="25"/>
    </row>
    <row r="2548" spans="1:16" x14ac:dyDescent="0.3">
      <c r="A2548" s="25"/>
      <c r="B2548" s="25"/>
      <c r="C2548" s="25"/>
      <c r="D2548" s="26"/>
      <c r="E2548" s="26"/>
      <c r="F2548" s="26"/>
      <c r="G2548" s="26"/>
      <c r="H2548" s="26"/>
      <c r="I2548" s="25"/>
      <c r="J2548" s="25"/>
      <c r="K2548" s="25"/>
      <c r="L2548" s="25"/>
      <c r="M2548" s="25"/>
      <c r="N2548" s="25"/>
      <c r="O2548" s="25"/>
      <c r="P2548" s="25"/>
    </row>
    <row r="2549" spans="1:16" x14ac:dyDescent="0.3">
      <c r="A2549" s="25"/>
      <c r="B2549" s="25"/>
      <c r="C2549" s="25"/>
      <c r="D2549" s="26"/>
      <c r="E2549" s="26"/>
      <c r="F2549" s="26"/>
      <c r="G2549" s="26"/>
      <c r="H2549" s="26"/>
      <c r="I2549" s="25"/>
      <c r="J2549" s="25"/>
      <c r="K2549" s="25"/>
      <c r="L2549" s="25"/>
      <c r="M2549" s="25"/>
      <c r="N2549" s="25"/>
      <c r="O2549" s="25"/>
      <c r="P2549" s="25"/>
    </row>
    <row r="2550" spans="1:16" x14ac:dyDescent="0.3">
      <c r="A2550" s="25"/>
      <c r="B2550" s="25"/>
      <c r="C2550" s="25"/>
      <c r="D2550" s="26"/>
      <c r="E2550" s="26"/>
      <c r="F2550" s="26"/>
      <c r="G2550" s="26"/>
      <c r="H2550" s="26"/>
      <c r="I2550" s="25"/>
      <c r="J2550" s="25"/>
      <c r="K2550" s="25"/>
      <c r="L2550" s="25"/>
      <c r="M2550" s="25"/>
      <c r="N2550" s="25"/>
      <c r="O2550" s="25"/>
      <c r="P2550" s="25"/>
    </row>
    <row r="2551" spans="1:16" x14ac:dyDescent="0.3">
      <c r="A2551" s="25"/>
      <c r="B2551" s="25"/>
      <c r="C2551" s="25"/>
      <c r="D2551" s="26"/>
      <c r="E2551" s="26"/>
      <c r="F2551" s="26"/>
      <c r="G2551" s="26"/>
      <c r="H2551" s="26"/>
      <c r="I2551" s="25"/>
      <c r="J2551" s="25"/>
      <c r="K2551" s="25"/>
      <c r="L2551" s="25"/>
      <c r="M2551" s="25"/>
      <c r="N2551" s="25"/>
      <c r="O2551" s="25"/>
      <c r="P2551" s="25"/>
    </row>
    <row r="2552" spans="1:16" x14ac:dyDescent="0.3">
      <c r="A2552" s="25"/>
      <c r="B2552" s="25"/>
      <c r="C2552" s="25"/>
      <c r="D2552" s="26"/>
      <c r="E2552" s="26"/>
      <c r="F2552" s="26"/>
      <c r="G2552" s="26"/>
      <c r="H2552" s="26"/>
      <c r="I2552" s="25"/>
      <c r="J2552" s="25"/>
      <c r="K2552" s="25"/>
      <c r="L2552" s="25"/>
      <c r="M2552" s="25"/>
      <c r="N2552" s="25"/>
      <c r="O2552" s="25"/>
      <c r="P2552" s="25"/>
    </row>
    <row r="2553" spans="1:16" x14ac:dyDescent="0.3">
      <c r="A2553" s="25"/>
      <c r="B2553" s="25"/>
      <c r="C2553" s="25"/>
      <c r="D2553" s="26"/>
      <c r="E2553" s="26"/>
      <c r="F2553" s="26"/>
      <c r="G2553" s="26"/>
      <c r="H2553" s="26"/>
      <c r="I2553" s="25"/>
      <c r="J2553" s="25"/>
      <c r="K2553" s="25"/>
      <c r="L2553" s="25"/>
      <c r="M2553" s="25"/>
      <c r="N2553" s="25"/>
      <c r="O2553" s="25"/>
      <c r="P2553" s="25"/>
    </row>
    <row r="2554" spans="1:16" x14ac:dyDescent="0.3">
      <c r="A2554" s="25"/>
      <c r="B2554" s="25"/>
      <c r="C2554" s="25"/>
      <c r="D2554" s="26"/>
      <c r="E2554" s="26"/>
      <c r="F2554" s="26"/>
      <c r="G2554" s="26"/>
      <c r="H2554" s="26"/>
      <c r="I2554" s="25"/>
      <c r="J2554" s="25"/>
      <c r="K2554" s="25"/>
      <c r="L2554" s="25"/>
      <c r="M2554" s="25"/>
      <c r="N2554" s="25"/>
      <c r="O2554" s="25"/>
      <c r="P2554" s="25"/>
    </row>
    <row r="2555" spans="1:16" x14ac:dyDescent="0.3">
      <c r="A2555" s="25"/>
      <c r="B2555" s="25"/>
      <c r="C2555" s="25"/>
      <c r="D2555" s="26"/>
      <c r="E2555" s="26"/>
      <c r="F2555" s="26"/>
      <c r="G2555" s="26"/>
      <c r="H2555" s="26"/>
      <c r="I2555" s="25"/>
      <c r="J2555" s="25"/>
      <c r="K2555" s="25"/>
      <c r="L2555" s="25"/>
      <c r="M2555" s="25"/>
      <c r="N2555" s="25"/>
      <c r="O2555" s="25"/>
      <c r="P2555" s="25"/>
    </row>
    <row r="2556" spans="1:16" x14ac:dyDescent="0.3">
      <c r="A2556" s="25"/>
      <c r="B2556" s="25"/>
      <c r="C2556" s="25"/>
      <c r="D2556" s="26"/>
      <c r="E2556" s="26"/>
      <c r="F2556" s="26"/>
      <c r="G2556" s="26"/>
      <c r="H2556" s="26"/>
      <c r="I2556" s="25"/>
      <c r="J2556" s="25"/>
      <c r="K2556" s="25"/>
      <c r="L2556" s="25"/>
      <c r="M2556" s="25"/>
      <c r="N2556" s="25"/>
      <c r="O2556" s="25"/>
      <c r="P2556" s="25"/>
    </row>
    <row r="2557" spans="1:16" x14ac:dyDescent="0.3">
      <c r="A2557" s="25"/>
      <c r="B2557" s="25"/>
      <c r="C2557" s="25"/>
      <c r="D2557" s="26"/>
      <c r="E2557" s="26"/>
      <c r="F2557" s="26"/>
      <c r="G2557" s="26"/>
      <c r="H2557" s="26"/>
      <c r="I2557" s="25"/>
      <c r="J2557" s="25"/>
      <c r="K2557" s="25"/>
      <c r="L2557" s="25"/>
      <c r="M2557" s="25"/>
      <c r="N2557" s="25"/>
      <c r="O2557" s="25"/>
      <c r="P2557" s="25"/>
    </row>
    <row r="2558" spans="1:16" x14ac:dyDescent="0.3">
      <c r="A2558" s="25"/>
      <c r="B2558" s="25"/>
      <c r="C2558" s="25"/>
      <c r="D2558" s="26"/>
      <c r="E2558" s="26"/>
      <c r="F2558" s="26"/>
      <c r="G2558" s="26"/>
      <c r="H2558" s="26"/>
      <c r="I2558" s="25"/>
      <c r="J2558" s="25"/>
      <c r="K2558" s="25"/>
      <c r="L2558" s="25"/>
      <c r="M2558" s="25"/>
      <c r="N2558" s="25"/>
      <c r="O2558" s="25"/>
      <c r="P2558" s="25"/>
    </row>
    <row r="2559" spans="1:16" x14ac:dyDescent="0.3">
      <c r="A2559" s="25"/>
      <c r="B2559" s="25"/>
      <c r="C2559" s="25"/>
      <c r="D2559" s="26"/>
      <c r="E2559" s="26"/>
      <c r="F2559" s="26"/>
      <c r="G2559" s="26"/>
      <c r="H2559" s="26"/>
      <c r="I2559" s="25"/>
      <c r="J2559" s="25"/>
      <c r="K2559" s="25"/>
      <c r="L2559" s="25"/>
      <c r="M2559" s="25"/>
      <c r="N2559" s="25"/>
      <c r="O2559" s="25"/>
      <c r="P2559" s="25"/>
    </row>
    <row r="2560" spans="1:16" x14ac:dyDescent="0.3">
      <c r="A2560" s="25"/>
      <c r="B2560" s="25"/>
      <c r="C2560" s="25"/>
      <c r="D2560" s="26"/>
      <c r="E2560" s="26"/>
      <c r="F2560" s="26"/>
      <c r="G2560" s="26"/>
      <c r="H2560" s="26"/>
      <c r="I2560" s="25"/>
      <c r="J2560" s="25"/>
      <c r="K2560" s="25"/>
      <c r="L2560" s="25"/>
      <c r="M2560" s="25"/>
      <c r="N2560" s="25"/>
      <c r="O2560" s="25"/>
      <c r="P2560" s="25"/>
    </row>
    <row r="2561" spans="1:16" x14ac:dyDescent="0.3">
      <c r="A2561" s="25"/>
      <c r="B2561" s="25"/>
      <c r="C2561" s="25"/>
      <c r="D2561" s="26"/>
      <c r="E2561" s="26"/>
      <c r="F2561" s="26"/>
      <c r="G2561" s="26"/>
      <c r="H2561" s="26"/>
      <c r="I2561" s="25"/>
      <c r="J2561" s="25"/>
      <c r="K2561" s="25"/>
      <c r="L2561" s="25"/>
      <c r="M2561" s="25"/>
      <c r="N2561" s="25"/>
      <c r="O2561" s="25"/>
      <c r="P2561" s="25"/>
    </row>
    <row r="2562" spans="1:16" x14ac:dyDescent="0.3">
      <c r="A2562" s="25"/>
      <c r="B2562" s="25"/>
      <c r="C2562" s="25"/>
      <c r="D2562" s="26"/>
      <c r="E2562" s="26"/>
      <c r="F2562" s="26"/>
      <c r="G2562" s="26"/>
      <c r="H2562" s="26"/>
      <c r="I2562" s="25"/>
      <c r="J2562" s="25"/>
      <c r="K2562" s="25"/>
      <c r="L2562" s="25"/>
      <c r="M2562" s="25"/>
      <c r="N2562" s="25"/>
      <c r="O2562" s="25"/>
      <c r="P2562" s="25"/>
    </row>
    <row r="2563" spans="1:16" x14ac:dyDescent="0.3">
      <c r="A2563" s="25"/>
      <c r="B2563" s="25"/>
      <c r="C2563" s="25"/>
      <c r="D2563" s="26"/>
      <c r="E2563" s="26"/>
      <c r="F2563" s="26"/>
      <c r="G2563" s="26"/>
      <c r="H2563" s="26"/>
      <c r="I2563" s="25"/>
      <c r="J2563" s="25"/>
      <c r="K2563" s="25"/>
      <c r="L2563" s="25"/>
      <c r="M2563" s="25"/>
      <c r="N2563" s="25"/>
      <c r="O2563" s="25"/>
      <c r="P2563" s="25"/>
    </row>
    <row r="2564" spans="1:16" x14ac:dyDescent="0.3">
      <c r="A2564" s="25"/>
      <c r="B2564" s="25"/>
      <c r="C2564" s="25"/>
      <c r="D2564" s="26"/>
      <c r="E2564" s="26"/>
      <c r="F2564" s="26"/>
      <c r="G2564" s="26"/>
      <c r="H2564" s="26"/>
      <c r="I2564" s="25"/>
      <c r="J2564" s="25"/>
      <c r="K2564" s="25"/>
      <c r="L2564" s="25"/>
      <c r="M2564" s="25"/>
      <c r="N2564" s="25"/>
      <c r="O2564" s="25"/>
      <c r="P2564" s="25"/>
    </row>
    <row r="2565" spans="1:16" x14ac:dyDescent="0.3">
      <c r="A2565" s="25"/>
      <c r="B2565" s="25"/>
      <c r="C2565" s="25"/>
      <c r="D2565" s="26"/>
      <c r="E2565" s="26"/>
      <c r="F2565" s="26"/>
      <c r="G2565" s="26"/>
      <c r="H2565" s="26"/>
      <c r="I2565" s="25"/>
      <c r="J2565" s="25"/>
      <c r="K2565" s="25"/>
      <c r="L2565" s="25"/>
      <c r="M2565" s="25"/>
      <c r="N2565" s="25"/>
      <c r="O2565" s="25"/>
      <c r="P2565" s="25"/>
    </row>
    <row r="2566" spans="1:16" x14ac:dyDescent="0.3">
      <c r="A2566" s="25"/>
      <c r="B2566" s="25"/>
      <c r="C2566" s="25"/>
      <c r="D2566" s="26"/>
      <c r="E2566" s="26"/>
      <c r="F2566" s="26"/>
      <c r="G2566" s="26"/>
      <c r="H2566" s="26"/>
      <c r="I2566" s="25"/>
      <c r="J2566" s="25"/>
      <c r="K2566" s="25"/>
      <c r="L2566" s="25"/>
      <c r="M2566" s="25"/>
      <c r="N2566" s="25"/>
      <c r="O2566" s="25"/>
      <c r="P2566" s="25"/>
    </row>
    <row r="2567" spans="1:16" x14ac:dyDescent="0.3">
      <c r="A2567" s="25"/>
      <c r="B2567" s="25"/>
      <c r="C2567" s="25"/>
      <c r="D2567" s="26"/>
      <c r="E2567" s="26"/>
      <c r="F2567" s="26"/>
      <c r="G2567" s="26"/>
      <c r="H2567" s="26"/>
      <c r="I2567" s="25"/>
      <c r="J2567" s="25"/>
      <c r="K2567" s="25"/>
      <c r="L2567" s="25"/>
      <c r="M2567" s="25"/>
      <c r="N2567" s="25"/>
      <c r="O2567" s="25"/>
      <c r="P2567" s="25"/>
    </row>
    <row r="2568" spans="1:16" x14ac:dyDescent="0.3">
      <c r="A2568" s="25"/>
      <c r="B2568" s="25"/>
      <c r="C2568" s="25"/>
      <c r="D2568" s="26"/>
      <c r="E2568" s="26"/>
      <c r="F2568" s="26"/>
      <c r="G2568" s="26"/>
      <c r="H2568" s="26"/>
      <c r="I2568" s="25"/>
      <c r="J2568" s="25"/>
      <c r="K2568" s="25"/>
      <c r="L2568" s="25"/>
      <c r="M2568" s="25"/>
      <c r="N2568" s="25"/>
      <c r="O2568" s="25"/>
      <c r="P2568" s="25"/>
    </row>
    <row r="2569" spans="1:16" x14ac:dyDescent="0.3">
      <c r="A2569" s="25"/>
      <c r="B2569" s="25"/>
      <c r="C2569" s="25"/>
      <c r="D2569" s="26"/>
      <c r="E2569" s="26"/>
      <c r="F2569" s="26"/>
      <c r="G2569" s="26"/>
      <c r="H2569" s="26"/>
      <c r="I2569" s="25"/>
      <c r="J2569" s="25"/>
      <c r="K2569" s="25"/>
      <c r="L2569" s="25"/>
      <c r="M2569" s="25"/>
      <c r="N2569" s="25"/>
      <c r="O2569" s="25"/>
      <c r="P2569" s="25"/>
    </row>
    <row r="2570" spans="1:16" x14ac:dyDescent="0.3">
      <c r="A2570" s="25"/>
      <c r="B2570" s="25"/>
      <c r="C2570" s="25"/>
      <c r="D2570" s="26"/>
      <c r="E2570" s="26"/>
      <c r="F2570" s="26"/>
      <c r="G2570" s="26"/>
      <c r="H2570" s="26"/>
      <c r="I2570" s="25"/>
      <c r="J2570" s="25"/>
      <c r="K2570" s="25"/>
      <c r="L2570" s="25"/>
      <c r="M2570" s="25"/>
      <c r="N2570" s="25"/>
      <c r="O2570" s="25"/>
      <c r="P2570" s="25"/>
    </row>
    <row r="2571" spans="1:16" x14ac:dyDescent="0.3">
      <c r="A2571" s="25"/>
      <c r="B2571" s="25"/>
      <c r="C2571" s="25"/>
      <c r="D2571" s="26"/>
      <c r="E2571" s="26"/>
      <c r="F2571" s="26"/>
      <c r="G2571" s="26"/>
      <c r="H2571" s="26"/>
      <c r="I2571" s="25"/>
      <c r="J2571" s="25"/>
      <c r="K2571" s="25"/>
      <c r="L2571" s="25"/>
      <c r="M2571" s="25"/>
      <c r="N2571" s="25"/>
      <c r="O2571" s="25"/>
      <c r="P2571" s="25"/>
    </row>
    <row r="2572" spans="1:16" x14ac:dyDescent="0.3">
      <c r="A2572" s="25"/>
      <c r="B2572" s="25"/>
      <c r="C2572" s="25"/>
      <c r="D2572" s="26"/>
      <c r="E2572" s="26"/>
      <c r="F2572" s="26"/>
      <c r="G2572" s="26"/>
      <c r="H2572" s="26"/>
      <c r="I2572" s="25"/>
      <c r="J2572" s="25"/>
      <c r="K2572" s="25"/>
      <c r="L2572" s="25"/>
      <c r="M2572" s="25"/>
      <c r="N2572" s="25"/>
      <c r="O2572" s="25"/>
      <c r="P2572" s="25"/>
    </row>
    <row r="2573" spans="1:16" x14ac:dyDescent="0.3">
      <c r="A2573" s="25"/>
      <c r="B2573" s="25"/>
      <c r="C2573" s="25"/>
      <c r="D2573" s="26"/>
      <c r="E2573" s="26"/>
      <c r="F2573" s="26"/>
      <c r="G2573" s="26"/>
      <c r="H2573" s="26"/>
      <c r="I2573" s="25"/>
      <c r="J2573" s="25"/>
      <c r="K2573" s="25"/>
      <c r="L2573" s="25"/>
      <c r="M2573" s="25"/>
      <c r="N2573" s="25"/>
      <c r="O2573" s="25"/>
      <c r="P2573" s="25"/>
    </row>
    <row r="2574" spans="1:16" x14ac:dyDescent="0.3">
      <c r="A2574" s="25"/>
      <c r="B2574" s="25"/>
      <c r="C2574" s="25"/>
      <c r="D2574" s="26"/>
      <c r="E2574" s="26"/>
      <c r="F2574" s="26"/>
      <c r="G2574" s="26"/>
      <c r="H2574" s="26"/>
      <c r="I2574" s="25"/>
      <c r="J2574" s="25"/>
      <c r="K2574" s="25"/>
      <c r="L2574" s="25"/>
      <c r="M2574" s="25"/>
      <c r="N2574" s="25"/>
      <c r="O2574" s="25"/>
      <c r="P2574" s="25"/>
    </row>
    <row r="2575" spans="1:16" x14ac:dyDescent="0.3">
      <c r="A2575" s="25"/>
      <c r="B2575" s="25"/>
      <c r="C2575" s="25"/>
      <c r="D2575" s="26"/>
      <c r="E2575" s="26"/>
      <c r="F2575" s="26"/>
      <c r="G2575" s="26"/>
      <c r="H2575" s="26"/>
      <c r="I2575" s="25"/>
      <c r="J2575" s="25"/>
      <c r="K2575" s="25"/>
      <c r="L2575" s="25"/>
      <c r="M2575" s="25"/>
      <c r="N2575" s="25"/>
      <c r="O2575" s="25"/>
      <c r="P2575" s="25"/>
    </row>
    <row r="2576" spans="1:16" x14ac:dyDescent="0.3">
      <c r="A2576" s="25"/>
      <c r="B2576" s="25"/>
      <c r="C2576" s="25"/>
      <c r="D2576" s="26"/>
      <c r="E2576" s="26"/>
      <c r="F2576" s="26"/>
      <c r="G2576" s="26"/>
      <c r="H2576" s="26"/>
      <c r="I2576" s="25"/>
      <c r="J2576" s="25"/>
      <c r="K2576" s="25"/>
      <c r="L2576" s="25"/>
      <c r="M2576" s="25"/>
      <c r="N2576" s="25"/>
      <c r="O2576" s="25"/>
      <c r="P2576" s="25"/>
    </row>
    <row r="2577" spans="1:16" x14ac:dyDescent="0.3">
      <c r="A2577" s="25"/>
      <c r="B2577" s="25"/>
      <c r="C2577" s="25"/>
      <c r="D2577" s="26"/>
      <c r="E2577" s="26"/>
      <c r="F2577" s="26"/>
      <c r="G2577" s="26"/>
      <c r="H2577" s="26"/>
      <c r="I2577" s="25"/>
      <c r="J2577" s="25"/>
      <c r="K2577" s="25"/>
      <c r="L2577" s="25"/>
      <c r="M2577" s="25"/>
      <c r="N2577" s="25"/>
      <c r="O2577" s="25"/>
      <c r="P2577" s="25"/>
    </row>
    <row r="2578" spans="1:16" x14ac:dyDescent="0.3">
      <c r="A2578" s="25"/>
      <c r="B2578" s="25"/>
      <c r="C2578" s="25"/>
      <c r="D2578" s="26"/>
      <c r="E2578" s="26"/>
      <c r="F2578" s="26"/>
      <c r="G2578" s="26"/>
      <c r="H2578" s="26"/>
      <c r="I2578" s="25"/>
      <c r="J2578" s="25"/>
      <c r="K2578" s="25"/>
      <c r="L2578" s="25"/>
      <c r="M2578" s="25"/>
      <c r="N2578" s="25"/>
      <c r="O2578" s="25"/>
      <c r="P2578" s="25"/>
    </row>
    <row r="2579" spans="1:16" x14ac:dyDescent="0.3">
      <c r="A2579" s="25"/>
      <c r="B2579" s="25"/>
      <c r="C2579" s="25"/>
      <c r="D2579" s="26"/>
      <c r="E2579" s="26"/>
      <c r="F2579" s="26"/>
      <c r="G2579" s="26"/>
      <c r="H2579" s="26"/>
      <c r="I2579" s="25"/>
      <c r="J2579" s="25"/>
      <c r="K2579" s="25"/>
      <c r="L2579" s="25"/>
      <c r="M2579" s="25"/>
      <c r="N2579" s="25"/>
      <c r="O2579" s="25"/>
      <c r="P2579" s="25"/>
    </row>
    <row r="2580" spans="1:16" x14ac:dyDescent="0.3">
      <c r="A2580" s="25"/>
      <c r="B2580" s="25"/>
      <c r="C2580" s="25"/>
      <c r="D2580" s="26"/>
      <c r="E2580" s="26"/>
      <c r="F2580" s="26"/>
      <c r="G2580" s="26"/>
      <c r="H2580" s="26"/>
      <c r="I2580" s="25"/>
      <c r="J2580" s="25"/>
      <c r="K2580" s="25"/>
      <c r="L2580" s="25"/>
      <c r="M2580" s="25"/>
      <c r="N2580" s="25"/>
      <c r="O2580" s="25"/>
      <c r="P2580" s="25"/>
    </row>
    <row r="2581" spans="1:16" x14ac:dyDescent="0.3">
      <c r="A2581" s="25"/>
      <c r="B2581" s="25"/>
      <c r="C2581" s="25"/>
      <c r="D2581" s="26"/>
      <c r="E2581" s="26"/>
      <c r="F2581" s="26"/>
      <c r="G2581" s="26"/>
      <c r="H2581" s="26"/>
      <c r="I2581" s="25"/>
      <c r="J2581" s="25"/>
      <c r="K2581" s="25"/>
      <c r="L2581" s="25"/>
      <c r="M2581" s="25"/>
      <c r="N2581" s="25"/>
      <c r="O2581" s="25"/>
      <c r="P2581" s="25"/>
    </row>
    <row r="2582" spans="1:16" x14ac:dyDescent="0.3">
      <c r="A2582" s="25"/>
      <c r="B2582" s="25"/>
      <c r="C2582" s="25"/>
      <c r="D2582" s="26"/>
      <c r="E2582" s="26"/>
      <c r="F2582" s="26"/>
      <c r="G2582" s="26"/>
      <c r="H2582" s="26"/>
      <c r="I2582" s="25"/>
      <c r="J2582" s="25"/>
      <c r="K2582" s="25"/>
      <c r="L2582" s="25"/>
      <c r="M2582" s="25"/>
      <c r="N2582" s="25"/>
      <c r="O2582" s="25"/>
      <c r="P2582" s="25"/>
    </row>
    <row r="2583" spans="1:16" x14ac:dyDescent="0.3">
      <c r="A2583" s="25"/>
      <c r="B2583" s="25"/>
      <c r="C2583" s="25"/>
      <c r="D2583" s="26"/>
      <c r="E2583" s="26"/>
      <c r="F2583" s="26"/>
      <c r="G2583" s="26"/>
      <c r="H2583" s="26"/>
      <c r="I2583" s="25"/>
      <c r="J2583" s="25"/>
      <c r="K2583" s="25"/>
      <c r="L2583" s="25"/>
      <c r="M2583" s="25"/>
      <c r="N2583" s="25"/>
      <c r="O2583" s="25"/>
      <c r="P2583" s="25"/>
    </row>
    <row r="2584" spans="1:16" x14ac:dyDescent="0.3">
      <c r="A2584" s="25"/>
      <c r="B2584" s="25"/>
      <c r="C2584" s="25"/>
      <c r="D2584" s="26"/>
      <c r="E2584" s="26"/>
      <c r="F2584" s="26"/>
      <c r="G2584" s="26"/>
      <c r="H2584" s="26"/>
      <c r="I2584" s="25"/>
      <c r="J2584" s="25"/>
      <c r="K2584" s="25"/>
      <c r="L2584" s="25"/>
      <c r="M2584" s="25"/>
      <c r="N2584" s="25"/>
      <c r="O2584" s="25"/>
      <c r="P2584" s="25"/>
    </row>
    <row r="2585" spans="1:16" x14ac:dyDescent="0.3">
      <c r="A2585" s="25"/>
      <c r="B2585" s="25"/>
      <c r="C2585" s="25"/>
      <c r="D2585" s="26"/>
      <c r="E2585" s="26"/>
      <c r="F2585" s="26"/>
      <c r="G2585" s="26"/>
      <c r="H2585" s="26"/>
      <c r="I2585" s="25"/>
      <c r="J2585" s="25"/>
      <c r="K2585" s="25"/>
      <c r="L2585" s="25"/>
      <c r="M2585" s="25"/>
      <c r="N2585" s="25"/>
      <c r="O2585" s="25"/>
      <c r="P2585" s="25"/>
    </row>
    <row r="2586" spans="1:16" x14ac:dyDescent="0.3">
      <c r="A2586" s="25"/>
      <c r="B2586" s="25"/>
      <c r="C2586" s="25"/>
      <c r="D2586" s="26"/>
      <c r="E2586" s="26"/>
      <c r="F2586" s="26"/>
      <c r="G2586" s="26"/>
      <c r="H2586" s="26"/>
      <c r="I2586" s="25"/>
      <c r="J2586" s="25"/>
      <c r="K2586" s="25"/>
      <c r="L2586" s="25"/>
      <c r="M2586" s="25"/>
      <c r="N2586" s="25"/>
      <c r="O2586" s="25"/>
      <c r="P2586" s="25"/>
    </row>
    <row r="2587" spans="1:16" x14ac:dyDescent="0.3">
      <c r="A2587" s="25"/>
      <c r="B2587" s="25"/>
      <c r="C2587" s="25"/>
      <c r="D2587" s="26"/>
      <c r="E2587" s="26"/>
      <c r="F2587" s="26"/>
      <c r="G2587" s="26"/>
      <c r="H2587" s="26"/>
      <c r="I2587" s="25"/>
      <c r="J2587" s="25"/>
      <c r="K2587" s="25"/>
      <c r="L2587" s="25"/>
      <c r="M2587" s="25"/>
      <c r="N2587" s="25"/>
      <c r="O2587" s="25"/>
      <c r="P2587" s="25"/>
    </row>
    <row r="2588" spans="1:16" x14ac:dyDescent="0.3">
      <c r="A2588" s="25"/>
      <c r="B2588" s="25"/>
      <c r="C2588" s="25"/>
      <c r="D2588" s="26"/>
      <c r="E2588" s="26"/>
      <c r="F2588" s="26"/>
      <c r="G2588" s="26"/>
      <c r="H2588" s="26"/>
      <c r="I2588" s="25"/>
      <c r="J2588" s="25"/>
      <c r="K2588" s="25"/>
      <c r="L2588" s="25"/>
      <c r="M2588" s="25"/>
      <c r="N2588" s="25"/>
      <c r="O2588" s="25"/>
      <c r="P2588" s="25"/>
    </row>
    <row r="2589" spans="1:16" x14ac:dyDescent="0.3">
      <c r="A2589" s="25"/>
      <c r="B2589" s="25"/>
      <c r="C2589" s="25"/>
      <c r="D2589" s="26"/>
      <c r="E2589" s="26"/>
      <c r="F2589" s="26"/>
      <c r="G2589" s="26"/>
      <c r="H2589" s="26"/>
      <c r="I2589" s="25"/>
      <c r="J2589" s="25"/>
      <c r="K2589" s="25"/>
      <c r="L2589" s="25"/>
      <c r="M2589" s="25"/>
      <c r="N2589" s="25"/>
      <c r="O2589" s="25"/>
      <c r="P2589" s="25"/>
    </row>
    <row r="2590" spans="1:16" x14ac:dyDescent="0.3">
      <c r="A2590" s="25"/>
      <c r="B2590" s="25"/>
      <c r="C2590" s="25"/>
      <c r="D2590" s="26"/>
      <c r="E2590" s="26"/>
      <c r="F2590" s="26"/>
      <c r="G2590" s="26"/>
      <c r="H2590" s="26"/>
      <c r="I2590" s="25"/>
      <c r="J2590" s="25"/>
      <c r="K2590" s="25"/>
      <c r="L2590" s="25"/>
      <c r="M2590" s="25"/>
      <c r="N2590" s="25"/>
      <c r="O2590" s="25"/>
      <c r="P2590" s="25"/>
    </row>
    <row r="2591" spans="1:16" x14ac:dyDescent="0.3">
      <c r="A2591" s="25"/>
      <c r="B2591" s="25"/>
      <c r="C2591" s="25"/>
      <c r="D2591" s="26"/>
      <c r="E2591" s="26"/>
      <c r="F2591" s="26"/>
      <c r="G2591" s="26"/>
      <c r="H2591" s="26"/>
      <c r="I2591" s="25"/>
      <c r="J2591" s="25"/>
      <c r="K2591" s="25"/>
      <c r="L2591" s="25"/>
      <c r="M2591" s="25"/>
      <c r="N2591" s="25"/>
      <c r="O2591" s="25"/>
      <c r="P2591" s="25"/>
    </row>
    <row r="2592" spans="1:16" x14ac:dyDescent="0.3">
      <c r="A2592" s="25"/>
      <c r="B2592" s="25"/>
      <c r="C2592" s="25"/>
      <c r="D2592" s="26"/>
      <c r="E2592" s="26"/>
      <c r="F2592" s="26"/>
      <c r="G2592" s="26"/>
      <c r="H2592" s="26"/>
      <c r="I2592" s="25"/>
      <c r="J2592" s="25"/>
      <c r="K2592" s="25"/>
      <c r="L2592" s="25"/>
      <c r="M2592" s="25"/>
      <c r="N2592" s="25"/>
      <c r="O2592" s="25"/>
      <c r="P2592" s="25"/>
    </row>
    <row r="2593" spans="1:16" x14ac:dyDescent="0.3">
      <c r="A2593" s="25"/>
      <c r="B2593" s="25"/>
      <c r="C2593" s="25"/>
      <c r="D2593" s="26"/>
      <c r="E2593" s="26"/>
      <c r="F2593" s="26"/>
      <c r="G2593" s="26"/>
      <c r="H2593" s="26"/>
      <c r="I2593" s="25"/>
      <c r="J2593" s="25"/>
      <c r="K2593" s="25"/>
      <c r="L2593" s="25"/>
      <c r="M2593" s="25"/>
      <c r="N2593" s="25"/>
      <c r="O2593" s="25"/>
      <c r="P2593" s="25"/>
    </row>
    <row r="2594" spans="1:16" x14ac:dyDescent="0.3">
      <c r="A2594" s="25"/>
      <c r="B2594" s="25"/>
      <c r="C2594" s="25"/>
      <c r="D2594" s="26"/>
      <c r="E2594" s="26"/>
      <c r="F2594" s="26"/>
      <c r="G2594" s="26"/>
      <c r="H2594" s="26"/>
      <c r="I2594" s="25"/>
      <c r="J2594" s="25"/>
      <c r="K2594" s="25"/>
      <c r="L2594" s="25"/>
      <c r="M2594" s="25"/>
      <c r="N2594" s="25"/>
      <c r="O2594" s="25"/>
      <c r="P2594" s="25"/>
    </row>
    <row r="2595" spans="1:16" x14ac:dyDescent="0.3">
      <c r="A2595" s="25"/>
      <c r="B2595" s="25"/>
      <c r="C2595" s="25"/>
      <c r="D2595" s="26"/>
      <c r="E2595" s="26"/>
      <c r="F2595" s="26"/>
      <c r="G2595" s="26"/>
      <c r="H2595" s="26"/>
      <c r="I2595" s="25"/>
      <c r="J2595" s="25"/>
      <c r="K2595" s="25"/>
      <c r="L2595" s="25"/>
      <c r="M2595" s="25"/>
      <c r="N2595" s="25"/>
      <c r="O2595" s="25"/>
      <c r="P2595" s="25"/>
    </row>
    <row r="2596" spans="1:16" x14ac:dyDescent="0.3">
      <c r="A2596" s="25"/>
      <c r="B2596" s="25"/>
      <c r="C2596" s="25"/>
      <c r="D2596" s="26"/>
      <c r="E2596" s="26"/>
      <c r="F2596" s="26"/>
      <c r="G2596" s="26"/>
      <c r="H2596" s="26"/>
      <c r="I2596" s="25"/>
      <c r="J2596" s="25"/>
      <c r="K2596" s="25"/>
      <c r="L2596" s="25"/>
      <c r="M2596" s="25"/>
      <c r="N2596" s="25"/>
      <c r="O2596" s="25"/>
      <c r="P2596" s="25"/>
    </row>
    <row r="2597" spans="1:16" x14ac:dyDescent="0.3">
      <c r="A2597" s="25"/>
      <c r="B2597" s="25"/>
      <c r="C2597" s="25"/>
      <c r="D2597" s="26"/>
      <c r="E2597" s="26"/>
      <c r="F2597" s="26"/>
      <c r="G2597" s="26"/>
      <c r="H2597" s="26"/>
      <c r="I2597" s="25"/>
      <c r="J2597" s="25"/>
      <c r="K2597" s="25"/>
      <c r="L2597" s="25"/>
      <c r="M2597" s="25"/>
      <c r="N2597" s="25"/>
      <c r="O2597" s="25"/>
      <c r="P2597" s="25"/>
    </row>
    <row r="2598" spans="1:16" x14ac:dyDescent="0.3">
      <c r="A2598" s="25"/>
      <c r="B2598" s="25"/>
      <c r="C2598" s="25"/>
      <c r="D2598" s="26"/>
      <c r="E2598" s="26"/>
      <c r="F2598" s="26"/>
      <c r="G2598" s="26"/>
      <c r="H2598" s="26"/>
      <c r="I2598" s="25"/>
      <c r="J2598" s="25"/>
      <c r="K2598" s="25"/>
      <c r="L2598" s="25"/>
      <c r="M2598" s="25"/>
      <c r="N2598" s="25"/>
      <c r="O2598" s="25"/>
      <c r="P2598" s="25"/>
    </row>
    <row r="2599" spans="1:16" x14ac:dyDescent="0.3">
      <c r="A2599" s="25"/>
      <c r="B2599" s="25"/>
      <c r="C2599" s="25"/>
      <c r="D2599" s="26"/>
      <c r="E2599" s="26"/>
      <c r="F2599" s="26"/>
      <c r="G2599" s="26"/>
      <c r="H2599" s="26"/>
      <c r="I2599" s="25"/>
      <c r="J2599" s="25"/>
      <c r="K2599" s="25"/>
      <c r="L2599" s="25"/>
      <c r="M2599" s="25"/>
      <c r="N2599" s="25"/>
      <c r="O2599" s="25"/>
      <c r="P2599" s="25"/>
    </row>
    <row r="2600" spans="1:16" x14ac:dyDescent="0.3">
      <c r="A2600" s="25"/>
      <c r="B2600" s="25"/>
      <c r="C2600" s="25"/>
      <c r="D2600" s="26"/>
      <c r="E2600" s="26"/>
      <c r="F2600" s="26"/>
      <c r="G2600" s="26"/>
      <c r="H2600" s="26"/>
      <c r="I2600" s="25"/>
      <c r="J2600" s="25"/>
      <c r="K2600" s="25"/>
      <c r="L2600" s="25"/>
      <c r="M2600" s="25"/>
      <c r="N2600" s="25"/>
      <c r="O2600" s="25"/>
      <c r="P2600" s="25"/>
    </row>
    <row r="2601" spans="1:16" x14ac:dyDescent="0.3">
      <c r="A2601" s="25"/>
      <c r="B2601" s="25"/>
      <c r="C2601" s="25"/>
      <c r="D2601" s="26"/>
      <c r="E2601" s="26"/>
      <c r="F2601" s="26"/>
      <c r="G2601" s="26"/>
      <c r="H2601" s="26"/>
      <c r="I2601" s="25"/>
      <c r="J2601" s="25"/>
      <c r="K2601" s="25"/>
      <c r="L2601" s="25"/>
      <c r="M2601" s="25"/>
      <c r="N2601" s="25"/>
      <c r="O2601" s="25"/>
      <c r="P2601" s="25"/>
    </row>
    <row r="2602" spans="1:16" x14ac:dyDescent="0.3">
      <c r="A2602" s="25"/>
      <c r="B2602" s="25"/>
      <c r="C2602" s="25"/>
      <c r="D2602" s="26"/>
      <c r="E2602" s="26"/>
      <c r="F2602" s="26"/>
      <c r="G2602" s="26"/>
      <c r="H2602" s="26"/>
      <c r="I2602" s="25"/>
      <c r="J2602" s="25"/>
      <c r="K2602" s="25"/>
      <c r="L2602" s="25"/>
      <c r="M2602" s="25"/>
      <c r="N2602" s="25"/>
      <c r="O2602" s="25"/>
      <c r="P2602" s="25"/>
    </row>
    <row r="2603" spans="1:16" x14ac:dyDescent="0.3">
      <c r="A2603" s="25"/>
      <c r="B2603" s="25"/>
      <c r="C2603" s="25"/>
      <c r="D2603" s="26"/>
      <c r="E2603" s="26"/>
      <c r="F2603" s="26"/>
      <c r="G2603" s="26"/>
      <c r="H2603" s="26"/>
      <c r="I2603" s="25"/>
      <c r="J2603" s="25"/>
      <c r="K2603" s="25"/>
      <c r="L2603" s="25"/>
      <c r="M2603" s="25"/>
      <c r="N2603" s="25"/>
      <c r="O2603" s="25"/>
      <c r="P2603" s="25"/>
    </row>
    <row r="2604" spans="1:16" x14ac:dyDescent="0.3">
      <c r="A2604" s="25"/>
      <c r="B2604" s="25"/>
      <c r="C2604" s="25"/>
      <c r="D2604" s="26"/>
      <c r="E2604" s="26"/>
      <c r="F2604" s="26"/>
      <c r="G2604" s="26"/>
      <c r="H2604" s="26"/>
      <c r="I2604" s="25"/>
      <c r="J2604" s="25"/>
      <c r="K2604" s="25"/>
      <c r="L2604" s="25"/>
      <c r="M2604" s="25"/>
      <c r="N2604" s="25"/>
      <c r="O2604" s="25"/>
      <c r="P2604" s="25"/>
    </row>
    <row r="2605" spans="1:16" x14ac:dyDescent="0.3">
      <c r="A2605" s="25"/>
      <c r="B2605" s="25"/>
      <c r="C2605" s="25"/>
      <c r="D2605" s="26"/>
      <c r="E2605" s="26"/>
      <c r="F2605" s="26"/>
      <c r="G2605" s="26"/>
      <c r="H2605" s="26"/>
      <c r="I2605" s="25"/>
      <c r="J2605" s="25"/>
      <c r="K2605" s="25"/>
      <c r="L2605" s="25"/>
      <c r="M2605" s="25"/>
      <c r="N2605" s="25"/>
      <c r="O2605" s="25"/>
      <c r="P2605" s="25"/>
    </row>
    <row r="2606" spans="1:16" x14ac:dyDescent="0.3">
      <c r="A2606" s="25"/>
      <c r="B2606" s="25"/>
      <c r="C2606" s="25"/>
      <c r="D2606" s="26"/>
      <c r="E2606" s="26"/>
      <c r="F2606" s="26"/>
      <c r="G2606" s="26"/>
      <c r="H2606" s="26"/>
      <c r="I2606" s="25"/>
      <c r="J2606" s="25"/>
      <c r="K2606" s="25"/>
      <c r="L2606" s="25"/>
      <c r="M2606" s="25"/>
      <c r="N2606" s="25"/>
      <c r="O2606" s="25"/>
      <c r="P2606" s="25"/>
    </row>
    <row r="2607" spans="1:16" x14ac:dyDescent="0.3">
      <c r="A2607" s="25"/>
      <c r="B2607" s="25"/>
      <c r="C2607" s="25"/>
      <c r="D2607" s="26"/>
      <c r="E2607" s="26"/>
      <c r="F2607" s="26"/>
      <c r="G2607" s="26"/>
      <c r="H2607" s="26"/>
      <c r="I2607" s="25"/>
      <c r="J2607" s="25"/>
      <c r="K2607" s="25"/>
      <c r="L2607" s="25"/>
      <c r="M2607" s="25"/>
      <c r="N2607" s="25"/>
      <c r="O2607" s="25"/>
      <c r="P2607" s="25"/>
    </row>
    <row r="2608" spans="1:16" x14ac:dyDescent="0.3">
      <c r="A2608" s="25"/>
      <c r="B2608" s="25"/>
      <c r="C2608" s="25"/>
      <c r="D2608" s="26"/>
      <c r="E2608" s="26"/>
      <c r="F2608" s="26"/>
      <c r="G2608" s="26"/>
      <c r="H2608" s="26"/>
      <c r="I2608" s="25"/>
      <c r="J2608" s="25"/>
      <c r="K2608" s="25"/>
      <c r="L2608" s="25"/>
      <c r="M2608" s="25"/>
      <c r="N2608" s="25"/>
      <c r="O2608" s="25"/>
      <c r="P2608" s="25"/>
    </row>
    <row r="2609" spans="1:16" x14ac:dyDescent="0.3">
      <c r="A2609" s="25"/>
      <c r="B2609" s="25"/>
      <c r="C2609" s="25"/>
      <c r="D2609" s="26"/>
      <c r="E2609" s="26"/>
      <c r="F2609" s="26"/>
      <c r="G2609" s="26"/>
      <c r="H2609" s="26"/>
      <c r="I2609" s="25"/>
      <c r="J2609" s="25"/>
      <c r="K2609" s="25"/>
      <c r="L2609" s="25"/>
      <c r="M2609" s="25"/>
      <c r="N2609" s="25"/>
      <c r="O2609" s="25"/>
      <c r="P2609" s="25"/>
    </row>
    <row r="2610" spans="1:16" x14ac:dyDescent="0.3">
      <c r="A2610" s="25"/>
      <c r="B2610" s="25"/>
      <c r="C2610" s="25"/>
      <c r="D2610" s="26"/>
      <c r="E2610" s="26"/>
      <c r="F2610" s="26"/>
      <c r="G2610" s="26"/>
      <c r="H2610" s="26"/>
      <c r="I2610" s="25"/>
      <c r="J2610" s="25"/>
      <c r="K2610" s="25"/>
      <c r="L2610" s="25"/>
      <c r="M2610" s="25"/>
      <c r="N2610" s="25"/>
      <c r="O2610" s="25"/>
      <c r="P2610" s="25"/>
    </row>
    <row r="2611" spans="1:16" x14ac:dyDescent="0.3">
      <c r="A2611" s="25"/>
      <c r="B2611" s="25"/>
      <c r="C2611" s="25"/>
      <c r="D2611" s="26"/>
      <c r="E2611" s="26"/>
      <c r="F2611" s="26"/>
      <c r="G2611" s="26"/>
      <c r="H2611" s="26"/>
      <c r="I2611" s="25"/>
      <c r="J2611" s="25"/>
      <c r="K2611" s="25"/>
      <c r="L2611" s="25"/>
      <c r="M2611" s="25"/>
      <c r="N2611" s="25"/>
      <c r="O2611" s="25"/>
      <c r="P2611" s="25"/>
    </row>
    <row r="2612" spans="1:16" x14ac:dyDescent="0.3">
      <c r="A2612" s="25"/>
      <c r="B2612" s="25"/>
      <c r="C2612" s="25"/>
      <c r="D2612" s="26"/>
      <c r="E2612" s="26"/>
      <c r="F2612" s="26"/>
      <c r="G2612" s="26"/>
      <c r="H2612" s="26"/>
      <c r="I2612" s="25"/>
      <c r="J2612" s="25"/>
      <c r="K2612" s="25"/>
      <c r="L2612" s="25"/>
      <c r="M2612" s="25"/>
      <c r="N2612" s="25"/>
      <c r="O2612" s="25"/>
      <c r="P2612" s="25"/>
    </row>
    <row r="2613" spans="1:16" x14ac:dyDescent="0.3">
      <c r="A2613" s="25"/>
      <c r="B2613" s="25"/>
      <c r="C2613" s="25"/>
      <c r="D2613" s="26"/>
      <c r="E2613" s="26"/>
      <c r="F2613" s="26"/>
      <c r="G2613" s="26"/>
      <c r="H2613" s="26"/>
      <c r="I2613" s="25"/>
      <c r="J2613" s="25"/>
      <c r="K2613" s="25"/>
      <c r="L2613" s="25"/>
      <c r="M2613" s="25"/>
      <c r="N2613" s="25"/>
      <c r="O2613" s="25"/>
      <c r="P2613" s="25"/>
    </row>
    <row r="2614" spans="1:16" x14ac:dyDescent="0.3">
      <c r="A2614" s="25"/>
      <c r="B2614" s="25"/>
      <c r="C2614" s="25"/>
      <c r="D2614" s="26"/>
      <c r="E2614" s="26"/>
      <c r="F2614" s="26"/>
      <c r="G2614" s="26"/>
      <c r="H2614" s="26"/>
      <c r="I2614" s="25"/>
      <c r="J2614" s="25"/>
      <c r="K2614" s="25"/>
      <c r="L2614" s="25"/>
      <c r="M2614" s="25"/>
      <c r="N2614" s="25"/>
      <c r="O2614" s="25"/>
      <c r="P2614" s="25"/>
    </row>
    <row r="2615" spans="1:16" x14ac:dyDescent="0.3">
      <c r="A2615" s="25"/>
      <c r="B2615" s="25"/>
      <c r="C2615" s="25"/>
      <c r="D2615" s="26"/>
      <c r="E2615" s="26"/>
      <c r="F2615" s="26"/>
      <c r="G2615" s="26"/>
      <c r="H2615" s="26"/>
      <c r="I2615" s="25"/>
      <c r="J2615" s="25"/>
      <c r="K2615" s="25"/>
      <c r="L2615" s="25"/>
      <c r="M2615" s="25"/>
      <c r="N2615" s="25"/>
      <c r="O2615" s="25"/>
      <c r="P2615" s="25"/>
    </row>
    <row r="2616" spans="1:16" x14ac:dyDescent="0.3">
      <c r="A2616" s="25"/>
      <c r="B2616" s="25"/>
      <c r="C2616" s="25"/>
      <c r="D2616" s="26"/>
      <c r="E2616" s="26"/>
      <c r="F2616" s="26"/>
      <c r="G2616" s="26"/>
      <c r="H2616" s="26"/>
      <c r="I2616" s="25"/>
      <c r="J2616" s="25"/>
      <c r="K2616" s="25"/>
      <c r="L2616" s="25"/>
      <c r="M2616" s="25"/>
      <c r="N2616" s="25"/>
      <c r="O2616" s="25"/>
      <c r="P2616" s="25"/>
    </row>
    <row r="2617" spans="1:16" x14ac:dyDescent="0.3">
      <c r="A2617" s="25"/>
      <c r="B2617" s="25"/>
      <c r="C2617" s="25"/>
      <c r="D2617" s="26"/>
      <c r="E2617" s="26"/>
      <c r="F2617" s="26"/>
      <c r="G2617" s="26"/>
      <c r="H2617" s="26"/>
      <c r="I2617" s="25"/>
      <c r="J2617" s="25"/>
      <c r="K2617" s="25"/>
      <c r="L2617" s="25"/>
      <c r="M2617" s="25"/>
      <c r="N2617" s="25"/>
      <c r="O2617" s="25"/>
      <c r="P2617" s="25"/>
    </row>
    <row r="2618" spans="1:16" x14ac:dyDescent="0.3">
      <c r="A2618" s="25"/>
      <c r="B2618" s="25"/>
      <c r="C2618" s="25"/>
      <c r="D2618" s="26"/>
      <c r="E2618" s="26"/>
      <c r="F2618" s="26"/>
      <c r="G2618" s="26"/>
      <c r="H2618" s="26"/>
      <c r="I2618" s="25"/>
      <c r="J2618" s="25"/>
      <c r="K2618" s="25"/>
      <c r="L2618" s="25"/>
      <c r="M2618" s="25"/>
      <c r="N2618" s="25"/>
      <c r="O2618" s="25"/>
      <c r="P2618" s="25"/>
    </row>
    <row r="2619" spans="1:16" x14ac:dyDescent="0.3">
      <c r="A2619" s="25"/>
      <c r="B2619" s="25"/>
      <c r="C2619" s="25"/>
      <c r="D2619" s="26"/>
      <c r="E2619" s="26"/>
      <c r="F2619" s="26"/>
      <c r="G2619" s="26"/>
      <c r="H2619" s="26"/>
      <c r="I2619" s="25"/>
      <c r="J2619" s="25"/>
      <c r="K2619" s="25"/>
      <c r="L2619" s="25"/>
      <c r="M2619" s="25"/>
      <c r="N2619" s="25"/>
      <c r="O2619" s="25"/>
      <c r="P2619" s="25"/>
    </row>
    <row r="2620" spans="1:16" x14ac:dyDescent="0.3">
      <c r="A2620" s="25"/>
      <c r="B2620" s="25"/>
      <c r="C2620" s="25"/>
      <c r="D2620" s="26"/>
      <c r="E2620" s="26"/>
      <c r="F2620" s="26"/>
      <c r="G2620" s="26"/>
      <c r="H2620" s="26"/>
      <c r="I2620" s="25"/>
      <c r="J2620" s="25"/>
      <c r="K2620" s="25"/>
      <c r="L2620" s="25"/>
      <c r="M2620" s="25"/>
      <c r="N2620" s="25"/>
      <c r="O2620" s="25"/>
      <c r="P2620" s="25"/>
    </row>
    <row r="2621" spans="1:16" x14ac:dyDescent="0.3">
      <c r="A2621" s="25"/>
      <c r="B2621" s="25"/>
      <c r="C2621" s="25"/>
      <c r="D2621" s="26"/>
      <c r="E2621" s="26"/>
      <c r="F2621" s="26"/>
      <c r="G2621" s="26"/>
      <c r="H2621" s="26"/>
      <c r="I2621" s="25"/>
      <c r="J2621" s="25"/>
      <c r="K2621" s="25"/>
      <c r="L2621" s="25"/>
      <c r="M2621" s="25"/>
      <c r="N2621" s="25"/>
      <c r="O2621" s="25"/>
      <c r="P2621" s="25"/>
    </row>
    <row r="2622" spans="1:16" x14ac:dyDescent="0.3">
      <c r="A2622" s="25"/>
      <c r="B2622" s="25"/>
      <c r="C2622" s="25"/>
      <c r="D2622" s="26"/>
      <c r="E2622" s="26"/>
      <c r="F2622" s="26"/>
      <c r="G2622" s="26"/>
      <c r="H2622" s="26"/>
      <c r="I2622" s="25"/>
      <c r="J2622" s="25"/>
      <c r="K2622" s="25"/>
      <c r="L2622" s="25"/>
      <c r="M2622" s="25"/>
      <c r="N2622" s="25"/>
      <c r="O2622" s="25"/>
      <c r="P2622" s="25"/>
    </row>
    <row r="2623" spans="1:16" x14ac:dyDescent="0.3">
      <c r="A2623" s="25"/>
      <c r="B2623" s="25"/>
      <c r="C2623" s="25"/>
      <c r="D2623" s="26"/>
      <c r="E2623" s="26"/>
      <c r="F2623" s="26"/>
      <c r="G2623" s="26"/>
      <c r="H2623" s="26"/>
      <c r="I2623" s="25"/>
      <c r="J2623" s="25"/>
      <c r="K2623" s="25"/>
      <c r="L2623" s="25"/>
      <c r="M2623" s="25"/>
      <c r="N2623" s="25"/>
      <c r="O2623" s="25"/>
      <c r="P2623" s="25"/>
    </row>
    <row r="2624" spans="1:16" x14ac:dyDescent="0.3">
      <c r="A2624" s="25"/>
      <c r="B2624" s="25"/>
      <c r="C2624" s="25"/>
      <c r="D2624" s="26"/>
      <c r="E2624" s="26"/>
      <c r="F2624" s="26"/>
      <c r="G2624" s="26"/>
      <c r="H2624" s="26"/>
      <c r="I2624" s="25"/>
      <c r="J2624" s="25"/>
      <c r="K2624" s="25"/>
      <c r="L2624" s="25"/>
      <c r="M2624" s="25"/>
      <c r="N2624" s="25"/>
      <c r="O2624" s="25"/>
      <c r="P2624" s="25"/>
    </row>
    <row r="2625" spans="1:16" x14ac:dyDescent="0.3">
      <c r="A2625" s="25"/>
      <c r="B2625" s="25"/>
      <c r="C2625" s="25"/>
      <c r="D2625" s="26"/>
      <c r="E2625" s="26"/>
      <c r="F2625" s="26"/>
      <c r="G2625" s="26"/>
      <c r="H2625" s="26"/>
      <c r="I2625" s="25"/>
      <c r="J2625" s="25"/>
      <c r="K2625" s="25"/>
      <c r="L2625" s="25"/>
      <c r="M2625" s="25"/>
      <c r="N2625" s="25"/>
      <c r="O2625" s="25"/>
      <c r="P2625" s="25"/>
    </row>
    <row r="2626" spans="1:16" x14ac:dyDescent="0.3">
      <c r="A2626" s="25"/>
      <c r="B2626" s="25"/>
      <c r="C2626" s="25"/>
      <c r="D2626" s="26"/>
      <c r="E2626" s="26"/>
      <c r="F2626" s="26"/>
      <c r="G2626" s="26"/>
      <c r="H2626" s="26"/>
      <c r="I2626" s="25"/>
      <c r="J2626" s="25"/>
      <c r="K2626" s="25"/>
      <c r="L2626" s="25"/>
      <c r="M2626" s="25"/>
      <c r="N2626" s="25"/>
      <c r="O2626" s="25"/>
      <c r="P2626" s="25"/>
    </row>
    <row r="2627" spans="1:16" x14ac:dyDescent="0.3">
      <c r="A2627" s="25"/>
      <c r="B2627" s="25"/>
      <c r="C2627" s="25"/>
      <c r="D2627" s="26"/>
      <c r="E2627" s="26"/>
      <c r="F2627" s="26"/>
      <c r="G2627" s="26"/>
      <c r="H2627" s="26"/>
      <c r="I2627" s="25"/>
      <c r="J2627" s="25"/>
      <c r="K2627" s="25"/>
      <c r="L2627" s="25"/>
      <c r="M2627" s="25"/>
      <c r="N2627" s="25"/>
      <c r="O2627" s="25"/>
      <c r="P2627" s="25"/>
    </row>
    <row r="2628" spans="1:16" x14ac:dyDescent="0.3">
      <c r="A2628" s="25"/>
      <c r="B2628" s="25"/>
      <c r="C2628" s="25"/>
      <c r="D2628" s="26"/>
      <c r="E2628" s="26"/>
      <c r="F2628" s="26"/>
      <c r="G2628" s="26"/>
      <c r="H2628" s="26"/>
      <c r="I2628" s="25"/>
      <c r="J2628" s="25"/>
      <c r="K2628" s="25"/>
      <c r="L2628" s="25"/>
      <c r="M2628" s="25"/>
      <c r="N2628" s="25"/>
      <c r="O2628" s="25"/>
      <c r="P2628" s="25"/>
    </row>
    <row r="2629" spans="1:16" x14ac:dyDescent="0.3">
      <c r="A2629" s="25"/>
      <c r="B2629" s="25"/>
      <c r="C2629" s="25"/>
      <c r="D2629" s="26"/>
      <c r="E2629" s="26"/>
      <c r="F2629" s="26"/>
      <c r="G2629" s="26"/>
      <c r="H2629" s="26"/>
      <c r="I2629" s="25"/>
      <c r="J2629" s="25"/>
      <c r="K2629" s="25"/>
      <c r="L2629" s="25"/>
      <c r="M2629" s="25"/>
      <c r="N2629" s="25"/>
      <c r="O2629" s="25"/>
      <c r="P2629" s="25"/>
    </row>
    <row r="2630" spans="1:16" x14ac:dyDescent="0.3">
      <c r="A2630" s="25"/>
      <c r="B2630" s="25"/>
      <c r="C2630" s="25"/>
      <c r="D2630" s="26"/>
      <c r="E2630" s="26"/>
      <c r="F2630" s="26"/>
      <c r="G2630" s="26"/>
      <c r="H2630" s="26"/>
      <c r="I2630" s="25"/>
      <c r="J2630" s="25"/>
      <c r="K2630" s="25"/>
      <c r="L2630" s="25"/>
      <c r="M2630" s="25"/>
      <c r="N2630" s="25"/>
      <c r="O2630" s="25"/>
      <c r="P2630" s="25"/>
    </row>
    <row r="2631" spans="1:16" x14ac:dyDescent="0.3">
      <c r="A2631" s="25"/>
      <c r="B2631" s="25"/>
      <c r="C2631" s="25"/>
      <c r="D2631" s="26"/>
      <c r="E2631" s="26"/>
      <c r="F2631" s="26"/>
      <c r="G2631" s="26"/>
      <c r="H2631" s="26"/>
      <c r="I2631" s="25"/>
      <c r="J2631" s="25"/>
      <c r="K2631" s="25"/>
      <c r="L2631" s="25"/>
      <c r="M2631" s="25"/>
      <c r="N2631" s="25"/>
      <c r="O2631" s="25"/>
      <c r="P2631" s="25"/>
    </row>
    <row r="2632" spans="1:16" x14ac:dyDescent="0.3">
      <c r="A2632" s="25"/>
      <c r="B2632" s="25"/>
      <c r="C2632" s="25"/>
      <c r="D2632" s="26"/>
      <c r="E2632" s="26"/>
      <c r="F2632" s="26"/>
      <c r="G2632" s="26"/>
      <c r="H2632" s="26"/>
      <c r="I2632" s="25"/>
      <c r="J2632" s="25"/>
      <c r="K2632" s="25"/>
      <c r="L2632" s="25"/>
      <c r="M2632" s="25"/>
      <c r="N2632" s="25"/>
      <c r="O2632" s="25"/>
      <c r="P2632" s="25"/>
    </row>
    <row r="2633" spans="1:16" x14ac:dyDescent="0.3">
      <c r="A2633" s="25"/>
      <c r="B2633" s="25"/>
      <c r="C2633" s="25"/>
      <c r="D2633" s="26"/>
      <c r="E2633" s="26"/>
      <c r="F2633" s="26"/>
      <c r="G2633" s="26"/>
      <c r="H2633" s="26"/>
      <c r="I2633" s="25"/>
      <c r="J2633" s="25"/>
      <c r="K2633" s="25"/>
      <c r="L2633" s="25"/>
      <c r="M2633" s="25"/>
      <c r="N2633" s="25"/>
      <c r="O2633" s="25"/>
      <c r="P2633" s="25"/>
    </row>
    <row r="2634" spans="1:16" x14ac:dyDescent="0.3">
      <c r="A2634" s="25"/>
      <c r="B2634" s="25"/>
      <c r="C2634" s="25"/>
      <c r="D2634" s="26"/>
      <c r="E2634" s="26"/>
      <c r="F2634" s="26"/>
      <c r="G2634" s="26"/>
      <c r="H2634" s="26"/>
      <c r="I2634" s="25"/>
      <c r="J2634" s="25"/>
      <c r="K2634" s="25"/>
      <c r="L2634" s="25"/>
      <c r="M2634" s="25"/>
      <c r="N2634" s="25"/>
      <c r="O2634" s="25"/>
      <c r="P2634" s="25"/>
    </row>
    <row r="2635" spans="1:16" x14ac:dyDescent="0.3">
      <c r="A2635" s="25"/>
      <c r="B2635" s="25"/>
      <c r="C2635" s="25"/>
      <c r="D2635" s="26"/>
      <c r="E2635" s="26"/>
      <c r="F2635" s="26"/>
      <c r="G2635" s="26"/>
      <c r="H2635" s="26"/>
      <c r="I2635" s="25"/>
      <c r="J2635" s="25"/>
      <c r="K2635" s="25"/>
      <c r="L2635" s="25"/>
      <c r="M2635" s="25"/>
      <c r="N2635" s="25"/>
      <c r="O2635" s="25"/>
      <c r="P2635" s="25"/>
    </row>
    <row r="2636" spans="1:16" x14ac:dyDescent="0.3">
      <c r="A2636" s="25"/>
      <c r="B2636" s="25"/>
      <c r="C2636" s="25"/>
      <c r="D2636" s="26"/>
      <c r="E2636" s="26"/>
      <c r="F2636" s="26"/>
      <c r="G2636" s="26"/>
      <c r="H2636" s="26"/>
      <c r="I2636" s="25"/>
      <c r="J2636" s="25"/>
      <c r="K2636" s="25"/>
      <c r="L2636" s="25"/>
      <c r="M2636" s="25"/>
      <c r="N2636" s="25"/>
      <c r="O2636" s="25"/>
      <c r="P2636" s="25"/>
    </row>
    <row r="2637" spans="1:16" x14ac:dyDescent="0.3">
      <c r="A2637" s="25"/>
      <c r="B2637" s="25"/>
      <c r="C2637" s="25"/>
      <c r="D2637" s="26"/>
      <c r="E2637" s="26"/>
      <c r="F2637" s="26"/>
      <c r="G2637" s="26"/>
      <c r="H2637" s="26"/>
      <c r="I2637" s="25"/>
      <c r="J2637" s="25"/>
      <c r="K2637" s="25"/>
      <c r="L2637" s="25"/>
      <c r="M2637" s="25"/>
      <c r="N2637" s="25"/>
      <c r="O2637" s="25"/>
      <c r="P2637" s="25"/>
    </row>
    <row r="2638" spans="1:16" x14ac:dyDescent="0.3">
      <c r="A2638" s="25"/>
      <c r="B2638" s="25"/>
      <c r="C2638" s="25"/>
      <c r="D2638" s="26"/>
      <c r="E2638" s="26"/>
      <c r="F2638" s="26"/>
      <c r="G2638" s="26"/>
      <c r="H2638" s="26"/>
      <c r="I2638" s="25"/>
      <c r="J2638" s="25"/>
      <c r="K2638" s="25"/>
      <c r="L2638" s="25"/>
      <c r="M2638" s="25"/>
      <c r="N2638" s="25"/>
      <c r="O2638" s="25"/>
      <c r="P2638" s="25"/>
    </row>
    <row r="2639" spans="1:16" x14ac:dyDescent="0.3">
      <c r="A2639" s="25"/>
      <c r="B2639" s="25"/>
      <c r="C2639" s="25"/>
      <c r="D2639" s="26"/>
      <c r="E2639" s="26"/>
      <c r="F2639" s="26"/>
      <c r="G2639" s="26"/>
      <c r="H2639" s="26"/>
      <c r="I2639" s="25"/>
      <c r="J2639" s="25"/>
      <c r="K2639" s="25"/>
      <c r="L2639" s="25"/>
      <c r="M2639" s="25"/>
      <c r="N2639" s="25"/>
      <c r="O2639" s="25"/>
      <c r="P2639" s="25"/>
    </row>
    <row r="2640" spans="1:16" x14ac:dyDescent="0.3">
      <c r="A2640" s="25"/>
      <c r="B2640" s="25"/>
      <c r="C2640" s="25"/>
      <c r="D2640" s="26"/>
      <c r="E2640" s="26"/>
      <c r="F2640" s="26"/>
      <c r="G2640" s="26"/>
      <c r="H2640" s="26"/>
      <c r="I2640" s="25"/>
      <c r="J2640" s="25"/>
      <c r="K2640" s="25"/>
      <c r="L2640" s="25"/>
      <c r="M2640" s="25"/>
      <c r="N2640" s="25"/>
      <c r="O2640" s="25"/>
      <c r="P2640" s="25"/>
    </row>
    <row r="2641" spans="1:16" x14ac:dyDescent="0.3">
      <c r="A2641" s="25"/>
      <c r="B2641" s="25"/>
      <c r="C2641" s="25"/>
      <c r="D2641" s="26"/>
      <c r="E2641" s="26"/>
      <c r="F2641" s="26"/>
      <c r="G2641" s="26"/>
      <c r="H2641" s="26"/>
      <c r="I2641" s="25"/>
      <c r="J2641" s="25"/>
      <c r="K2641" s="25"/>
      <c r="L2641" s="25"/>
      <c r="M2641" s="25"/>
      <c r="N2641" s="25"/>
      <c r="O2641" s="25"/>
      <c r="P2641" s="25"/>
    </row>
    <row r="2642" spans="1:16" x14ac:dyDescent="0.3">
      <c r="A2642" s="25"/>
      <c r="B2642" s="25"/>
      <c r="C2642" s="25"/>
      <c r="D2642" s="26"/>
      <c r="E2642" s="26"/>
      <c r="F2642" s="26"/>
      <c r="G2642" s="26"/>
      <c r="H2642" s="26"/>
      <c r="I2642" s="25"/>
      <c r="J2642" s="25"/>
      <c r="K2642" s="25"/>
      <c r="L2642" s="25"/>
      <c r="M2642" s="25"/>
      <c r="N2642" s="25"/>
      <c r="O2642" s="25"/>
      <c r="P2642" s="25"/>
    </row>
    <row r="2643" spans="1:16" x14ac:dyDescent="0.3">
      <c r="A2643" s="25"/>
      <c r="B2643" s="25"/>
      <c r="C2643" s="25"/>
      <c r="D2643" s="26"/>
      <c r="E2643" s="26"/>
      <c r="F2643" s="26"/>
      <c r="G2643" s="26"/>
      <c r="H2643" s="26"/>
      <c r="I2643" s="25"/>
      <c r="J2643" s="25"/>
      <c r="K2643" s="25"/>
      <c r="L2643" s="25"/>
      <c r="M2643" s="25"/>
      <c r="N2643" s="25"/>
      <c r="O2643" s="25"/>
      <c r="P2643" s="25"/>
    </row>
    <row r="2644" spans="1:16" x14ac:dyDescent="0.3">
      <c r="A2644" s="25"/>
      <c r="B2644" s="25"/>
      <c r="C2644" s="25"/>
      <c r="D2644" s="26"/>
      <c r="E2644" s="26"/>
      <c r="F2644" s="26"/>
      <c r="G2644" s="26"/>
      <c r="H2644" s="26"/>
      <c r="I2644" s="25"/>
      <c r="J2644" s="25"/>
      <c r="K2644" s="25"/>
      <c r="L2644" s="25"/>
      <c r="M2644" s="25"/>
      <c r="N2644" s="25"/>
      <c r="O2644" s="25"/>
      <c r="P2644" s="25"/>
    </row>
    <row r="2645" spans="1:16" x14ac:dyDescent="0.3">
      <c r="A2645" s="25"/>
      <c r="B2645" s="25"/>
      <c r="C2645" s="25"/>
      <c r="D2645" s="26"/>
      <c r="E2645" s="26"/>
      <c r="F2645" s="26"/>
      <c r="G2645" s="26"/>
      <c r="H2645" s="26"/>
      <c r="I2645" s="25"/>
      <c r="J2645" s="25"/>
      <c r="K2645" s="25"/>
      <c r="L2645" s="25"/>
      <c r="M2645" s="25"/>
      <c r="N2645" s="25"/>
      <c r="O2645" s="25"/>
      <c r="P2645" s="25"/>
    </row>
    <row r="2646" spans="1:16" x14ac:dyDescent="0.3">
      <c r="A2646" s="25"/>
      <c r="B2646" s="25"/>
      <c r="C2646" s="25"/>
      <c r="D2646" s="26"/>
      <c r="E2646" s="26"/>
      <c r="F2646" s="26"/>
      <c r="G2646" s="26"/>
      <c r="H2646" s="26"/>
      <c r="I2646" s="25"/>
      <c r="J2646" s="25"/>
      <c r="K2646" s="25"/>
      <c r="L2646" s="25"/>
      <c r="M2646" s="25"/>
      <c r="N2646" s="25"/>
      <c r="O2646" s="25"/>
      <c r="P2646" s="25"/>
    </row>
    <row r="2647" spans="1:16" x14ac:dyDescent="0.3">
      <c r="A2647" s="25"/>
      <c r="B2647" s="25"/>
      <c r="C2647" s="25"/>
      <c r="D2647" s="26"/>
      <c r="E2647" s="26"/>
      <c r="F2647" s="26"/>
      <c r="G2647" s="26"/>
      <c r="H2647" s="26"/>
      <c r="I2647" s="25"/>
      <c r="J2647" s="25"/>
      <c r="K2647" s="25"/>
      <c r="L2647" s="25"/>
      <c r="M2647" s="25"/>
      <c r="N2647" s="25"/>
      <c r="O2647" s="25"/>
      <c r="P2647" s="25"/>
    </row>
    <row r="2648" spans="1:16" x14ac:dyDescent="0.3">
      <c r="A2648" s="25"/>
      <c r="B2648" s="25"/>
      <c r="C2648" s="25"/>
      <c r="D2648" s="26"/>
      <c r="E2648" s="26"/>
      <c r="F2648" s="26"/>
      <c r="G2648" s="26"/>
      <c r="H2648" s="26"/>
      <c r="I2648" s="25"/>
      <c r="J2648" s="25"/>
      <c r="K2648" s="25"/>
      <c r="L2648" s="25"/>
      <c r="M2648" s="25"/>
      <c r="N2648" s="25"/>
      <c r="O2648" s="25"/>
      <c r="P2648" s="25"/>
    </row>
    <row r="2649" spans="1:16" x14ac:dyDescent="0.3">
      <c r="A2649" s="25"/>
      <c r="B2649" s="25"/>
      <c r="C2649" s="25"/>
      <c r="D2649" s="26"/>
      <c r="E2649" s="26"/>
      <c r="F2649" s="26"/>
      <c r="G2649" s="26"/>
      <c r="H2649" s="26"/>
      <c r="I2649" s="25"/>
      <c r="J2649" s="25"/>
      <c r="K2649" s="25"/>
      <c r="L2649" s="25"/>
      <c r="M2649" s="25"/>
      <c r="N2649" s="25"/>
      <c r="O2649" s="25"/>
      <c r="P2649" s="25"/>
    </row>
    <row r="2650" spans="1:16" x14ac:dyDescent="0.3">
      <c r="A2650" s="25"/>
      <c r="B2650" s="25"/>
      <c r="C2650" s="25"/>
      <c r="D2650" s="26"/>
      <c r="E2650" s="26"/>
      <c r="F2650" s="26"/>
      <c r="G2650" s="26"/>
      <c r="H2650" s="26"/>
      <c r="I2650" s="25"/>
      <c r="J2650" s="25"/>
      <c r="K2650" s="25"/>
      <c r="L2650" s="25"/>
      <c r="M2650" s="25"/>
      <c r="N2650" s="25"/>
      <c r="O2650" s="25"/>
      <c r="P2650" s="25"/>
    </row>
    <row r="2651" spans="1:16" x14ac:dyDescent="0.3">
      <c r="A2651" s="25"/>
      <c r="B2651" s="25"/>
      <c r="C2651" s="25"/>
      <c r="D2651" s="26"/>
      <c r="E2651" s="26"/>
      <c r="F2651" s="26"/>
      <c r="G2651" s="26"/>
      <c r="H2651" s="26"/>
      <c r="I2651" s="25"/>
      <c r="J2651" s="25"/>
      <c r="K2651" s="25"/>
      <c r="L2651" s="25"/>
      <c r="M2651" s="25"/>
      <c r="N2651" s="25"/>
      <c r="O2651" s="25"/>
      <c r="P2651" s="25"/>
    </row>
    <row r="2652" spans="1:16" x14ac:dyDescent="0.3">
      <c r="A2652" s="25"/>
      <c r="B2652" s="25"/>
      <c r="C2652" s="25"/>
      <c r="D2652" s="26"/>
      <c r="E2652" s="26"/>
      <c r="F2652" s="26"/>
      <c r="G2652" s="26"/>
      <c r="H2652" s="26"/>
      <c r="I2652" s="25"/>
      <c r="J2652" s="25"/>
      <c r="K2652" s="25"/>
      <c r="L2652" s="25"/>
      <c r="M2652" s="25"/>
      <c r="N2652" s="25"/>
      <c r="O2652" s="25"/>
      <c r="P2652" s="25"/>
    </row>
    <row r="2653" spans="1:16" x14ac:dyDescent="0.3">
      <c r="A2653" s="25"/>
      <c r="B2653" s="25"/>
      <c r="C2653" s="25"/>
      <c r="D2653" s="26"/>
      <c r="E2653" s="26"/>
      <c r="F2653" s="26"/>
      <c r="G2653" s="26"/>
      <c r="H2653" s="26"/>
      <c r="I2653" s="25"/>
      <c r="J2653" s="25"/>
      <c r="K2653" s="25"/>
      <c r="L2653" s="25"/>
      <c r="M2653" s="25"/>
      <c r="N2653" s="25"/>
      <c r="O2653" s="25"/>
      <c r="P2653" s="25"/>
    </row>
    <row r="2654" spans="1:16" x14ac:dyDescent="0.3">
      <c r="A2654" s="25"/>
      <c r="B2654" s="25"/>
      <c r="C2654" s="25"/>
      <c r="D2654" s="26"/>
      <c r="E2654" s="26"/>
      <c r="F2654" s="26"/>
      <c r="G2654" s="26"/>
      <c r="H2654" s="26"/>
      <c r="I2654" s="25"/>
      <c r="J2654" s="25"/>
      <c r="K2654" s="25"/>
      <c r="L2654" s="25"/>
      <c r="M2654" s="25"/>
      <c r="N2654" s="25"/>
      <c r="O2654" s="25"/>
      <c r="P2654" s="25"/>
    </row>
    <row r="2655" spans="1:16" x14ac:dyDescent="0.3">
      <c r="A2655" s="25"/>
      <c r="B2655" s="25"/>
      <c r="C2655" s="25"/>
      <c r="D2655" s="26"/>
      <c r="E2655" s="26"/>
      <c r="F2655" s="26"/>
      <c r="G2655" s="26"/>
      <c r="H2655" s="26"/>
      <c r="I2655" s="25"/>
      <c r="J2655" s="25"/>
      <c r="K2655" s="25"/>
      <c r="L2655" s="25"/>
      <c r="M2655" s="25"/>
      <c r="N2655" s="25"/>
      <c r="O2655" s="25"/>
      <c r="P2655" s="25"/>
    </row>
    <row r="2656" spans="1:16" x14ac:dyDescent="0.3">
      <c r="A2656" s="25"/>
      <c r="B2656" s="25"/>
      <c r="C2656" s="25"/>
      <c r="D2656" s="26"/>
      <c r="E2656" s="26"/>
      <c r="F2656" s="26"/>
      <c r="G2656" s="26"/>
      <c r="H2656" s="26"/>
      <c r="I2656" s="25"/>
      <c r="J2656" s="25"/>
      <c r="K2656" s="25"/>
      <c r="L2656" s="25"/>
      <c r="M2656" s="25"/>
      <c r="N2656" s="25"/>
      <c r="O2656" s="25"/>
      <c r="P2656" s="25"/>
    </row>
    <row r="2657" spans="1:16" x14ac:dyDescent="0.3">
      <c r="A2657" s="25"/>
      <c r="B2657" s="25"/>
      <c r="C2657" s="25"/>
      <c r="D2657" s="26"/>
      <c r="E2657" s="26"/>
      <c r="F2657" s="26"/>
      <c r="G2657" s="26"/>
      <c r="H2657" s="26"/>
      <c r="I2657" s="25"/>
      <c r="J2657" s="25"/>
      <c r="K2657" s="25"/>
      <c r="L2657" s="25"/>
      <c r="M2657" s="25"/>
      <c r="N2657" s="25"/>
      <c r="O2657" s="25"/>
      <c r="P2657" s="25"/>
    </row>
    <row r="2658" spans="1:16" x14ac:dyDescent="0.3">
      <c r="A2658" s="25"/>
      <c r="B2658" s="25"/>
      <c r="C2658" s="25"/>
      <c r="D2658" s="26"/>
      <c r="E2658" s="26"/>
      <c r="F2658" s="26"/>
      <c r="G2658" s="26"/>
      <c r="H2658" s="26"/>
      <c r="I2658" s="25"/>
      <c r="J2658" s="25"/>
      <c r="K2658" s="25"/>
      <c r="L2658" s="25"/>
      <c r="M2658" s="25"/>
      <c r="N2658" s="25"/>
      <c r="O2658" s="25"/>
      <c r="P2658" s="25"/>
    </row>
    <row r="2659" spans="1:16" x14ac:dyDescent="0.3">
      <c r="A2659" s="25"/>
      <c r="B2659" s="25"/>
      <c r="C2659" s="25"/>
      <c r="D2659" s="26"/>
      <c r="E2659" s="26"/>
      <c r="F2659" s="26"/>
      <c r="G2659" s="26"/>
      <c r="H2659" s="26"/>
      <c r="I2659" s="25"/>
      <c r="J2659" s="25"/>
      <c r="K2659" s="25"/>
      <c r="L2659" s="25"/>
      <c r="M2659" s="25"/>
      <c r="N2659" s="25"/>
      <c r="O2659" s="25"/>
      <c r="P2659" s="25"/>
    </row>
    <row r="2660" spans="1:16" x14ac:dyDescent="0.3">
      <c r="A2660" s="25"/>
      <c r="B2660" s="25"/>
      <c r="C2660" s="25"/>
      <c r="D2660" s="26"/>
      <c r="E2660" s="26"/>
      <c r="F2660" s="26"/>
      <c r="G2660" s="26"/>
      <c r="H2660" s="26"/>
      <c r="I2660" s="25"/>
      <c r="J2660" s="25"/>
      <c r="K2660" s="25"/>
      <c r="L2660" s="25"/>
      <c r="M2660" s="25"/>
      <c r="N2660" s="25"/>
      <c r="O2660" s="25"/>
      <c r="P2660" s="25"/>
    </row>
    <row r="2661" spans="1:16" x14ac:dyDescent="0.3">
      <c r="A2661" s="25"/>
      <c r="B2661" s="25"/>
      <c r="C2661" s="25"/>
      <c r="D2661" s="26"/>
      <c r="E2661" s="26"/>
      <c r="F2661" s="26"/>
      <c r="G2661" s="26"/>
      <c r="H2661" s="26"/>
      <c r="I2661" s="25"/>
      <c r="J2661" s="25"/>
      <c r="K2661" s="25"/>
      <c r="L2661" s="25"/>
      <c r="M2661" s="25"/>
      <c r="N2661" s="25"/>
      <c r="O2661" s="25"/>
      <c r="P2661" s="25"/>
    </row>
    <row r="2662" spans="1:16" x14ac:dyDescent="0.3">
      <c r="A2662" s="25"/>
      <c r="B2662" s="25"/>
      <c r="C2662" s="25"/>
      <c r="D2662" s="26"/>
      <c r="E2662" s="26"/>
      <c r="F2662" s="26"/>
      <c r="G2662" s="26"/>
      <c r="H2662" s="26"/>
      <c r="I2662" s="25"/>
      <c r="J2662" s="25"/>
      <c r="K2662" s="25"/>
      <c r="L2662" s="25"/>
      <c r="M2662" s="25"/>
      <c r="N2662" s="25"/>
      <c r="O2662" s="25"/>
      <c r="P2662" s="25"/>
    </row>
    <row r="2663" spans="1:16" x14ac:dyDescent="0.3">
      <c r="A2663" s="25"/>
      <c r="B2663" s="25"/>
      <c r="C2663" s="25"/>
      <c r="D2663" s="26"/>
      <c r="E2663" s="26"/>
      <c r="F2663" s="26"/>
      <c r="G2663" s="26"/>
      <c r="H2663" s="26"/>
      <c r="I2663" s="25"/>
      <c r="J2663" s="25"/>
      <c r="K2663" s="25"/>
      <c r="L2663" s="25"/>
      <c r="M2663" s="25"/>
      <c r="N2663" s="25"/>
      <c r="O2663" s="25"/>
      <c r="P2663" s="25"/>
    </row>
    <row r="2664" spans="1:16" x14ac:dyDescent="0.3">
      <c r="A2664" s="25"/>
      <c r="B2664" s="25"/>
      <c r="C2664" s="25"/>
      <c r="D2664" s="26"/>
      <c r="E2664" s="26"/>
      <c r="F2664" s="26"/>
      <c r="G2664" s="26"/>
      <c r="H2664" s="26"/>
      <c r="I2664" s="25"/>
      <c r="J2664" s="25"/>
      <c r="K2664" s="25"/>
      <c r="L2664" s="25"/>
      <c r="M2664" s="25"/>
      <c r="N2664" s="25"/>
      <c r="O2664" s="25"/>
      <c r="P2664" s="25"/>
    </row>
    <row r="2665" spans="1:16" x14ac:dyDescent="0.3">
      <c r="A2665" s="25"/>
      <c r="B2665" s="25"/>
      <c r="C2665" s="25"/>
      <c r="D2665" s="26"/>
      <c r="E2665" s="26"/>
      <c r="F2665" s="26"/>
      <c r="G2665" s="26"/>
      <c r="H2665" s="26"/>
      <c r="I2665" s="25"/>
      <c r="J2665" s="25"/>
      <c r="K2665" s="25"/>
      <c r="L2665" s="25"/>
      <c r="M2665" s="25"/>
      <c r="N2665" s="25"/>
      <c r="O2665" s="25"/>
      <c r="P2665" s="25"/>
    </row>
    <row r="2666" spans="1:16" x14ac:dyDescent="0.3">
      <c r="A2666" s="25"/>
      <c r="B2666" s="25"/>
      <c r="C2666" s="25"/>
      <c r="D2666" s="26"/>
      <c r="E2666" s="26"/>
      <c r="F2666" s="26"/>
      <c r="G2666" s="26"/>
      <c r="H2666" s="26"/>
      <c r="I2666" s="25"/>
      <c r="J2666" s="25"/>
      <c r="K2666" s="25"/>
      <c r="L2666" s="25"/>
      <c r="M2666" s="25"/>
      <c r="N2666" s="25"/>
      <c r="O2666" s="25"/>
      <c r="P2666" s="25"/>
    </row>
    <row r="2667" spans="1:16" x14ac:dyDescent="0.3">
      <c r="A2667" s="25"/>
      <c r="B2667" s="25"/>
      <c r="C2667" s="25"/>
      <c r="D2667" s="26"/>
      <c r="E2667" s="26"/>
      <c r="F2667" s="26"/>
      <c r="G2667" s="26"/>
      <c r="H2667" s="26"/>
      <c r="I2667" s="25"/>
      <c r="J2667" s="25"/>
      <c r="K2667" s="25"/>
      <c r="L2667" s="25"/>
      <c r="M2667" s="25"/>
      <c r="N2667" s="25"/>
      <c r="O2667" s="25"/>
      <c r="P2667" s="25"/>
    </row>
    <row r="2668" spans="1:16" x14ac:dyDescent="0.3">
      <c r="A2668" s="25"/>
      <c r="B2668" s="25"/>
      <c r="C2668" s="25"/>
      <c r="D2668" s="26"/>
      <c r="E2668" s="26"/>
      <c r="F2668" s="26"/>
      <c r="G2668" s="26"/>
      <c r="H2668" s="26"/>
      <c r="I2668" s="25"/>
      <c r="J2668" s="25"/>
      <c r="K2668" s="25"/>
      <c r="L2668" s="25"/>
      <c r="M2668" s="25"/>
      <c r="N2668" s="25"/>
      <c r="O2668" s="25"/>
      <c r="P2668" s="25"/>
    </row>
    <row r="2669" spans="1:16" x14ac:dyDescent="0.3">
      <c r="A2669" s="25"/>
      <c r="B2669" s="25"/>
      <c r="C2669" s="25"/>
      <c r="D2669" s="26"/>
      <c r="E2669" s="26"/>
      <c r="F2669" s="26"/>
      <c r="G2669" s="26"/>
      <c r="H2669" s="26"/>
      <c r="I2669" s="25"/>
      <c r="J2669" s="25"/>
      <c r="K2669" s="25"/>
      <c r="L2669" s="25"/>
      <c r="M2669" s="25"/>
      <c r="N2669" s="25"/>
      <c r="O2669" s="25"/>
      <c r="P2669" s="25"/>
    </row>
    <row r="2670" spans="1:16" x14ac:dyDescent="0.3">
      <c r="A2670" s="25"/>
      <c r="B2670" s="25"/>
      <c r="C2670" s="25"/>
      <c r="D2670" s="26"/>
      <c r="E2670" s="26"/>
      <c r="F2670" s="26"/>
      <c r="G2670" s="26"/>
      <c r="H2670" s="26"/>
      <c r="I2670" s="25"/>
      <c r="J2670" s="25"/>
      <c r="K2670" s="25"/>
      <c r="L2670" s="25"/>
      <c r="M2670" s="25"/>
      <c r="N2670" s="25"/>
      <c r="O2670" s="25"/>
      <c r="P2670" s="25"/>
    </row>
    <row r="2671" spans="1:16" x14ac:dyDescent="0.3">
      <c r="A2671" s="25"/>
      <c r="B2671" s="25"/>
      <c r="C2671" s="25"/>
      <c r="D2671" s="26"/>
      <c r="E2671" s="26"/>
      <c r="F2671" s="26"/>
      <c r="G2671" s="26"/>
      <c r="H2671" s="26"/>
      <c r="I2671" s="25"/>
      <c r="J2671" s="25"/>
      <c r="K2671" s="25"/>
      <c r="L2671" s="25"/>
      <c r="M2671" s="25"/>
      <c r="N2671" s="25"/>
      <c r="O2671" s="25"/>
      <c r="P2671" s="25"/>
    </row>
    <row r="2672" spans="1:16" x14ac:dyDescent="0.3">
      <c r="A2672" s="25"/>
      <c r="B2672" s="25"/>
      <c r="C2672" s="25"/>
      <c r="D2672" s="26"/>
      <c r="E2672" s="26"/>
      <c r="F2672" s="26"/>
      <c r="G2672" s="26"/>
      <c r="H2672" s="26"/>
      <c r="I2672" s="25"/>
      <c r="J2672" s="25"/>
      <c r="K2672" s="25"/>
      <c r="L2672" s="25"/>
      <c r="M2672" s="25"/>
      <c r="N2672" s="25"/>
      <c r="O2672" s="25"/>
      <c r="P2672" s="25"/>
    </row>
    <row r="2673" spans="1:16" x14ac:dyDescent="0.3">
      <c r="A2673" s="25"/>
      <c r="B2673" s="25"/>
      <c r="C2673" s="25"/>
      <c r="D2673" s="26"/>
      <c r="E2673" s="26"/>
      <c r="F2673" s="26"/>
      <c r="G2673" s="26"/>
      <c r="H2673" s="26"/>
      <c r="I2673" s="25"/>
      <c r="J2673" s="25"/>
      <c r="K2673" s="25"/>
      <c r="L2673" s="25"/>
      <c r="M2673" s="25"/>
      <c r="N2673" s="25"/>
      <c r="O2673" s="25"/>
      <c r="P2673" s="25"/>
    </row>
    <row r="2674" spans="1:16" x14ac:dyDescent="0.3">
      <c r="A2674" s="25"/>
      <c r="B2674" s="25"/>
      <c r="C2674" s="25"/>
      <c r="D2674" s="26"/>
      <c r="E2674" s="26"/>
      <c r="F2674" s="26"/>
      <c r="G2674" s="26"/>
      <c r="H2674" s="26"/>
      <c r="I2674" s="25"/>
      <c r="J2674" s="25"/>
      <c r="K2674" s="25"/>
      <c r="L2674" s="25"/>
      <c r="M2674" s="25"/>
      <c r="N2674" s="25"/>
      <c r="O2674" s="25"/>
      <c r="P2674" s="25"/>
    </row>
    <row r="2675" spans="1:16" x14ac:dyDescent="0.3">
      <c r="A2675" s="25"/>
      <c r="B2675" s="25"/>
      <c r="C2675" s="25"/>
      <c r="D2675" s="26"/>
      <c r="E2675" s="26"/>
      <c r="F2675" s="26"/>
      <c r="G2675" s="26"/>
      <c r="H2675" s="26"/>
      <c r="I2675" s="25"/>
      <c r="J2675" s="25"/>
      <c r="K2675" s="25"/>
      <c r="L2675" s="25"/>
      <c r="M2675" s="25"/>
      <c r="N2675" s="25"/>
      <c r="O2675" s="25"/>
      <c r="P2675" s="25"/>
    </row>
    <row r="2676" spans="1:16" x14ac:dyDescent="0.3">
      <c r="A2676" s="25"/>
      <c r="B2676" s="25"/>
      <c r="C2676" s="25"/>
      <c r="D2676" s="26"/>
      <c r="E2676" s="26"/>
      <c r="F2676" s="26"/>
      <c r="G2676" s="26"/>
      <c r="H2676" s="26"/>
      <c r="I2676" s="25"/>
      <c r="J2676" s="25"/>
      <c r="K2676" s="25"/>
      <c r="L2676" s="25"/>
      <c r="M2676" s="25"/>
      <c r="N2676" s="25"/>
      <c r="O2676" s="25"/>
      <c r="P2676" s="25"/>
    </row>
    <row r="2677" spans="1:16" x14ac:dyDescent="0.3">
      <c r="A2677" s="25"/>
      <c r="B2677" s="25"/>
      <c r="C2677" s="25"/>
      <c r="D2677" s="26"/>
      <c r="E2677" s="26"/>
      <c r="F2677" s="26"/>
      <c r="G2677" s="26"/>
      <c r="H2677" s="26"/>
      <c r="I2677" s="25"/>
      <c r="J2677" s="25"/>
      <c r="K2677" s="25"/>
      <c r="L2677" s="25"/>
      <c r="M2677" s="25"/>
      <c r="N2677" s="25"/>
      <c r="O2677" s="25"/>
      <c r="P2677" s="25"/>
    </row>
    <row r="2678" spans="1:16" x14ac:dyDescent="0.3">
      <c r="A2678" s="25"/>
      <c r="B2678" s="25"/>
      <c r="C2678" s="25"/>
      <c r="D2678" s="26"/>
      <c r="E2678" s="26"/>
      <c r="F2678" s="26"/>
      <c r="G2678" s="26"/>
      <c r="H2678" s="26"/>
      <c r="I2678" s="25"/>
      <c r="J2678" s="25"/>
      <c r="K2678" s="25"/>
      <c r="L2678" s="25"/>
      <c r="M2678" s="25"/>
      <c r="N2678" s="25"/>
      <c r="O2678" s="25"/>
      <c r="P2678" s="25"/>
    </row>
    <row r="2679" spans="1:16" x14ac:dyDescent="0.3">
      <c r="A2679" s="25"/>
      <c r="B2679" s="25"/>
      <c r="C2679" s="25"/>
      <c r="D2679" s="26"/>
      <c r="E2679" s="26"/>
      <c r="F2679" s="26"/>
      <c r="G2679" s="26"/>
      <c r="H2679" s="26"/>
      <c r="I2679" s="25"/>
      <c r="J2679" s="25"/>
      <c r="K2679" s="25"/>
      <c r="L2679" s="25"/>
      <c r="M2679" s="25"/>
      <c r="N2679" s="25"/>
      <c r="O2679" s="25"/>
      <c r="P2679" s="25"/>
    </row>
    <row r="2680" spans="1:16" x14ac:dyDescent="0.3">
      <c r="A2680" s="25"/>
      <c r="B2680" s="25"/>
      <c r="C2680" s="25"/>
      <c r="D2680" s="26"/>
      <c r="E2680" s="26"/>
      <c r="F2680" s="26"/>
      <c r="G2680" s="26"/>
      <c r="H2680" s="26"/>
      <c r="I2680" s="25"/>
      <c r="J2680" s="25"/>
      <c r="K2680" s="25"/>
      <c r="L2680" s="25"/>
      <c r="M2680" s="25"/>
      <c r="N2680" s="25"/>
      <c r="O2680" s="25"/>
      <c r="P2680" s="25"/>
    </row>
    <row r="2681" spans="1:16" x14ac:dyDescent="0.3">
      <c r="A2681" s="25"/>
      <c r="B2681" s="25"/>
      <c r="C2681" s="25"/>
      <c r="D2681" s="26"/>
      <c r="E2681" s="26"/>
      <c r="F2681" s="26"/>
      <c r="G2681" s="26"/>
      <c r="H2681" s="26"/>
      <c r="I2681" s="25"/>
      <c r="J2681" s="25"/>
      <c r="K2681" s="25"/>
      <c r="L2681" s="25"/>
      <c r="M2681" s="25"/>
      <c r="N2681" s="25"/>
      <c r="O2681" s="25"/>
      <c r="P2681" s="25"/>
    </row>
    <row r="2682" spans="1:16" x14ac:dyDescent="0.3">
      <c r="A2682" s="25"/>
      <c r="B2682" s="25"/>
      <c r="C2682" s="25"/>
      <c r="D2682" s="26"/>
      <c r="E2682" s="26"/>
      <c r="F2682" s="26"/>
      <c r="G2682" s="26"/>
      <c r="H2682" s="26"/>
      <c r="I2682" s="25"/>
      <c r="J2682" s="25"/>
      <c r="K2682" s="25"/>
      <c r="L2682" s="25"/>
      <c r="M2682" s="25"/>
      <c r="N2682" s="25"/>
      <c r="O2682" s="25"/>
      <c r="P2682" s="25"/>
    </row>
    <row r="2683" spans="1:16" x14ac:dyDescent="0.3">
      <c r="A2683" s="25"/>
      <c r="B2683" s="25"/>
      <c r="C2683" s="25"/>
      <c r="D2683" s="26"/>
      <c r="E2683" s="26"/>
      <c r="F2683" s="26"/>
      <c r="G2683" s="26"/>
      <c r="H2683" s="26"/>
      <c r="I2683" s="25"/>
      <c r="J2683" s="25"/>
      <c r="K2683" s="25"/>
      <c r="L2683" s="25"/>
      <c r="M2683" s="25"/>
      <c r="N2683" s="25"/>
      <c r="O2683" s="25"/>
      <c r="P2683" s="25"/>
    </row>
    <row r="2684" spans="1:16" x14ac:dyDescent="0.3">
      <c r="A2684" s="25"/>
      <c r="B2684" s="25"/>
      <c r="C2684" s="25"/>
      <c r="D2684" s="26"/>
      <c r="E2684" s="26"/>
      <c r="F2684" s="26"/>
      <c r="G2684" s="26"/>
      <c r="H2684" s="26"/>
      <c r="I2684" s="25"/>
      <c r="J2684" s="25"/>
      <c r="K2684" s="25"/>
      <c r="L2684" s="25"/>
      <c r="M2684" s="25"/>
      <c r="N2684" s="25"/>
      <c r="O2684" s="25"/>
      <c r="P2684" s="25"/>
    </row>
    <row r="2685" spans="1:16" x14ac:dyDescent="0.3">
      <c r="A2685" s="25"/>
      <c r="B2685" s="25"/>
      <c r="C2685" s="25"/>
      <c r="D2685" s="26"/>
      <c r="E2685" s="26"/>
      <c r="F2685" s="26"/>
      <c r="G2685" s="26"/>
      <c r="H2685" s="26"/>
      <c r="I2685" s="25"/>
      <c r="J2685" s="25"/>
      <c r="K2685" s="25"/>
      <c r="L2685" s="25"/>
      <c r="M2685" s="25"/>
      <c r="N2685" s="25"/>
      <c r="O2685" s="25"/>
      <c r="P2685" s="25"/>
    </row>
    <row r="2686" spans="1:16" x14ac:dyDescent="0.3">
      <c r="A2686" s="25"/>
      <c r="B2686" s="25"/>
      <c r="C2686" s="25"/>
      <c r="D2686" s="26"/>
      <c r="E2686" s="26"/>
      <c r="F2686" s="26"/>
      <c r="G2686" s="26"/>
      <c r="H2686" s="26"/>
      <c r="I2686" s="25"/>
      <c r="J2686" s="25"/>
      <c r="K2686" s="25"/>
      <c r="L2686" s="25"/>
      <c r="M2686" s="25"/>
      <c r="N2686" s="25"/>
      <c r="O2686" s="25"/>
      <c r="P2686" s="25"/>
    </row>
    <row r="2687" spans="1:16" x14ac:dyDescent="0.3">
      <c r="A2687" s="25"/>
      <c r="B2687" s="25"/>
      <c r="C2687" s="25"/>
      <c r="D2687" s="26"/>
      <c r="E2687" s="26"/>
      <c r="F2687" s="26"/>
      <c r="G2687" s="26"/>
      <c r="H2687" s="26"/>
      <c r="I2687" s="25"/>
      <c r="J2687" s="25"/>
      <c r="K2687" s="25"/>
      <c r="L2687" s="25"/>
      <c r="M2687" s="25"/>
      <c r="N2687" s="25"/>
      <c r="O2687" s="25"/>
      <c r="P2687" s="25"/>
    </row>
    <row r="2688" spans="1:16" x14ac:dyDescent="0.3">
      <c r="A2688" s="25"/>
      <c r="B2688" s="25"/>
      <c r="C2688" s="25"/>
      <c r="D2688" s="26"/>
      <c r="E2688" s="26"/>
      <c r="F2688" s="26"/>
      <c r="G2688" s="26"/>
      <c r="H2688" s="26"/>
      <c r="I2688" s="25"/>
      <c r="J2688" s="25"/>
      <c r="K2688" s="25"/>
      <c r="L2688" s="25"/>
      <c r="M2688" s="25"/>
      <c r="N2688" s="25"/>
      <c r="O2688" s="25"/>
      <c r="P2688" s="25"/>
    </row>
    <row r="2689" spans="1:16" x14ac:dyDescent="0.3">
      <c r="A2689" s="25"/>
      <c r="B2689" s="25"/>
      <c r="C2689" s="25"/>
      <c r="D2689" s="26"/>
      <c r="E2689" s="26"/>
      <c r="F2689" s="26"/>
      <c r="G2689" s="26"/>
      <c r="H2689" s="26"/>
      <c r="I2689" s="25"/>
      <c r="J2689" s="25"/>
      <c r="K2689" s="25"/>
      <c r="L2689" s="25"/>
      <c r="M2689" s="25"/>
      <c r="N2689" s="25"/>
      <c r="O2689" s="25"/>
      <c r="P2689" s="25"/>
    </row>
    <row r="2690" spans="1:16" x14ac:dyDescent="0.3">
      <c r="A2690" s="25"/>
      <c r="B2690" s="25"/>
      <c r="C2690" s="25"/>
      <c r="D2690" s="26"/>
      <c r="E2690" s="26"/>
      <c r="F2690" s="26"/>
      <c r="G2690" s="26"/>
      <c r="H2690" s="26"/>
      <c r="I2690" s="25"/>
      <c r="J2690" s="25"/>
      <c r="K2690" s="25"/>
      <c r="L2690" s="25"/>
      <c r="M2690" s="25"/>
      <c r="N2690" s="25"/>
      <c r="O2690" s="25"/>
      <c r="P2690" s="25"/>
    </row>
    <row r="2691" spans="1:16" x14ac:dyDescent="0.3">
      <c r="A2691" s="25"/>
      <c r="B2691" s="25"/>
      <c r="C2691" s="25"/>
      <c r="D2691" s="26"/>
      <c r="E2691" s="26"/>
      <c r="F2691" s="26"/>
      <c r="G2691" s="26"/>
      <c r="H2691" s="26"/>
      <c r="I2691" s="25"/>
      <c r="J2691" s="25"/>
      <c r="K2691" s="25"/>
      <c r="L2691" s="25"/>
      <c r="M2691" s="25"/>
      <c r="N2691" s="25"/>
      <c r="O2691" s="25"/>
      <c r="P2691" s="25"/>
    </row>
    <row r="2692" spans="1:16" x14ac:dyDescent="0.3">
      <c r="A2692" s="25"/>
      <c r="B2692" s="25"/>
      <c r="C2692" s="25"/>
      <c r="D2692" s="26"/>
      <c r="E2692" s="26"/>
      <c r="F2692" s="26"/>
      <c r="G2692" s="26"/>
      <c r="H2692" s="26"/>
      <c r="I2692" s="25"/>
      <c r="J2692" s="25"/>
      <c r="K2692" s="25"/>
      <c r="L2692" s="25"/>
      <c r="M2692" s="25"/>
      <c r="N2692" s="25"/>
      <c r="O2692" s="25"/>
      <c r="P2692" s="25"/>
    </row>
    <row r="2693" spans="1:16" x14ac:dyDescent="0.3">
      <c r="A2693" s="25"/>
      <c r="B2693" s="25"/>
      <c r="C2693" s="25"/>
      <c r="D2693" s="26"/>
      <c r="E2693" s="26"/>
      <c r="F2693" s="26"/>
      <c r="G2693" s="26"/>
      <c r="H2693" s="26"/>
      <c r="I2693" s="25"/>
      <c r="J2693" s="25"/>
      <c r="K2693" s="25"/>
      <c r="L2693" s="25"/>
      <c r="M2693" s="25"/>
      <c r="N2693" s="25"/>
      <c r="O2693" s="25"/>
      <c r="P2693" s="25"/>
    </row>
    <row r="2694" spans="1:16" x14ac:dyDescent="0.3">
      <c r="A2694" s="25"/>
      <c r="B2694" s="25"/>
      <c r="C2694" s="25"/>
      <c r="D2694" s="26"/>
      <c r="E2694" s="26"/>
      <c r="F2694" s="26"/>
      <c r="G2694" s="26"/>
      <c r="H2694" s="26"/>
      <c r="I2694" s="25"/>
      <c r="J2694" s="25"/>
      <c r="K2694" s="25"/>
      <c r="L2694" s="25"/>
      <c r="M2694" s="25"/>
      <c r="N2694" s="25"/>
      <c r="O2694" s="25"/>
      <c r="P2694" s="25"/>
    </row>
    <row r="2695" spans="1:16" x14ac:dyDescent="0.3">
      <c r="A2695" s="25"/>
      <c r="B2695" s="25"/>
      <c r="C2695" s="25"/>
      <c r="D2695" s="26"/>
      <c r="E2695" s="26"/>
      <c r="F2695" s="26"/>
      <c r="G2695" s="26"/>
      <c r="H2695" s="26"/>
      <c r="I2695" s="25"/>
      <c r="J2695" s="25"/>
      <c r="K2695" s="25"/>
      <c r="L2695" s="25"/>
      <c r="M2695" s="25"/>
      <c r="N2695" s="25"/>
      <c r="O2695" s="25"/>
      <c r="P2695" s="25"/>
    </row>
    <row r="2696" spans="1:16" x14ac:dyDescent="0.3">
      <c r="A2696" s="25"/>
      <c r="B2696" s="25"/>
      <c r="C2696" s="25"/>
      <c r="D2696" s="26"/>
      <c r="E2696" s="26"/>
      <c r="F2696" s="26"/>
      <c r="G2696" s="26"/>
      <c r="H2696" s="26"/>
      <c r="I2696" s="25"/>
      <c r="J2696" s="25"/>
      <c r="K2696" s="25"/>
      <c r="L2696" s="25"/>
      <c r="M2696" s="25"/>
      <c r="N2696" s="25"/>
      <c r="O2696" s="25"/>
      <c r="P2696" s="25"/>
    </row>
    <row r="2697" spans="1:16" x14ac:dyDescent="0.3">
      <c r="A2697" s="25"/>
      <c r="B2697" s="25"/>
      <c r="C2697" s="25"/>
      <c r="D2697" s="26"/>
      <c r="E2697" s="26"/>
      <c r="F2697" s="26"/>
      <c r="G2697" s="26"/>
      <c r="H2697" s="26"/>
      <c r="I2697" s="25"/>
      <c r="J2697" s="25"/>
      <c r="K2697" s="25"/>
      <c r="L2697" s="25"/>
      <c r="M2697" s="25"/>
      <c r="N2697" s="25"/>
      <c r="O2697" s="25"/>
      <c r="P2697" s="25"/>
    </row>
    <row r="2698" spans="1:16" x14ac:dyDescent="0.3">
      <c r="A2698" s="25"/>
      <c r="B2698" s="25"/>
      <c r="C2698" s="25"/>
      <c r="D2698" s="26"/>
      <c r="E2698" s="26"/>
      <c r="F2698" s="26"/>
      <c r="G2698" s="26"/>
      <c r="H2698" s="26"/>
      <c r="I2698" s="25"/>
      <c r="J2698" s="25"/>
      <c r="K2698" s="25"/>
      <c r="L2698" s="25"/>
      <c r="M2698" s="25"/>
      <c r="N2698" s="25"/>
      <c r="O2698" s="25"/>
      <c r="P2698" s="25"/>
    </row>
    <row r="2699" spans="1:16" x14ac:dyDescent="0.3">
      <c r="A2699" s="25"/>
      <c r="B2699" s="25"/>
      <c r="C2699" s="25"/>
      <c r="D2699" s="26"/>
      <c r="E2699" s="26"/>
      <c r="F2699" s="26"/>
      <c r="G2699" s="26"/>
      <c r="H2699" s="26"/>
      <c r="I2699" s="25"/>
      <c r="J2699" s="25"/>
      <c r="K2699" s="25"/>
      <c r="L2699" s="25"/>
      <c r="M2699" s="25"/>
      <c r="N2699" s="25"/>
      <c r="O2699" s="25"/>
      <c r="P2699" s="25"/>
    </row>
    <row r="2700" spans="1:16" x14ac:dyDescent="0.3">
      <c r="A2700" s="25"/>
      <c r="B2700" s="25"/>
      <c r="C2700" s="25"/>
      <c r="D2700" s="26"/>
      <c r="E2700" s="26"/>
      <c r="F2700" s="26"/>
      <c r="G2700" s="26"/>
      <c r="H2700" s="26"/>
      <c r="I2700" s="25"/>
      <c r="J2700" s="25"/>
      <c r="K2700" s="25"/>
      <c r="L2700" s="25"/>
      <c r="M2700" s="25"/>
      <c r="N2700" s="25"/>
      <c r="O2700" s="25"/>
      <c r="P2700" s="25"/>
    </row>
    <row r="2701" spans="1:16" x14ac:dyDescent="0.3">
      <c r="A2701" s="25"/>
      <c r="B2701" s="25"/>
      <c r="C2701" s="25"/>
      <c r="D2701" s="26"/>
      <c r="E2701" s="26"/>
      <c r="F2701" s="26"/>
      <c r="G2701" s="26"/>
      <c r="H2701" s="26"/>
      <c r="I2701" s="25"/>
      <c r="J2701" s="25"/>
      <c r="K2701" s="25"/>
      <c r="L2701" s="25"/>
      <c r="M2701" s="25"/>
      <c r="N2701" s="25"/>
      <c r="O2701" s="25"/>
      <c r="P2701" s="25"/>
    </row>
    <row r="2702" spans="1:16" x14ac:dyDescent="0.3">
      <c r="A2702" s="25"/>
      <c r="B2702" s="25"/>
      <c r="C2702" s="25"/>
      <c r="D2702" s="26"/>
      <c r="E2702" s="26"/>
      <c r="F2702" s="26"/>
      <c r="G2702" s="26"/>
      <c r="H2702" s="26"/>
      <c r="I2702" s="25"/>
      <c r="J2702" s="25"/>
      <c r="K2702" s="25"/>
      <c r="L2702" s="25"/>
      <c r="M2702" s="25"/>
      <c r="N2702" s="25"/>
      <c r="O2702" s="25"/>
      <c r="P2702" s="25"/>
    </row>
    <row r="2703" spans="1:16" x14ac:dyDescent="0.3">
      <c r="A2703" s="25"/>
      <c r="B2703" s="25"/>
      <c r="C2703" s="25"/>
      <c r="D2703" s="26"/>
      <c r="E2703" s="26"/>
      <c r="F2703" s="26"/>
      <c r="G2703" s="26"/>
      <c r="H2703" s="26"/>
      <c r="I2703" s="25"/>
      <c r="J2703" s="25"/>
      <c r="K2703" s="25"/>
      <c r="L2703" s="25"/>
      <c r="M2703" s="25"/>
      <c r="N2703" s="25"/>
      <c r="O2703" s="25"/>
      <c r="P2703" s="25"/>
    </row>
    <row r="2704" spans="1:16" x14ac:dyDescent="0.3">
      <c r="A2704" s="25"/>
      <c r="B2704" s="25"/>
      <c r="C2704" s="25"/>
      <c r="D2704" s="26"/>
      <c r="E2704" s="26"/>
      <c r="F2704" s="26"/>
      <c r="G2704" s="26"/>
      <c r="H2704" s="26"/>
      <c r="I2704" s="25"/>
      <c r="J2704" s="25"/>
      <c r="K2704" s="25"/>
      <c r="L2704" s="25"/>
      <c r="M2704" s="25"/>
      <c r="N2704" s="25"/>
      <c r="O2704" s="25"/>
      <c r="P2704" s="25"/>
    </row>
    <row r="2705" spans="1:16" x14ac:dyDescent="0.3">
      <c r="A2705" s="25"/>
      <c r="B2705" s="25"/>
      <c r="C2705" s="25"/>
      <c r="D2705" s="26"/>
      <c r="E2705" s="26"/>
      <c r="F2705" s="26"/>
      <c r="G2705" s="26"/>
      <c r="H2705" s="26"/>
      <c r="I2705" s="25"/>
      <c r="J2705" s="25"/>
      <c r="K2705" s="25"/>
      <c r="L2705" s="25"/>
      <c r="M2705" s="25"/>
      <c r="N2705" s="25"/>
      <c r="O2705" s="25"/>
      <c r="P2705" s="25"/>
    </row>
    <row r="2706" spans="1:16" x14ac:dyDescent="0.3">
      <c r="A2706" s="25"/>
      <c r="B2706" s="25"/>
      <c r="C2706" s="25"/>
      <c r="D2706" s="26"/>
      <c r="E2706" s="26"/>
      <c r="F2706" s="26"/>
      <c r="G2706" s="26"/>
      <c r="H2706" s="26"/>
      <c r="I2706" s="25"/>
      <c r="J2706" s="25"/>
      <c r="K2706" s="25"/>
      <c r="L2706" s="25"/>
      <c r="M2706" s="25"/>
      <c r="N2706" s="25"/>
      <c r="O2706" s="25"/>
      <c r="P2706" s="25"/>
    </row>
    <row r="2707" spans="1:16" x14ac:dyDescent="0.3">
      <c r="A2707" s="25"/>
      <c r="B2707" s="25"/>
      <c r="C2707" s="25"/>
      <c r="D2707" s="26"/>
      <c r="E2707" s="26"/>
      <c r="F2707" s="26"/>
      <c r="G2707" s="26"/>
      <c r="H2707" s="26"/>
      <c r="I2707" s="25"/>
      <c r="J2707" s="25"/>
      <c r="K2707" s="25"/>
      <c r="L2707" s="25"/>
      <c r="M2707" s="25"/>
      <c r="N2707" s="25"/>
      <c r="O2707" s="25"/>
      <c r="P2707" s="25"/>
    </row>
    <row r="2708" spans="1:16" x14ac:dyDescent="0.3">
      <c r="A2708" s="25"/>
      <c r="B2708" s="25"/>
      <c r="C2708" s="25"/>
      <c r="D2708" s="26"/>
      <c r="E2708" s="26"/>
      <c r="F2708" s="26"/>
      <c r="G2708" s="26"/>
      <c r="H2708" s="26"/>
      <c r="I2708" s="25"/>
      <c r="J2708" s="25"/>
      <c r="K2708" s="25"/>
      <c r="L2708" s="25"/>
      <c r="M2708" s="25"/>
      <c r="N2708" s="25"/>
      <c r="O2708" s="25"/>
      <c r="P2708" s="25"/>
    </row>
    <row r="2709" spans="1:16" x14ac:dyDescent="0.3">
      <c r="A2709" s="25"/>
      <c r="B2709" s="25"/>
      <c r="C2709" s="25"/>
      <c r="D2709" s="26"/>
      <c r="E2709" s="26"/>
      <c r="F2709" s="26"/>
      <c r="G2709" s="26"/>
      <c r="H2709" s="26"/>
      <c r="I2709" s="25"/>
      <c r="J2709" s="25"/>
      <c r="K2709" s="25"/>
      <c r="L2709" s="25"/>
      <c r="M2709" s="25"/>
      <c r="N2709" s="25"/>
      <c r="O2709" s="25"/>
      <c r="P2709" s="25"/>
    </row>
    <row r="2710" spans="1:16" x14ac:dyDescent="0.3">
      <c r="A2710" s="25"/>
      <c r="B2710" s="25"/>
      <c r="C2710" s="25"/>
      <c r="D2710" s="26"/>
      <c r="E2710" s="26"/>
      <c r="F2710" s="26"/>
      <c r="G2710" s="26"/>
      <c r="H2710" s="26"/>
      <c r="I2710" s="25"/>
      <c r="J2710" s="25"/>
      <c r="K2710" s="25"/>
      <c r="L2710" s="25"/>
      <c r="M2710" s="25"/>
      <c r="N2710" s="25"/>
      <c r="O2710" s="25"/>
      <c r="P2710" s="25"/>
    </row>
    <row r="2711" spans="1:16" x14ac:dyDescent="0.3">
      <c r="A2711" s="25"/>
      <c r="B2711" s="25"/>
      <c r="C2711" s="25"/>
      <c r="D2711" s="26"/>
      <c r="E2711" s="26"/>
      <c r="F2711" s="26"/>
      <c r="G2711" s="26"/>
      <c r="H2711" s="26"/>
      <c r="I2711" s="25"/>
      <c r="J2711" s="25"/>
      <c r="K2711" s="25"/>
      <c r="L2711" s="25"/>
      <c r="M2711" s="25"/>
      <c r="N2711" s="25"/>
      <c r="O2711" s="25"/>
      <c r="P2711" s="25"/>
    </row>
    <row r="2712" spans="1:16" x14ac:dyDescent="0.3">
      <c r="A2712" s="25"/>
      <c r="B2712" s="25"/>
      <c r="C2712" s="25"/>
      <c r="D2712" s="26"/>
      <c r="E2712" s="26"/>
      <c r="F2712" s="26"/>
      <c r="G2712" s="26"/>
      <c r="H2712" s="26"/>
      <c r="I2712" s="25"/>
      <c r="J2712" s="25"/>
      <c r="K2712" s="25"/>
      <c r="L2712" s="25"/>
      <c r="M2712" s="25"/>
      <c r="N2712" s="25"/>
      <c r="O2712" s="25"/>
      <c r="P2712" s="25"/>
    </row>
    <row r="2713" spans="1:16" x14ac:dyDescent="0.3">
      <c r="A2713" s="25"/>
      <c r="B2713" s="25"/>
      <c r="C2713" s="25"/>
      <c r="D2713" s="26"/>
      <c r="E2713" s="26"/>
      <c r="F2713" s="26"/>
      <c r="G2713" s="26"/>
      <c r="H2713" s="26"/>
      <c r="I2713" s="25"/>
      <c r="J2713" s="25"/>
      <c r="K2713" s="25"/>
      <c r="L2713" s="25"/>
      <c r="M2713" s="25"/>
      <c r="N2713" s="25"/>
      <c r="O2713" s="25"/>
      <c r="P2713" s="25"/>
    </row>
    <row r="2714" spans="1:16" x14ac:dyDescent="0.3">
      <c r="A2714" s="25"/>
      <c r="B2714" s="25"/>
      <c r="C2714" s="25"/>
      <c r="D2714" s="26"/>
      <c r="E2714" s="26"/>
      <c r="F2714" s="26"/>
      <c r="G2714" s="26"/>
      <c r="H2714" s="26"/>
      <c r="I2714" s="25"/>
      <c r="J2714" s="25"/>
      <c r="K2714" s="25"/>
      <c r="L2714" s="25"/>
      <c r="M2714" s="25"/>
      <c r="N2714" s="25"/>
      <c r="O2714" s="25"/>
      <c r="P2714" s="25"/>
    </row>
    <row r="2715" spans="1:16" x14ac:dyDescent="0.3">
      <c r="A2715" s="25"/>
      <c r="B2715" s="25"/>
      <c r="C2715" s="25"/>
      <c r="D2715" s="26"/>
      <c r="E2715" s="26"/>
      <c r="F2715" s="26"/>
      <c r="G2715" s="26"/>
      <c r="H2715" s="26"/>
      <c r="I2715" s="25"/>
      <c r="J2715" s="25"/>
      <c r="K2715" s="25"/>
      <c r="L2715" s="25"/>
      <c r="M2715" s="25"/>
      <c r="N2715" s="25"/>
      <c r="O2715" s="25"/>
      <c r="P2715" s="25"/>
    </row>
    <row r="2716" spans="1:16" x14ac:dyDescent="0.3">
      <c r="A2716" s="25"/>
      <c r="B2716" s="25"/>
      <c r="C2716" s="25"/>
      <c r="D2716" s="26"/>
      <c r="E2716" s="26"/>
      <c r="F2716" s="26"/>
      <c r="G2716" s="26"/>
      <c r="H2716" s="26"/>
      <c r="I2716" s="25"/>
      <c r="J2716" s="25"/>
      <c r="K2716" s="25"/>
      <c r="L2716" s="25"/>
      <c r="M2716" s="25"/>
      <c r="N2716" s="25"/>
      <c r="O2716" s="25"/>
      <c r="P2716" s="25"/>
    </row>
    <row r="2717" spans="1:16" x14ac:dyDescent="0.3">
      <c r="A2717" s="25"/>
      <c r="B2717" s="25"/>
      <c r="C2717" s="25"/>
      <c r="D2717" s="26"/>
      <c r="E2717" s="26"/>
      <c r="F2717" s="26"/>
      <c r="G2717" s="26"/>
      <c r="H2717" s="26"/>
      <c r="I2717" s="25"/>
      <c r="J2717" s="25"/>
      <c r="K2717" s="25"/>
      <c r="L2717" s="25"/>
      <c r="M2717" s="25"/>
      <c r="N2717" s="25"/>
      <c r="O2717" s="25"/>
      <c r="P2717" s="25"/>
    </row>
    <row r="2718" spans="1:16" x14ac:dyDescent="0.3">
      <c r="A2718" s="25"/>
      <c r="B2718" s="25"/>
      <c r="C2718" s="25"/>
      <c r="D2718" s="26"/>
      <c r="E2718" s="26"/>
      <c r="F2718" s="26"/>
      <c r="G2718" s="26"/>
      <c r="H2718" s="26"/>
      <c r="I2718" s="25"/>
      <c r="J2718" s="25"/>
      <c r="K2718" s="25"/>
      <c r="L2718" s="25"/>
      <c r="M2718" s="25"/>
      <c r="N2718" s="25"/>
      <c r="O2718" s="25"/>
      <c r="P2718" s="25"/>
    </row>
    <row r="2719" spans="1:16" x14ac:dyDescent="0.3">
      <c r="A2719" s="25"/>
      <c r="B2719" s="25"/>
      <c r="C2719" s="25"/>
      <c r="D2719" s="26"/>
      <c r="E2719" s="26"/>
      <c r="F2719" s="26"/>
      <c r="G2719" s="26"/>
      <c r="H2719" s="26"/>
      <c r="I2719" s="25"/>
      <c r="J2719" s="25"/>
      <c r="K2719" s="25"/>
      <c r="L2719" s="25"/>
      <c r="M2719" s="25"/>
      <c r="N2719" s="25"/>
      <c r="O2719" s="25"/>
      <c r="P2719" s="25"/>
    </row>
    <row r="2720" spans="1:16" x14ac:dyDescent="0.3">
      <c r="A2720" s="25"/>
      <c r="B2720" s="25"/>
      <c r="C2720" s="25"/>
      <c r="D2720" s="26"/>
      <c r="E2720" s="26"/>
      <c r="F2720" s="26"/>
      <c r="G2720" s="26"/>
      <c r="H2720" s="26"/>
      <c r="I2720" s="25"/>
      <c r="J2720" s="25"/>
      <c r="K2720" s="25"/>
      <c r="L2720" s="25"/>
      <c r="M2720" s="25"/>
      <c r="N2720" s="25"/>
      <c r="O2720" s="25"/>
      <c r="P2720" s="25"/>
    </row>
    <row r="2721" spans="1:16" x14ac:dyDescent="0.3">
      <c r="A2721" s="25"/>
      <c r="B2721" s="25"/>
      <c r="C2721" s="25"/>
      <c r="D2721" s="26"/>
      <c r="E2721" s="26"/>
      <c r="F2721" s="26"/>
      <c r="G2721" s="26"/>
      <c r="H2721" s="26"/>
      <c r="I2721" s="25"/>
      <c r="J2721" s="25"/>
      <c r="K2721" s="25"/>
      <c r="L2721" s="25"/>
      <c r="M2721" s="25"/>
      <c r="N2721" s="25"/>
      <c r="O2721" s="25"/>
      <c r="P2721" s="25"/>
    </row>
    <row r="2722" spans="1:16" x14ac:dyDescent="0.3">
      <c r="A2722" s="25"/>
      <c r="B2722" s="25"/>
      <c r="C2722" s="25"/>
      <c r="D2722" s="26"/>
      <c r="E2722" s="26"/>
      <c r="F2722" s="26"/>
      <c r="G2722" s="26"/>
      <c r="H2722" s="26"/>
      <c r="I2722" s="25"/>
      <c r="J2722" s="25"/>
      <c r="K2722" s="25"/>
      <c r="L2722" s="25"/>
      <c r="M2722" s="25"/>
      <c r="N2722" s="25"/>
      <c r="O2722" s="25"/>
      <c r="P2722" s="25"/>
    </row>
    <row r="2723" spans="1:16" x14ac:dyDescent="0.3">
      <c r="A2723" s="25"/>
      <c r="B2723" s="25"/>
      <c r="C2723" s="25"/>
      <c r="D2723" s="26"/>
      <c r="E2723" s="26"/>
      <c r="F2723" s="26"/>
      <c r="G2723" s="26"/>
      <c r="H2723" s="26"/>
      <c r="I2723" s="25"/>
      <c r="J2723" s="25"/>
      <c r="K2723" s="25"/>
      <c r="L2723" s="25"/>
      <c r="M2723" s="25"/>
      <c r="N2723" s="25"/>
      <c r="O2723" s="25"/>
      <c r="P2723" s="25"/>
    </row>
    <row r="2724" spans="1:16" x14ac:dyDescent="0.3">
      <c r="A2724" s="25"/>
      <c r="B2724" s="25"/>
      <c r="C2724" s="25"/>
      <c r="D2724" s="26"/>
      <c r="E2724" s="26"/>
      <c r="F2724" s="26"/>
      <c r="G2724" s="26"/>
      <c r="H2724" s="26"/>
      <c r="I2724" s="25"/>
      <c r="J2724" s="25"/>
      <c r="K2724" s="25"/>
      <c r="L2724" s="25"/>
      <c r="M2724" s="25"/>
      <c r="N2724" s="25"/>
      <c r="O2724" s="25"/>
      <c r="P2724" s="25"/>
    </row>
    <row r="2725" spans="1:16" x14ac:dyDescent="0.3">
      <c r="A2725" s="25"/>
      <c r="B2725" s="25"/>
      <c r="C2725" s="25"/>
      <c r="D2725" s="26"/>
      <c r="E2725" s="26"/>
      <c r="F2725" s="26"/>
      <c r="G2725" s="26"/>
      <c r="H2725" s="26"/>
      <c r="I2725" s="25"/>
      <c r="J2725" s="25"/>
      <c r="K2725" s="25"/>
      <c r="L2725" s="25"/>
      <c r="M2725" s="25"/>
      <c r="N2725" s="25"/>
      <c r="O2725" s="25"/>
      <c r="P2725" s="25"/>
    </row>
    <row r="2726" spans="1:16" x14ac:dyDescent="0.3">
      <c r="A2726" s="25"/>
      <c r="B2726" s="25"/>
      <c r="C2726" s="25"/>
      <c r="D2726" s="26"/>
      <c r="E2726" s="26"/>
      <c r="F2726" s="26"/>
      <c r="G2726" s="26"/>
      <c r="H2726" s="26"/>
      <c r="I2726" s="25"/>
      <c r="J2726" s="25"/>
      <c r="K2726" s="25"/>
      <c r="L2726" s="25"/>
      <c r="M2726" s="25"/>
      <c r="N2726" s="25"/>
      <c r="O2726" s="25"/>
      <c r="P2726" s="25"/>
    </row>
    <row r="2727" spans="1:16" x14ac:dyDescent="0.3">
      <c r="A2727" s="25"/>
      <c r="B2727" s="25"/>
      <c r="C2727" s="25"/>
      <c r="D2727" s="26"/>
      <c r="E2727" s="26"/>
      <c r="F2727" s="26"/>
      <c r="G2727" s="26"/>
      <c r="H2727" s="26"/>
      <c r="I2727" s="25"/>
      <c r="J2727" s="25"/>
      <c r="K2727" s="25"/>
      <c r="L2727" s="25"/>
      <c r="M2727" s="25"/>
      <c r="N2727" s="25"/>
      <c r="O2727" s="25"/>
      <c r="P2727" s="25"/>
    </row>
    <row r="2728" spans="1:16" x14ac:dyDescent="0.3">
      <c r="A2728" s="25"/>
      <c r="B2728" s="25"/>
      <c r="C2728" s="25"/>
      <c r="D2728" s="26"/>
      <c r="E2728" s="26"/>
      <c r="F2728" s="26"/>
      <c r="G2728" s="26"/>
      <c r="H2728" s="26"/>
      <c r="I2728" s="25"/>
      <c r="J2728" s="25"/>
      <c r="K2728" s="25"/>
      <c r="L2728" s="25"/>
      <c r="M2728" s="25"/>
      <c r="N2728" s="25"/>
      <c r="O2728" s="25"/>
      <c r="P2728" s="25"/>
    </row>
    <row r="2729" spans="1:16" x14ac:dyDescent="0.3">
      <c r="A2729" s="25"/>
      <c r="B2729" s="25"/>
      <c r="C2729" s="25"/>
      <c r="D2729" s="26"/>
      <c r="E2729" s="26"/>
      <c r="F2729" s="26"/>
      <c r="G2729" s="26"/>
      <c r="H2729" s="26"/>
      <c r="I2729" s="25"/>
      <c r="J2729" s="25"/>
      <c r="K2729" s="25"/>
      <c r="L2729" s="25"/>
      <c r="M2729" s="25"/>
      <c r="N2729" s="25"/>
      <c r="O2729" s="25"/>
      <c r="P2729" s="25"/>
    </row>
    <row r="2730" spans="1:16" x14ac:dyDescent="0.3">
      <c r="A2730" s="25"/>
      <c r="B2730" s="25"/>
      <c r="C2730" s="25"/>
      <c r="D2730" s="26"/>
      <c r="E2730" s="26"/>
      <c r="F2730" s="26"/>
      <c r="G2730" s="26"/>
      <c r="H2730" s="26"/>
      <c r="I2730" s="25"/>
      <c r="J2730" s="25"/>
      <c r="K2730" s="25"/>
      <c r="L2730" s="25"/>
      <c r="M2730" s="25"/>
      <c r="N2730" s="25"/>
      <c r="O2730" s="25"/>
      <c r="P2730" s="25"/>
    </row>
    <row r="2731" spans="1:16" x14ac:dyDescent="0.3">
      <c r="A2731" s="25"/>
      <c r="B2731" s="25"/>
      <c r="C2731" s="25"/>
      <c r="D2731" s="26"/>
      <c r="E2731" s="26"/>
      <c r="F2731" s="26"/>
      <c r="G2731" s="26"/>
      <c r="H2731" s="26"/>
      <c r="I2731" s="25"/>
      <c r="J2731" s="25"/>
      <c r="K2731" s="25"/>
      <c r="L2731" s="25"/>
      <c r="M2731" s="25"/>
      <c r="N2731" s="25"/>
      <c r="O2731" s="25"/>
      <c r="P2731" s="25"/>
    </row>
    <row r="2732" spans="1:16" x14ac:dyDescent="0.3">
      <c r="A2732" s="25"/>
      <c r="B2732" s="25"/>
      <c r="C2732" s="25"/>
      <c r="D2732" s="26"/>
      <c r="E2732" s="26"/>
      <c r="F2732" s="26"/>
      <c r="G2732" s="26"/>
      <c r="H2732" s="26"/>
      <c r="I2732" s="25"/>
      <c r="J2732" s="25"/>
      <c r="K2732" s="25"/>
      <c r="L2732" s="25"/>
      <c r="M2732" s="25"/>
      <c r="N2732" s="25"/>
      <c r="O2732" s="25"/>
      <c r="P2732" s="25"/>
    </row>
    <row r="2733" spans="1:16" x14ac:dyDescent="0.3">
      <c r="A2733" s="25"/>
      <c r="B2733" s="25"/>
      <c r="C2733" s="25"/>
      <c r="D2733" s="26"/>
      <c r="E2733" s="26"/>
      <c r="F2733" s="26"/>
      <c r="G2733" s="26"/>
      <c r="H2733" s="26"/>
      <c r="I2733" s="25"/>
      <c r="J2733" s="25"/>
      <c r="K2733" s="25"/>
      <c r="L2733" s="25"/>
      <c r="M2733" s="25"/>
      <c r="N2733" s="25"/>
      <c r="O2733" s="25"/>
      <c r="P2733" s="25"/>
    </row>
    <row r="2734" spans="1:16" x14ac:dyDescent="0.3">
      <c r="A2734" s="25"/>
      <c r="B2734" s="25"/>
      <c r="C2734" s="25"/>
      <c r="D2734" s="26"/>
      <c r="E2734" s="26"/>
      <c r="F2734" s="26"/>
      <c r="G2734" s="26"/>
      <c r="H2734" s="26"/>
      <c r="I2734" s="25"/>
      <c r="J2734" s="25"/>
      <c r="K2734" s="25"/>
      <c r="L2734" s="25"/>
      <c r="M2734" s="25"/>
      <c r="N2734" s="25"/>
      <c r="O2734" s="25"/>
      <c r="P2734" s="25"/>
    </row>
    <row r="2735" spans="1:16" x14ac:dyDescent="0.3">
      <c r="A2735" s="25"/>
      <c r="B2735" s="25"/>
      <c r="C2735" s="25"/>
      <c r="D2735" s="26"/>
      <c r="E2735" s="26"/>
      <c r="F2735" s="26"/>
      <c r="G2735" s="26"/>
      <c r="H2735" s="26"/>
      <c r="I2735" s="25"/>
      <c r="J2735" s="25"/>
      <c r="K2735" s="25"/>
      <c r="L2735" s="25"/>
      <c r="M2735" s="25"/>
      <c r="N2735" s="25"/>
      <c r="O2735" s="25"/>
      <c r="P2735" s="25"/>
    </row>
    <row r="2736" spans="1:16" x14ac:dyDescent="0.3">
      <c r="A2736" s="25"/>
      <c r="B2736" s="25"/>
      <c r="C2736" s="25"/>
      <c r="D2736" s="26"/>
      <c r="E2736" s="26"/>
      <c r="F2736" s="26"/>
      <c r="G2736" s="26"/>
      <c r="H2736" s="26"/>
      <c r="I2736" s="25"/>
      <c r="J2736" s="25"/>
      <c r="K2736" s="25"/>
      <c r="L2736" s="25"/>
      <c r="M2736" s="25"/>
      <c r="N2736" s="25"/>
      <c r="O2736" s="25"/>
      <c r="P2736" s="25"/>
    </row>
    <row r="2737" spans="1:16" x14ac:dyDescent="0.3">
      <c r="A2737" s="25"/>
      <c r="B2737" s="25"/>
      <c r="C2737" s="25"/>
      <c r="D2737" s="26"/>
      <c r="E2737" s="26"/>
      <c r="F2737" s="26"/>
      <c r="G2737" s="26"/>
      <c r="H2737" s="26"/>
      <c r="I2737" s="25"/>
      <c r="J2737" s="25"/>
      <c r="K2737" s="25"/>
      <c r="L2737" s="25"/>
      <c r="M2737" s="25"/>
      <c r="N2737" s="25"/>
      <c r="O2737" s="25"/>
      <c r="P2737" s="25"/>
    </row>
    <row r="2738" spans="1:16" x14ac:dyDescent="0.3">
      <c r="A2738" s="25"/>
      <c r="B2738" s="25"/>
      <c r="C2738" s="25"/>
      <c r="D2738" s="26"/>
      <c r="E2738" s="26"/>
      <c r="F2738" s="26"/>
      <c r="G2738" s="26"/>
      <c r="H2738" s="26"/>
      <c r="I2738" s="25"/>
      <c r="J2738" s="25"/>
      <c r="K2738" s="25"/>
      <c r="L2738" s="25"/>
      <c r="M2738" s="25"/>
      <c r="N2738" s="25"/>
      <c r="O2738" s="25"/>
      <c r="P2738" s="25"/>
    </row>
    <row r="2739" spans="1:16" x14ac:dyDescent="0.3">
      <c r="A2739" s="25"/>
      <c r="B2739" s="25"/>
      <c r="C2739" s="25"/>
      <c r="D2739" s="26"/>
      <c r="E2739" s="26"/>
      <c r="F2739" s="26"/>
      <c r="G2739" s="26"/>
      <c r="H2739" s="26"/>
      <c r="I2739" s="25"/>
      <c r="J2739" s="25"/>
      <c r="K2739" s="25"/>
      <c r="L2739" s="25"/>
      <c r="M2739" s="25"/>
      <c r="N2739" s="25"/>
      <c r="O2739" s="25"/>
      <c r="P2739" s="25"/>
    </row>
    <row r="2740" spans="1:16" x14ac:dyDescent="0.3">
      <c r="A2740" s="25"/>
      <c r="B2740" s="25"/>
      <c r="C2740" s="25"/>
      <c r="D2740" s="26"/>
      <c r="E2740" s="26"/>
      <c r="F2740" s="26"/>
      <c r="G2740" s="26"/>
      <c r="H2740" s="26"/>
      <c r="I2740" s="25"/>
      <c r="J2740" s="25"/>
      <c r="K2740" s="25"/>
      <c r="L2740" s="25"/>
      <c r="M2740" s="25"/>
      <c r="N2740" s="25"/>
      <c r="O2740" s="25"/>
      <c r="P2740" s="25"/>
    </row>
    <row r="2741" spans="1:16" x14ac:dyDescent="0.3">
      <c r="A2741" s="25"/>
      <c r="B2741" s="25"/>
      <c r="C2741" s="25"/>
      <c r="D2741" s="26"/>
      <c r="E2741" s="26"/>
      <c r="F2741" s="26"/>
      <c r="G2741" s="26"/>
      <c r="H2741" s="26"/>
      <c r="I2741" s="25"/>
      <c r="J2741" s="25"/>
      <c r="K2741" s="25"/>
      <c r="L2741" s="25"/>
      <c r="M2741" s="25"/>
      <c r="N2741" s="25"/>
      <c r="O2741" s="25"/>
      <c r="P2741" s="25"/>
    </row>
    <row r="2742" spans="1:16" x14ac:dyDescent="0.3">
      <c r="A2742" s="25"/>
      <c r="B2742" s="25"/>
      <c r="C2742" s="25"/>
      <c r="D2742" s="26"/>
      <c r="E2742" s="26"/>
      <c r="F2742" s="26"/>
      <c r="G2742" s="26"/>
      <c r="H2742" s="26"/>
      <c r="I2742" s="25"/>
      <c r="J2742" s="25"/>
      <c r="K2742" s="25"/>
      <c r="L2742" s="25"/>
      <c r="M2742" s="25"/>
      <c r="N2742" s="25"/>
      <c r="O2742" s="25"/>
      <c r="P2742" s="25"/>
    </row>
    <row r="2743" spans="1:16" x14ac:dyDescent="0.3">
      <c r="A2743" s="25"/>
      <c r="B2743" s="25"/>
      <c r="C2743" s="25"/>
      <c r="D2743" s="26"/>
      <c r="E2743" s="26"/>
      <c r="F2743" s="26"/>
      <c r="G2743" s="26"/>
      <c r="H2743" s="26"/>
      <c r="I2743" s="25"/>
      <c r="J2743" s="25"/>
      <c r="K2743" s="25"/>
      <c r="L2743" s="25"/>
      <c r="M2743" s="25"/>
      <c r="N2743" s="25"/>
      <c r="O2743" s="25"/>
      <c r="P2743" s="25"/>
    </row>
    <row r="2744" spans="1:16" x14ac:dyDescent="0.3">
      <c r="A2744" s="25"/>
      <c r="B2744" s="25"/>
      <c r="C2744" s="25"/>
      <c r="D2744" s="26"/>
      <c r="E2744" s="26"/>
      <c r="F2744" s="26"/>
      <c r="G2744" s="26"/>
      <c r="H2744" s="26"/>
      <c r="I2744" s="25"/>
      <c r="J2744" s="25"/>
      <c r="K2744" s="25"/>
      <c r="L2744" s="25"/>
      <c r="M2744" s="25"/>
      <c r="N2744" s="25"/>
      <c r="O2744" s="25"/>
      <c r="P2744" s="25"/>
    </row>
    <row r="2745" spans="1:16" x14ac:dyDescent="0.3">
      <c r="A2745" s="25"/>
      <c r="B2745" s="25"/>
      <c r="C2745" s="25"/>
      <c r="D2745" s="26"/>
      <c r="E2745" s="26"/>
      <c r="F2745" s="26"/>
      <c r="G2745" s="26"/>
      <c r="H2745" s="26"/>
      <c r="I2745" s="25"/>
      <c r="J2745" s="25"/>
      <c r="K2745" s="25"/>
      <c r="L2745" s="25"/>
      <c r="M2745" s="25"/>
      <c r="N2745" s="25"/>
      <c r="O2745" s="25"/>
      <c r="P2745" s="25"/>
    </row>
    <row r="2746" spans="1:16" x14ac:dyDescent="0.3">
      <c r="A2746" s="25"/>
      <c r="B2746" s="25"/>
      <c r="C2746" s="25"/>
      <c r="D2746" s="26"/>
      <c r="E2746" s="26"/>
      <c r="F2746" s="26"/>
      <c r="G2746" s="26"/>
      <c r="H2746" s="26"/>
      <c r="I2746" s="25"/>
      <c r="J2746" s="25"/>
      <c r="K2746" s="25"/>
      <c r="L2746" s="25"/>
      <c r="M2746" s="25"/>
      <c r="N2746" s="25"/>
      <c r="O2746" s="25"/>
      <c r="P2746" s="25"/>
    </row>
    <row r="2747" spans="1:16" x14ac:dyDescent="0.3">
      <c r="A2747" s="25"/>
      <c r="B2747" s="25"/>
      <c r="C2747" s="25"/>
      <c r="D2747" s="26"/>
      <c r="E2747" s="26"/>
      <c r="F2747" s="26"/>
      <c r="G2747" s="26"/>
      <c r="H2747" s="26"/>
      <c r="I2747" s="25"/>
      <c r="J2747" s="25"/>
      <c r="K2747" s="25"/>
      <c r="L2747" s="25"/>
      <c r="M2747" s="25"/>
      <c r="N2747" s="25"/>
      <c r="O2747" s="25"/>
      <c r="P2747" s="25"/>
    </row>
    <row r="2748" spans="1:16" x14ac:dyDescent="0.3">
      <c r="A2748" s="25"/>
      <c r="B2748" s="25"/>
      <c r="C2748" s="25"/>
      <c r="D2748" s="26"/>
      <c r="E2748" s="26"/>
      <c r="F2748" s="26"/>
      <c r="G2748" s="26"/>
      <c r="H2748" s="26"/>
      <c r="I2748" s="25"/>
      <c r="J2748" s="25"/>
      <c r="K2748" s="25"/>
      <c r="L2748" s="25"/>
      <c r="M2748" s="25"/>
      <c r="N2748" s="25"/>
      <c r="O2748" s="25"/>
      <c r="P2748" s="25"/>
    </row>
    <row r="2749" spans="1:16" x14ac:dyDescent="0.3">
      <c r="A2749" s="25"/>
      <c r="B2749" s="25"/>
      <c r="C2749" s="25"/>
      <c r="D2749" s="26"/>
      <c r="E2749" s="26"/>
      <c r="F2749" s="26"/>
      <c r="G2749" s="26"/>
      <c r="H2749" s="26"/>
      <c r="I2749" s="25"/>
      <c r="J2749" s="25"/>
      <c r="K2749" s="25"/>
      <c r="L2749" s="25"/>
      <c r="M2749" s="25"/>
      <c r="N2749" s="25"/>
      <c r="O2749" s="25"/>
      <c r="P2749" s="25"/>
    </row>
    <row r="2750" spans="1:16" x14ac:dyDescent="0.3">
      <c r="A2750" s="25"/>
      <c r="B2750" s="25"/>
      <c r="C2750" s="25"/>
      <c r="D2750" s="26"/>
      <c r="E2750" s="26"/>
      <c r="F2750" s="26"/>
      <c r="G2750" s="26"/>
      <c r="H2750" s="26"/>
      <c r="I2750" s="25"/>
      <c r="J2750" s="25"/>
      <c r="K2750" s="25"/>
      <c r="L2750" s="25"/>
      <c r="M2750" s="25"/>
      <c r="N2750" s="25"/>
      <c r="O2750" s="25"/>
      <c r="P2750" s="25"/>
    </row>
    <row r="2751" spans="1:16" x14ac:dyDescent="0.3">
      <c r="A2751" s="25"/>
      <c r="B2751" s="25"/>
      <c r="C2751" s="25"/>
      <c r="D2751" s="26"/>
      <c r="E2751" s="26"/>
      <c r="F2751" s="26"/>
      <c r="G2751" s="26"/>
      <c r="H2751" s="26"/>
      <c r="I2751" s="25"/>
      <c r="J2751" s="25"/>
      <c r="K2751" s="25"/>
      <c r="L2751" s="25"/>
      <c r="M2751" s="25"/>
      <c r="N2751" s="25"/>
      <c r="O2751" s="25"/>
      <c r="P2751" s="25"/>
    </row>
    <row r="2752" spans="1:16" x14ac:dyDescent="0.3">
      <c r="A2752" s="25"/>
      <c r="B2752" s="25"/>
      <c r="C2752" s="25"/>
      <c r="D2752" s="26"/>
      <c r="E2752" s="26"/>
      <c r="F2752" s="26"/>
      <c r="G2752" s="26"/>
      <c r="H2752" s="26"/>
      <c r="I2752" s="25"/>
      <c r="J2752" s="25"/>
      <c r="K2752" s="25"/>
      <c r="L2752" s="25"/>
      <c r="M2752" s="25"/>
      <c r="N2752" s="25"/>
      <c r="O2752" s="25"/>
      <c r="P2752" s="25"/>
    </row>
    <row r="2753" spans="1:16" x14ac:dyDescent="0.3">
      <c r="A2753" s="25"/>
      <c r="B2753" s="25"/>
      <c r="C2753" s="25"/>
      <c r="D2753" s="26"/>
      <c r="E2753" s="26"/>
      <c r="F2753" s="26"/>
      <c r="G2753" s="26"/>
      <c r="H2753" s="26"/>
      <c r="I2753" s="25"/>
      <c r="J2753" s="25"/>
      <c r="K2753" s="25"/>
      <c r="L2753" s="25"/>
      <c r="M2753" s="25"/>
      <c r="N2753" s="25"/>
      <c r="O2753" s="25"/>
      <c r="P2753" s="25"/>
    </row>
    <row r="2754" spans="1:16" x14ac:dyDescent="0.3">
      <c r="A2754" s="25"/>
      <c r="B2754" s="25"/>
      <c r="C2754" s="25"/>
      <c r="D2754" s="26"/>
      <c r="E2754" s="26"/>
      <c r="F2754" s="26"/>
      <c r="G2754" s="26"/>
      <c r="H2754" s="26"/>
      <c r="I2754" s="25"/>
      <c r="J2754" s="25"/>
      <c r="K2754" s="25"/>
      <c r="L2754" s="25"/>
      <c r="M2754" s="25"/>
      <c r="N2754" s="25"/>
      <c r="O2754" s="25"/>
      <c r="P2754" s="25"/>
    </row>
    <row r="2755" spans="1:16" x14ac:dyDescent="0.3">
      <c r="A2755" s="25"/>
      <c r="B2755" s="25"/>
      <c r="C2755" s="25"/>
      <c r="D2755" s="26"/>
      <c r="E2755" s="26"/>
      <c r="F2755" s="26"/>
      <c r="G2755" s="26"/>
      <c r="H2755" s="26"/>
      <c r="I2755" s="25"/>
      <c r="J2755" s="25"/>
      <c r="K2755" s="25"/>
      <c r="L2755" s="25"/>
      <c r="M2755" s="25"/>
      <c r="N2755" s="25"/>
      <c r="O2755" s="25"/>
      <c r="P2755" s="25"/>
    </row>
    <row r="2756" spans="1:16" x14ac:dyDescent="0.3">
      <c r="A2756" s="25"/>
      <c r="B2756" s="25"/>
      <c r="C2756" s="25"/>
      <c r="D2756" s="26"/>
      <c r="E2756" s="26"/>
      <c r="F2756" s="26"/>
      <c r="G2756" s="26"/>
      <c r="H2756" s="26"/>
      <c r="I2756" s="25"/>
      <c r="J2756" s="25"/>
      <c r="K2756" s="25"/>
      <c r="L2756" s="25"/>
      <c r="M2756" s="25"/>
      <c r="N2756" s="25"/>
      <c r="O2756" s="25"/>
      <c r="P2756" s="25"/>
    </row>
    <row r="2757" spans="1:16" x14ac:dyDescent="0.3">
      <c r="A2757" s="25"/>
      <c r="B2757" s="25"/>
      <c r="C2757" s="25"/>
      <c r="D2757" s="26"/>
      <c r="E2757" s="26"/>
      <c r="F2757" s="26"/>
      <c r="G2757" s="26"/>
      <c r="H2757" s="26"/>
      <c r="I2757" s="25"/>
      <c r="J2757" s="25"/>
      <c r="K2757" s="25"/>
      <c r="L2757" s="25"/>
      <c r="M2757" s="25"/>
      <c r="N2757" s="25"/>
      <c r="O2757" s="25"/>
      <c r="P2757" s="25"/>
    </row>
    <row r="2758" spans="1:16" x14ac:dyDescent="0.3">
      <c r="A2758" s="25"/>
      <c r="B2758" s="25"/>
      <c r="C2758" s="25"/>
      <c r="D2758" s="26"/>
      <c r="E2758" s="26"/>
      <c r="F2758" s="26"/>
      <c r="G2758" s="26"/>
      <c r="H2758" s="26"/>
      <c r="I2758" s="25"/>
      <c r="J2758" s="25"/>
      <c r="K2758" s="25"/>
      <c r="L2758" s="25"/>
      <c r="M2758" s="25"/>
      <c r="N2758" s="25"/>
      <c r="O2758" s="25"/>
      <c r="P2758" s="25"/>
    </row>
    <row r="2759" spans="1:16" x14ac:dyDescent="0.3">
      <c r="A2759" s="25"/>
      <c r="B2759" s="25"/>
      <c r="C2759" s="25"/>
      <c r="D2759" s="26"/>
      <c r="E2759" s="26"/>
      <c r="F2759" s="26"/>
      <c r="G2759" s="26"/>
      <c r="H2759" s="26"/>
      <c r="I2759" s="25"/>
      <c r="J2759" s="25"/>
      <c r="K2759" s="25"/>
      <c r="L2759" s="25"/>
      <c r="M2759" s="25"/>
      <c r="N2759" s="25"/>
      <c r="O2759" s="25"/>
      <c r="P2759" s="25"/>
    </row>
    <row r="2760" spans="1:16" x14ac:dyDescent="0.3">
      <c r="A2760" s="25"/>
      <c r="B2760" s="25"/>
      <c r="C2760" s="25"/>
      <c r="D2760" s="26"/>
      <c r="E2760" s="26"/>
      <c r="F2760" s="26"/>
      <c r="G2760" s="26"/>
      <c r="H2760" s="26"/>
      <c r="I2760" s="25"/>
      <c r="J2760" s="25"/>
      <c r="K2760" s="25"/>
      <c r="L2760" s="25"/>
      <c r="M2760" s="25"/>
      <c r="N2760" s="25"/>
      <c r="O2760" s="25"/>
      <c r="P2760" s="25"/>
    </row>
    <row r="2761" spans="1:16" x14ac:dyDescent="0.3">
      <c r="A2761" s="25"/>
      <c r="B2761" s="25"/>
      <c r="C2761" s="25"/>
      <c r="D2761" s="26"/>
      <c r="E2761" s="26"/>
      <c r="F2761" s="26"/>
      <c r="G2761" s="26"/>
      <c r="H2761" s="26"/>
      <c r="I2761" s="25"/>
      <c r="J2761" s="25"/>
      <c r="K2761" s="25"/>
      <c r="L2761" s="25"/>
      <c r="M2761" s="25"/>
      <c r="N2761" s="25"/>
      <c r="O2761" s="25"/>
      <c r="P2761" s="25"/>
    </row>
    <row r="2762" spans="1:16" x14ac:dyDescent="0.3">
      <c r="A2762" s="25"/>
      <c r="B2762" s="25"/>
      <c r="C2762" s="25"/>
      <c r="D2762" s="26"/>
      <c r="E2762" s="26"/>
      <c r="F2762" s="26"/>
      <c r="G2762" s="26"/>
      <c r="H2762" s="26"/>
      <c r="I2762" s="25"/>
      <c r="J2762" s="25"/>
      <c r="K2762" s="25"/>
      <c r="L2762" s="25"/>
      <c r="M2762" s="25"/>
      <c r="N2762" s="25"/>
      <c r="O2762" s="25"/>
      <c r="P2762" s="25"/>
    </row>
    <row r="2763" spans="1:16" x14ac:dyDescent="0.3">
      <c r="A2763" s="25"/>
      <c r="B2763" s="25"/>
      <c r="C2763" s="25"/>
      <c r="D2763" s="26"/>
      <c r="E2763" s="26"/>
      <c r="F2763" s="26"/>
      <c r="G2763" s="26"/>
      <c r="H2763" s="26"/>
      <c r="I2763" s="25"/>
      <c r="J2763" s="25"/>
      <c r="K2763" s="25"/>
      <c r="L2763" s="25"/>
      <c r="M2763" s="25"/>
      <c r="N2763" s="25"/>
      <c r="O2763" s="25"/>
      <c r="P2763" s="25"/>
    </row>
    <row r="2764" spans="1:16" x14ac:dyDescent="0.3">
      <c r="A2764" s="25"/>
      <c r="B2764" s="25"/>
      <c r="C2764" s="25"/>
      <c r="D2764" s="26"/>
      <c r="E2764" s="26"/>
      <c r="F2764" s="26"/>
      <c r="G2764" s="26"/>
      <c r="H2764" s="26"/>
      <c r="I2764" s="25"/>
      <c r="J2764" s="25"/>
      <c r="K2764" s="25"/>
      <c r="L2764" s="25"/>
      <c r="M2764" s="25"/>
      <c r="N2764" s="25"/>
      <c r="O2764" s="25"/>
      <c r="P2764" s="25"/>
    </row>
    <row r="2765" spans="1:16" x14ac:dyDescent="0.3">
      <c r="A2765" s="25"/>
      <c r="B2765" s="25"/>
      <c r="C2765" s="25"/>
      <c r="D2765" s="26"/>
      <c r="E2765" s="26"/>
      <c r="F2765" s="26"/>
      <c r="G2765" s="26"/>
      <c r="H2765" s="26"/>
      <c r="I2765" s="25"/>
      <c r="J2765" s="25"/>
      <c r="K2765" s="25"/>
      <c r="L2765" s="25"/>
      <c r="M2765" s="25"/>
      <c r="N2765" s="25"/>
      <c r="O2765" s="25"/>
      <c r="P2765" s="25"/>
    </row>
    <row r="2766" spans="1:16" x14ac:dyDescent="0.3">
      <c r="A2766" s="25"/>
      <c r="B2766" s="25"/>
      <c r="C2766" s="25"/>
      <c r="D2766" s="26"/>
      <c r="E2766" s="26"/>
      <c r="F2766" s="26"/>
      <c r="G2766" s="26"/>
      <c r="H2766" s="26"/>
      <c r="I2766" s="25"/>
      <c r="J2766" s="25"/>
      <c r="K2766" s="25"/>
      <c r="L2766" s="25"/>
      <c r="M2766" s="25"/>
      <c r="N2766" s="25"/>
      <c r="O2766" s="25"/>
      <c r="P2766" s="25"/>
    </row>
    <row r="2767" spans="1:16" x14ac:dyDescent="0.3">
      <c r="A2767" s="25"/>
      <c r="B2767" s="25"/>
      <c r="C2767" s="25"/>
      <c r="D2767" s="26"/>
      <c r="E2767" s="26"/>
      <c r="F2767" s="26"/>
      <c r="G2767" s="26"/>
      <c r="H2767" s="26"/>
      <c r="I2767" s="25"/>
      <c r="J2767" s="25"/>
      <c r="K2767" s="25"/>
      <c r="L2767" s="25"/>
      <c r="M2767" s="25"/>
      <c r="N2767" s="25"/>
      <c r="O2767" s="25"/>
      <c r="P2767" s="25"/>
    </row>
    <row r="2768" spans="1:16" x14ac:dyDescent="0.3">
      <c r="A2768" s="25"/>
      <c r="B2768" s="25"/>
      <c r="C2768" s="25"/>
      <c r="D2768" s="26"/>
      <c r="E2768" s="26"/>
      <c r="F2768" s="26"/>
      <c r="G2768" s="26"/>
      <c r="H2768" s="26"/>
      <c r="I2768" s="25"/>
      <c r="J2768" s="25"/>
      <c r="K2768" s="25"/>
      <c r="L2768" s="25"/>
      <c r="M2768" s="25"/>
      <c r="N2768" s="25"/>
      <c r="O2768" s="25"/>
      <c r="P2768" s="25"/>
    </row>
    <row r="2769" spans="1:16" x14ac:dyDescent="0.3">
      <c r="A2769" s="25"/>
      <c r="B2769" s="25"/>
      <c r="C2769" s="25"/>
      <c r="D2769" s="26"/>
      <c r="E2769" s="26"/>
      <c r="F2769" s="26"/>
      <c r="G2769" s="26"/>
      <c r="H2769" s="26"/>
      <c r="I2769" s="25"/>
      <c r="J2769" s="25"/>
      <c r="K2769" s="25"/>
      <c r="L2769" s="25"/>
      <c r="M2769" s="25"/>
      <c r="N2769" s="25"/>
      <c r="O2769" s="25"/>
      <c r="P2769" s="25"/>
    </row>
    <row r="2770" spans="1:16" x14ac:dyDescent="0.3">
      <c r="A2770" s="25"/>
      <c r="B2770" s="25"/>
      <c r="C2770" s="25"/>
      <c r="D2770" s="26"/>
      <c r="E2770" s="26"/>
      <c r="F2770" s="26"/>
      <c r="G2770" s="26"/>
      <c r="H2770" s="26"/>
      <c r="I2770" s="25"/>
      <c r="J2770" s="25"/>
      <c r="K2770" s="25"/>
      <c r="L2770" s="25"/>
      <c r="M2770" s="25"/>
      <c r="N2770" s="25"/>
      <c r="O2770" s="25"/>
      <c r="P2770" s="25"/>
    </row>
    <row r="2771" spans="1:16" x14ac:dyDescent="0.3">
      <c r="A2771" s="25"/>
      <c r="B2771" s="25"/>
      <c r="C2771" s="25"/>
      <c r="D2771" s="26"/>
      <c r="E2771" s="26"/>
      <c r="F2771" s="26"/>
      <c r="G2771" s="26"/>
      <c r="H2771" s="26"/>
      <c r="I2771" s="25"/>
      <c r="J2771" s="25"/>
      <c r="K2771" s="25"/>
      <c r="L2771" s="25"/>
      <c r="M2771" s="25"/>
      <c r="N2771" s="25"/>
      <c r="O2771" s="25"/>
      <c r="P2771" s="25"/>
    </row>
    <row r="2772" spans="1:16" x14ac:dyDescent="0.3">
      <c r="A2772" s="25"/>
      <c r="B2772" s="25"/>
      <c r="C2772" s="25"/>
      <c r="D2772" s="26"/>
      <c r="E2772" s="26"/>
      <c r="F2772" s="26"/>
      <c r="G2772" s="26"/>
      <c r="H2772" s="26"/>
      <c r="I2772" s="25"/>
      <c r="J2772" s="25"/>
      <c r="K2772" s="25"/>
      <c r="L2772" s="25"/>
      <c r="M2772" s="25"/>
      <c r="N2772" s="25"/>
      <c r="O2772" s="25"/>
      <c r="P2772" s="25"/>
    </row>
    <row r="2773" spans="1:16" x14ac:dyDescent="0.3">
      <c r="A2773" s="25"/>
      <c r="B2773" s="25"/>
      <c r="C2773" s="25"/>
      <c r="D2773" s="26"/>
      <c r="E2773" s="26"/>
      <c r="F2773" s="26"/>
      <c r="G2773" s="26"/>
      <c r="H2773" s="26"/>
      <c r="I2773" s="25"/>
      <c r="J2773" s="25"/>
      <c r="K2773" s="25"/>
      <c r="L2773" s="25"/>
      <c r="M2773" s="25"/>
      <c r="N2773" s="25"/>
      <c r="O2773" s="25"/>
      <c r="P2773" s="25"/>
    </row>
    <row r="2774" spans="1:16" x14ac:dyDescent="0.3">
      <c r="A2774" s="25"/>
      <c r="B2774" s="25"/>
      <c r="C2774" s="25"/>
      <c r="D2774" s="26"/>
      <c r="E2774" s="26"/>
      <c r="F2774" s="26"/>
      <c r="G2774" s="26"/>
      <c r="H2774" s="26"/>
      <c r="I2774" s="25"/>
      <c r="J2774" s="25"/>
      <c r="K2774" s="25"/>
      <c r="L2774" s="25"/>
      <c r="M2774" s="25"/>
      <c r="N2774" s="25"/>
      <c r="O2774" s="25"/>
      <c r="P2774" s="25"/>
    </row>
    <row r="2775" spans="1:16" x14ac:dyDescent="0.3">
      <c r="A2775" s="25"/>
      <c r="B2775" s="25"/>
      <c r="C2775" s="25"/>
      <c r="D2775" s="26"/>
      <c r="E2775" s="26"/>
      <c r="F2775" s="26"/>
      <c r="G2775" s="26"/>
      <c r="H2775" s="26"/>
      <c r="I2775" s="25"/>
      <c r="J2775" s="25"/>
      <c r="K2775" s="25"/>
      <c r="L2775" s="25"/>
      <c r="M2775" s="25"/>
      <c r="N2775" s="25"/>
      <c r="O2775" s="25"/>
      <c r="P2775" s="25"/>
    </row>
    <row r="2776" spans="1:16" x14ac:dyDescent="0.3">
      <c r="A2776" s="25"/>
      <c r="B2776" s="25"/>
      <c r="C2776" s="25"/>
      <c r="D2776" s="26"/>
      <c r="E2776" s="26"/>
      <c r="F2776" s="26"/>
      <c r="G2776" s="26"/>
      <c r="H2776" s="26"/>
      <c r="I2776" s="25"/>
      <c r="J2776" s="25"/>
      <c r="K2776" s="25"/>
      <c r="L2776" s="25"/>
      <c r="M2776" s="25"/>
      <c r="N2776" s="25"/>
      <c r="O2776" s="25"/>
      <c r="P2776" s="25"/>
    </row>
    <row r="2777" spans="1:16" x14ac:dyDescent="0.3">
      <c r="A2777" s="25"/>
      <c r="B2777" s="25"/>
      <c r="C2777" s="25"/>
      <c r="D2777" s="26"/>
      <c r="E2777" s="26"/>
      <c r="F2777" s="26"/>
      <c r="G2777" s="26"/>
      <c r="H2777" s="26"/>
      <c r="I2777" s="25"/>
      <c r="J2777" s="25"/>
      <c r="K2777" s="25"/>
      <c r="L2777" s="25"/>
      <c r="M2777" s="25"/>
      <c r="N2777" s="25"/>
      <c r="O2777" s="25"/>
      <c r="P2777" s="25"/>
    </row>
    <row r="2778" spans="1:16" x14ac:dyDescent="0.3">
      <c r="A2778" s="25"/>
      <c r="B2778" s="25"/>
      <c r="C2778" s="25"/>
      <c r="D2778" s="26"/>
      <c r="E2778" s="26"/>
      <c r="F2778" s="26"/>
      <c r="G2778" s="26"/>
      <c r="H2778" s="26"/>
      <c r="I2778" s="25"/>
      <c r="J2778" s="25"/>
      <c r="K2778" s="25"/>
      <c r="L2778" s="25"/>
      <c r="M2778" s="25"/>
      <c r="N2778" s="25"/>
      <c r="O2778" s="25"/>
      <c r="P2778" s="25"/>
    </row>
    <row r="2779" spans="1:16" x14ac:dyDescent="0.3">
      <c r="A2779" s="25"/>
      <c r="B2779" s="25"/>
      <c r="C2779" s="25"/>
      <c r="D2779" s="26"/>
      <c r="E2779" s="26"/>
      <c r="F2779" s="26"/>
      <c r="G2779" s="26"/>
      <c r="H2779" s="26"/>
      <c r="I2779" s="25"/>
      <c r="J2779" s="25"/>
      <c r="K2779" s="25"/>
      <c r="L2779" s="25"/>
      <c r="M2779" s="25"/>
      <c r="N2779" s="25"/>
      <c r="O2779" s="25"/>
      <c r="P2779" s="25"/>
    </row>
    <row r="2780" spans="1:16" x14ac:dyDescent="0.3">
      <c r="A2780" s="25"/>
      <c r="B2780" s="25"/>
      <c r="C2780" s="25"/>
      <c r="D2780" s="26"/>
      <c r="E2780" s="26"/>
      <c r="F2780" s="26"/>
      <c r="G2780" s="26"/>
      <c r="H2780" s="26"/>
      <c r="I2780" s="25"/>
      <c r="J2780" s="25"/>
      <c r="K2780" s="25"/>
      <c r="L2780" s="25"/>
      <c r="M2780" s="25"/>
      <c r="N2780" s="25"/>
      <c r="O2780" s="25"/>
      <c r="P2780" s="25"/>
    </row>
    <row r="2781" spans="1:16" x14ac:dyDescent="0.3">
      <c r="A2781" s="25"/>
      <c r="B2781" s="25"/>
      <c r="C2781" s="25"/>
      <c r="D2781" s="26"/>
      <c r="E2781" s="26"/>
      <c r="F2781" s="26"/>
      <c r="G2781" s="26"/>
      <c r="H2781" s="26"/>
      <c r="I2781" s="25"/>
      <c r="J2781" s="25"/>
      <c r="K2781" s="25"/>
      <c r="L2781" s="25"/>
      <c r="M2781" s="25"/>
      <c r="N2781" s="25"/>
      <c r="O2781" s="25"/>
      <c r="P2781" s="25"/>
    </row>
    <row r="2782" spans="1:16" x14ac:dyDescent="0.3">
      <c r="A2782" s="25"/>
      <c r="B2782" s="25"/>
      <c r="C2782" s="25"/>
      <c r="D2782" s="26"/>
      <c r="E2782" s="26"/>
      <c r="F2782" s="26"/>
      <c r="G2782" s="26"/>
      <c r="H2782" s="26"/>
      <c r="I2782" s="25"/>
      <c r="J2782" s="25"/>
      <c r="K2782" s="25"/>
      <c r="L2782" s="25"/>
      <c r="M2782" s="25"/>
      <c r="N2782" s="25"/>
      <c r="O2782" s="25"/>
      <c r="P2782" s="25"/>
    </row>
    <row r="2783" spans="1:16" x14ac:dyDescent="0.3">
      <c r="A2783" s="25"/>
      <c r="B2783" s="25"/>
      <c r="C2783" s="25"/>
      <c r="D2783" s="26"/>
      <c r="E2783" s="26"/>
      <c r="F2783" s="26"/>
      <c r="G2783" s="26"/>
      <c r="H2783" s="26"/>
      <c r="I2783" s="25"/>
      <c r="J2783" s="25"/>
      <c r="K2783" s="25"/>
      <c r="L2783" s="25"/>
      <c r="M2783" s="25"/>
      <c r="N2783" s="25"/>
      <c r="O2783" s="25"/>
      <c r="P2783" s="25"/>
    </row>
    <row r="2784" spans="1:16" x14ac:dyDescent="0.3">
      <c r="A2784" s="25"/>
      <c r="B2784" s="25"/>
      <c r="C2784" s="25"/>
      <c r="D2784" s="26"/>
      <c r="E2784" s="26"/>
      <c r="F2784" s="26"/>
      <c r="G2784" s="26"/>
      <c r="H2784" s="26"/>
      <c r="I2784" s="25"/>
      <c r="J2784" s="25"/>
      <c r="K2784" s="25"/>
      <c r="L2784" s="25"/>
      <c r="M2784" s="25"/>
      <c r="N2784" s="25"/>
      <c r="O2784" s="25"/>
      <c r="P2784" s="25"/>
    </row>
    <row r="2785" spans="1:16" x14ac:dyDescent="0.3">
      <c r="A2785" s="25"/>
      <c r="B2785" s="25"/>
      <c r="C2785" s="25"/>
      <c r="D2785" s="26"/>
      <c r="E2785" s="26"/>
      <c r="F2785" s="26"/>
      <c r="G2785" s="26"/>
      <c r="H2785" s="26"/>
      <c r="I2785" s="25"/>
      <c r="J2785" s="25"/>
      <c r="K2785" s="25"/>
      <c r="L2785" s="25"/>
      <c r="M2785" s="25"/>
      <c r="N2785" s="25"/>
      <c r="O2785" s="25"/>
      <c r="P2785" s="25"/>
    </row>
    <row r="2786" spans="1:16" x14ac:dyDescent="0.3">
      <c r="A2786" s="25"/>
      <c r="B2786" s="25"/>
      <c r="C2786" s="25"/>
      <c r="D2786" s="26"/>
      <c r="E2786" s="26"/>
      <c r="F2786" s="26"/>
      <c r="G2786" s="26"/>
      <c r="H2786" s="26"/>
      <c r="I2786" s="25"/>
      <c r="J2786" s="25"/>
      <c r="K2786" s="25"/>
      <c r="L2786" s="25"/>
      <c r="M2786" s="25"/>
      <c r="N2786" s="25"/>
      <c r="O2786" s="25"/>
      <c r="P2786" s="25"/>
    </row>
    <row r="2787" spans="1:16" x14ac:dyDescent="0.3">
      <c r="A2787" s="25"/>
      <c r="B2787" s="25"/>
      <c r="C2787" s="25"/>
      <c r="D2787" s="26"/>
      <c r="E2787" s="26"/>
      <c r="F2787" s="26"/>
      <c r="G2787" s="26"/>
      <c r="H2787" s="26"/>
      <c r="I2787" s="25"/>
      <c r="J2787" s="25"/>
      <c r="K2787" s="25"/>
      <c r="L2787" s="25"/>
      <c r="M2787" s="25"/>
      <c r="N2787" s="25"/>
      <c r="O2787" s="25"/>
      <c r="P2787" s="25"/>
    </row>
    <row r="2788" spans="1:16" x14ac:dyDescent="0.3">
      <c r="A2788" s="25"/>
      <c r="B2788" s="25"/>
      <c r="C2788" s="25"/>
      <c r="D2788" s="26"/>
      <c r="E2788" s="26"/>
      <c r="F2788" s="26"/>
      <c r="G2788" s="26"/>
      <c r="H2788" s="26"/>
      <c r="I2788" s="25"/>
      <c r="J2788" s="25"/>
      <c r="K2788" s="25"/>
      <c r="L2788" s="25"/>
      <c r="M2788" s="25"/>
      <c r="N2788" s="25"/>
      <c r="O2788" s="25"/>
      <c r="P2788" s="25"/>
    </row>
    <row r="2789" spans="1:16" x14ac:dyDescent="0.3">
      <c r="A2789" s="25"/>
      <c r="B2789" s="25"/>
      <c r="C2789" s="25"/>
      <c r="D2789" s="26"/>
      <c r="E2789" s="26"/>
      <c r="F2789" s="26"/>
      <c r="G2789" s="26"/>
      <c r="H2789" s="26"/>
      <c r="I2789" s="25"/>
      <c r="J2789" s="25"/>
      <c r="K2789" s="25"/>
      <c r="L2789" s="25"/>
      <c r="M2789" s="25"/>
      <c r="N2789" s="25"/>
      <c r="O2789" s="25"/>
      <c r="P2789" s="25"/>
    </row>
    <row r="2790" spans="1:16" x14ac:dyDescent="0.3">
      <c r="A2790" s="25"/>
      <c r="B2790" s="25"/>
      <c r="C2790" s="25"/>
      <c r="D2790" s="26"/>
      <c r="E2790" s="26"/>
      <c r="F2790" s="26"/>
      <c r="G2790" s="26"/>
      <c r="H2790" s="26"/>
      <c r="I2790" s="25"/>
      <c r="J2790" s="25"/>
      <c r="K2790" s="25"/>
      <c r="L2790" s="25"/>
      <c r="M2790" s="25"/>
      <c r="N2790" s="25"/>
      <c r="O2790" s="25"/>
      <c r="P2790" s="25"/>
    </row>
    <row r="2791" spans="1:16" x14ac:dyDescent="0.3">
      <c r="A2791" s="25"/>
      <c r="B2791" s="25"/>
      <c r="C2791" s="25"/>
      <c r="D2791" s="26"/>
      <c r="E2791" s="26"/>
      <c r="F2791" s="26"/>
      <c r="G2791" s="26"/>
      <c r="H2791" s="26"/>
      <c r="I2791" s="25"/>
      <c r="J2791" s="25"/>
      <c r="K2791" s="25"/>
      <c r="L2791" s="25"/>
      <c r="M2791" s="25"/>
      <c r="N2791" s="25"/>
      <c r="O2791" s="25"/>
      <c r="P2791" s="25"/>
    </row>
    <row r="2792" spans="1:16" x14ac:dyDescent="0.3">
      <c r="A2792" s="25"/>
      <c r="B2792" s="25"/>
      <c r="C2792" s="25"/>
      <c r="D2792" s="26"/>
      <c r="E2792" s="26"/>
      <c r="F2792" s="26"/>
      <c r="G2792" s="26"/>
      <c r="H2792" s="26"/>
      <c r="I2792" s="25"/>
      <c r="J2792" s="25"/>
      <c r="K2792" s="25"/>
      <c r="L2792" s="25"/>
      <c r="M2792" s="25"/>
      <c r="N2792" s="25"/>
      <c r="O2792" s="25"/>
      <c r="P2792" s="25"/>
    </row>
    <row r="2793" spans="1:16" x14ac:dyDescent="0.3">
      <c r="A2793" s="25"/>
      <c r="B2793" s="25"/>
      <c r="C2793" s="25"/>
      <c r="D2793" s="26"/>
      <c r="E2793" s="26"/>
      <c r="F2793" s="26"/>
      <c r="G2793" s="26"/>
      <c r="H2793" s="26"/>
      <c r="I2793" s="25"/>
      <c r="J2793" s="25"/>
      <c r="K2793" s="25"/>
      <c r="L2793" s="25"/>
      <c r="M2793" s="25"/>
      <c r="N2793" s="25"/>
      <c r="O2793" s="25"/>
      <c r="P2793" s="25"/>
    </row>
    <row r="2794" spans="1:16" x14ac:dyDescent="0.3">
      <c r="A2794" s="25"/>
      <c r="B2794" s="25"/>
      <c r="C2794" s="25"/>
      <c r="D2794" s="26"/>
      <c r="E2794" s="26"/>
      <c r="F2794" s="26"/>
      <c r="G2794" s="26"/>
      <c r="H2794" s="26"/>
      <c r="I2794" s="25"/>
      <c r="J2794" s="25"/>
      <c r="K2794" s="25"/>
      <c r="L2794" s="25"/>
      <c r="M2794" s="25"/>
      <c r="N2794" s="25"/>
      <c r="O2794" s="25"/>
      <c r="P2794" s="25"/>
    </row>
    <row r="2795" spans="1:16" x14ac:dyDescent="0.3">
      <c r="A2795" s="25"/>
      <c r="B2795" s="25"/>
      <c r="C2795" s="25"/>
      <c r="D2795" s="26"/>
      <c r="E2795" s="26"/>
      <c r="F2795" s="26"/>
      <c r="G2795" s="26"/>
      <c r="H2795" s="26"/>
      <c r="I2795" s="25"/>
      <c r="J2795" s="25"/>
      <c r="K2795" s="25"/>
      <c r="L2795" s="25"/>
      <c r="M2795" s="25"/>
      <c r="N2795" s="25"/>
      <c r="O2795" s="25"/>
      <c r="P2795" s="25"/>
    </row>
    <row r="2796" spans="1:16" x14ac:dyDescent="0.3">
      <c r="A2796" s="25"/>
      <c r="B2796" s="25"/>
      <c r="C2796" s="25"/>
      <c r="D2796" s="26"/>
      <c r="E2796" s="26"/>
      <c r="F2796" s="26"/>
      <c r="G2796" s="26"/>
      <c r="H2796" s="26"/>
      <c r="I2796" s="25"/>
      <c r="J2796" s="25"/>
      <c r="K2796" s="25"/>
      <c r="L2796" s="25"/>
      <c r="M2796" s="25"/>
      <c r="N2796" s="25"/>
      <c r="O2796" s="25"/>
      <c r="P2796" s="25"/>
    </row>
    <row r="2797" spans="1:16" x14ac:dyDescent="0.3">
      <c r="A2797" s="25"/>
      <c r="B2797" s="25"/>
      <c r="C2797" s="25"/>
      <c r="D2797" s="26"/>
      <c r="E2797" s="26"/>
      <c r="F2797" s="26"/>
      <c r="G2797" s="26"/>
      <c r="H2797" s="26"/>
      <c r="I2797" s="25"/>
      <c r="J2797" s="25"/>
      <c r="K2797" s="25"/>
      <c r="L2797" s="25"/>
      <c r="M2797" s="25"/>
      <c r="N2797" s="25"/>
      <c r="O2797" s="25"/>
      <c r="P2797" s="25"/>
    </row>
    <row r="2798" spans="1:16" x14ac:dyDescent="0.3">
      <c r="A2798" s="25"/>
      <c r="B2798" s="25"/>
      <c r="C2798" s="25"/>
      <c r="D2798" s="26"/>
      <c r="E2798" s="26"/>
      <c r="F2798" s="26"/>
      <c r="G2798" s="26"/>
      <c r="H2798" s="26"/>
      <c r="I2798" s="25"/>
      <c r="J2798" s="25"/>
      <c r="K2798" s="25"/>
      <c r="L2798" s="25"/>
      <c r="M2798" s="25"/>
      <c r="N2798" s="25"/>
      <c r="O2798" s="25"/>
      <c r="P2798" s="25"/>
    </row>
    <row r="2799" spans="1:16" x14ac:dyDescent="0.3">
      <c r="A2799" s="25"/>
      <c r="B2799" s="25"/>
      <c r="C2799" s="25"/>
      <c r="D2799" s="26"/>
      <c r="E2799" s="26"/>
      <c r="F2799" s="26"/>
      <c r="G2799" s="26"/>
      <c r="H2799" s="26"/>
      <c r="I2799" s="25"/>
      <c r="J2799" s="25"/>
      <c r="K2799" s="25"/>
      <c r="L2799" s="25"/>
      <c r="M2799" s="25"/>
      <c r="N2799" s="25"/>
      <c r="O2799" s="25"/>
      <c r="P2799" s="25"/>
    </row>
    <row r="2800" spans="1:16" x14ac:dyDescent="0.3">
      <c r="A2800" s="25"/>
      <c r="B2800" s="25"/>
      <c r="C2800" s="25"/>
      <c r="D2800" s="26"/>
      <c r="E2800" s="26"/>
      <c r="F2800" s="26"/>
      <c r="G2800" s="26"/>
      <c r="H2800" s="26"/>
      <c r="I2800" s="25"/>
      <c r="J2800" s="25"/>
      <c r="K2800" s="25"/>
      <c r="L2800" s="25"/>
      <c r="M2800" s="25"/>
      <c r="N2800" s="25"/>
      <c r="O2800" s="25"/>
      <c r="P2800" s="25"/>
    </row>
    <row r="2801" spans="1:16" x14ac:dyDescent="0.3">
      <c r="A2801" s="25"/>
      <c r="B2801" s="25"/>
      <c r="C2801" s="25"/>
      <c r="D2801" s="26"/>
      <c r="E2801" s="26"/>
      <c r="F2801" s="26"/>
      <c r="G2801" s="26"/>
      <c r="H2801" s="26"/>
      <c r="I2801" s="25"/>
      <c r="J2801" s="25"/>
      <c r="K2801" s="25"/>
      <c r="L2801" s="25"/>
      <c r="M2801" s="25"/>
      <c r="N2801" s="25"/>
      <c r="O2801" s="25"/>
      <c r="P2801" s="25"/>
    </row>
    <row r="2802" spans="1:16" x14ac:dyDescent="0.3">
      <c r="A2802" s="25"/>
      <c r="B2802" s="25"/>
      <c r="C2802" s="25"/>
      <c r="D2802" s="26"/>
      <c r="E2802" s="26"/>
      <c r="F2802" s="26"/>
      <c r="G2802" s="26"/>
      <c r="H2802" s="26"/>
      <c r="I2802" s="25"/>
      <c r="J2802" s="25"/>
      <c r="K2802" s="25"/>
      <c r="L2802" s="25"/>
      <c r="M2802" s="25"/>
      <c r="N2802" s="25"/>
      <c r="O2802" s="25"/>
      <c r="P2802" s="25"/>
    </row>
    <row r="2803" spans="1:16" x14ac:dyDescent="0.3">
      <c r="A2803" s="25"/>
      <c r="B2803" s="25"/>
      <c r="C2803" s="25"/>
      <c r="D2803" s="26"/>
      <c r="E2803" s="26"/>
      <c r="F2803" s="26"/>
      <c r="G2803" s="26"/>
      <c r="H2803" s="26"/>
      <c r="I2803" s="25"/>
      <c r="J2803" s="25"/>
      <c r="K2803" s="25"/>
      <c r="L2803" s="25"/>
      <c r="M2803" s="25"/>
      <c r="N2803" s="25"/>
      <c r="O2803" s="25"/>
      <c r="P2803" s="25"/>
    </row>
    <row r="2804" spans="1:16" x14ac:dyDescent="0.3">
      <c r="A2804" s="25"/>
      <c r="B2804" s="25"/>
      <c r="C2804" s="25"/>
      <c r="D2804" s="26"/>
      <c r="E2804" s="26"/>
      <c r="F2804" s="26"/>
      <c r="G2804" s="26"/>
      <c r="H2804" s="26"/>
      <c r="I2804" s="25"/>
      <c r="J2804" s="25"/>
      <c r="K2804" s="25"/>
      <c r="L2804" s="25"/>
      <c r="M2804" s="25"/>
      <c r="N2804" s="25"/>
      <c r="O2804" s="25"/>
      <c r="P2804" s="25"/>
    </row>
    <row r="2805" spans="1:16" x14ac:dyDescent="0.3">
      <c r="A2805" s="25"/>
      <c r="B2805" s="25"/>
      <c r="C2805" s="25"/>
      <c r="D2805" s="26"/>
      <c r="E2805" s="26"/>
      <c r="F2805" s="26"/>
      <c r="G2805" s="26"/>
      <c r="H2805" s="26"/>
      <c r="I2805" s="25"/>
      <c r="J2805" s="25"/>
      <c r="K2805" s="25"/>
      <c r="L2805" s="25"/>
      <c r="M2805" s="25"/>
      <c r="N2805" s="25"/>
      <c r="O2805" s="25"/>
      <c r="P2805" s="25"/>
    </row>
    <row r="2806" spans="1:16" x14ac:dyDescent="0.3">
      <c r="A2806" s="25"/>
      <c r="B2806" s="25"/>
      <c r="C2806" s="25"/>
      <c r="D2806" s="26"/>
      <c r="E2806" s="26"/>
      <c r="F2806" s="26"/>
      <c r="G2806" s="26"/>
      <c r="H2806" s="26"/>
      <c r="I2806" s="25"/>
      <c r="J2806" s="25"/>
      <c r="K2806" s="25"/>
      <c r="L2806" s="25"/>
      <c r="M2806" s="25"/>
      <c r="N2806" s="25"/>
      <c r="O2806" s="25"/>
      <c r="P2806" s="25"/>
    </row>
    <row r="2807" spans="1:16" x14ac:dyDescent="0.3">
      <c r="A2807" s="25"/>
      <c r="B2807" s="25"/>
      <c r="C2807" s="25"/>
      <c r="D2807" s="26"/>
      <c r="E2807" s="26"/>
      <c r="F2807" s="26"/>
      <c r="G2807" s="26"/>
      <c r="H2807" s="26"/>
      <c r="I2807" s="25"/>
      <c r="J2807" s="25"/>
      <c r="K2807" s="25"/>
      <c r="L2807" s="25"/>
      <c r="M2807" s="25"/>
      <c r="N2807" s="25"/>
      <c r="O2807" s="25"/>
      <c r="P2807" s="25"/>
    </row>
    <row r="2808" spans="1:16" x14ac:dyDescent="0.3">
      <c r="A2808" s="25"/>
      <c r="B2808" s="25"/>
      <c r="C2808" s="25"/>
      <c r="D2808" s="26"/>
      <c r="E2808" s="26"/>
      <c r="F2808" s="26"/>
      <c r="G2808" s="26"/>
      <c r="H2808" s="26"/>
      <c r="I2808" s="25"/>
      <c r="J2808" s="25"/>
      <c r="K2808" s="25"/>
      <c r="L2808" s="25"/>
      <c r="M2808" s="25"/>
      <c r="N2808" s="25"/>
      <c r="O2808" s="25"/>
      <c r="P2808" s="25"/>
    </row>
    <row r="2809" spans="1:16" x14ac:dyDescent="0.3">
      <c r="A2809" s="25"/>
      <c r="B2809" s="25"/>
      <c r="C2809" s="25"/>
      <c r="D2809" s="26"/>
      <c r="E2809" s="26"/>
      <c r="F2809" s="26"/>
      <c r="G2809" s="26"/>
      <c r="H2809" s="26"/>
      <c r="I2809" s="25"/>
      <c r="J2809" s="25"/>
      <c r="K2809" s="25"/>
      <c r="L2809" s="25"/>
      <c r="M2809" s="25"/>
      <c r="N2809" s="25"/>
      <c r="O2809" s="25"/>
      <c r="P2809" s="25"/>
    </row>
    <row r="2810" spans="1:16" x14ac:dyDescent="0.3">
      <c r="A2810" s="25"/>
      <c r="B2810" s="25"/>
      <c r="C2810" s="25"/>
      <c r="D2810" s="26"/>
      <c r="E2810" s="26"/>
      <c r="F2810" s="26"/>
      <c r="G2810" s="26"/>
      <c r="H2810" s="26"/>
      <c r="I2810" s="25"/>
      <c r="J2810" s="25"/>
      <c r="K2810" s="25"/>
      <c r="L2810" s="25"/>
      <c r="M2810" s="25"/>
      <c r="N2810" s="25"/>
      <c r="O2810" s="25"/>
      <c r="P2810" s="25"/>
    </row>
    <row r="2811" spans="1:16" x14ac:dyDescent="0.3">
      <c r="A2811" s="25"/>
      <c r="B2811" s="25"/>
      <c r="C2811" s="25"/>
      <c r="D2811" s="26"/>
      <c r="E2811" s="26"/>
      <c r="F2811" s="26"/>
      <c r="G2811" s="26"/>
      <c r="H2811" s="26"/>
      <c r="I2811" s="25"/>
      <c r="J2811" s="25"/>
      <c r="K2811" s="25"/>
      <c r="L2811" s="25"/>
      <c r="M2811" s="25"/>
      <c r="N2811" s="25"/>
      <c r="O2811" s="25"/>
      <c r="P2811" s="25"/>
    </row>
    <row r="2812" spans="1:16" x14ac:dyDescent="0.3">
      <c r="A2812" s="25"/>
      <c r="B2812" s="25"/>
      <c r="C2812" s="25"/>
      <c r="D2812" s="26"/>
      <c r="E2812" s="26"/>
      <c r="F2812" s="26"/>
      <c r="G2812" s="26"/>
      <c r="H2812" s="26"/>
      <c r="I2812" s="25"/>
      <c r="J2812" s="25"/>
      <c r="K2812" s="25"/>
      <c r="L2812" s="25"/>
      <c r="M2812" s="25"/>
      <c r="N2812" s="25"/>
      <c r="O2812" s="25"/>
      <c r="P2812" s="25"/>
    </row>
    <row r="2813" spans="1:16" x14ac:dyDescent="0.3">
      <c r="A2813" s="25"/>
      <c r="B2813" s="25"/>
      <c r="C2813" s="25"/>
      <c r="D2813" s="26"/>
      <c r="E2813" s="26"/>
      <c r="F2813" s="26"/>
      <c r="G2813" s="26"/>
      <c r="H2813" s="26"/>
      <c r="I2813" s="25"/>
      <c r="J2813" s="25"/>
      <c r="K2813" s="25"/>
      <c r="L2813" s="25"/>
      <c r="M2813" s="25"/>
      <c r="N2813" s="25"/>
      <c r="O2813" s="25"/>
      <c r="P2813" s="25"/>
    </row>
    <row r="2814" spans="1:16" x14ac:dyDescent="0.3">
      <c r="A2814" s="25"/>
      <c r="B2814" s="25"/>
      <c r="C2814" s="25"/>
      <c r="D2814" s="26"/>
      <c r="E2814" s="26"/>
      <c r="F2814" s="26"/>
      <c r="G2814" s="26"/>
      <c r="H2814" s="26"/>
      <c r="I2814" s="25"/>
      <c r="J2814" s="25"/>
      <c r="K2814" s="25"/>
      <c r="L2814" s="25"/>
      <c r="M2814" s="25"/>
      <c r="N2814" s="25"/>
      <c r="O2814" s="25"/>
      <c r="P2814" s="25"/>
    </row>
    <row r="2815" spans="1:16" x14ac:dyDescent="0.3">
      <c r="A2815" s="25"/>
      <c r="B2815" s="25"/>
      <c r="C2815" s="25"/>
      <c r="D2815" s="26"/>
      <c r="E2815" s="26"/>
      <c r="F2815" s="26"/>
      <c r="G2815" s="26"/>
      <c r="H2815" s="26"/>
      <c r="I2815" s="25"/>
      <c r="J2815" s="25"/>
      <c r="K2815" s="25"/>
      <c r="L2815" s="25"/>
      <c r="M2815" s="25"/>
      <c r="N2815" s="25"/>
      <c r="O2815" s="25"/>
      <c r="P2815" s="25"/>
    </row>
    <row r="2816" spans="1:16" x14ac:dyDescent="0.3">
      <c r="A2816" s="25"/>
      <c r="B2816" s="25"/>
      <c r="C2816" s="25"/>
      <c r="D2816" s="26"/>
      <c r="E2816" s="26"/>
      <c r="F2816" s="26"/>
      <c r="G2816" s="26"/>
      <c r="H2816" s="26"/>
      <c r="I2816" s="25"/>
      <c r="J2816" s="25"/>
      <c r="K2816" s="25"/>
      <c r="L2816" s="25"/>
      <c r="M2816" s="25"/>
      <c r="N2816" s="25"/>
      <c r="O2816" s="25"/>
      <c r="P2816" s="25"/>
    </row>
    <row r="2817" spans="1:16" x14ac:dyDescent="0.3">
      <c r="A2817" s="25"/>
      <c r="B2817" s="25"/>
      <c r="C2817" s="25"/>
      <c r="D2817" s="26"/>
      <c r="E2817" s="26"/>
      <c r="F2817" s="26"/>
      <c r="G2817" s="26"/>
      <c r="H2817" s="26"/>
      <c r="I2817" s="25"/>
      <c r="J2817" s="25"/>
      <c r="K2817" s="25"/>
      <c r="L2817" s="25"/>
      <c r="M2817" s="25"/>
      <c r="N2817" s="25"/>
      <c r="O2817" s="25"/>
      <c r="P2817" s="25"/>
    </row>
    <row r="2818" spans="1:16" x14ac:dyDescent="0.3">
      <c r="A2818" s="25"/>
      <c r="B2818" s="25"/>
      <c r="C2818" s="25"/>
      <c r="D2818" s="26"/>
      <c r="E2818" s="26"/>
      <c r="F2818" s="26"/>
      <c r="G2818" s="26"/>
      <c r="H2818" s="26"/>
      <c r="I2818" s="25"/>
      <c r="J2818" s="25"/>
      <c r="K2818" s="25"/>
      <c r="L2818" s="25"/>
      <c r="M2818" s="25"/>
      <c r="N2818" s="25"/>
      <c r="O2818" s="25"/>
      <c r="P2818" s="25"/>
    </row>
    <row r="2819" spans="1:16" x14ac:dyDescent="0.3">
      <c r="A2819" s="25"/>
      <c r="B2819" s="25"/>
      <c r="C2819" s="25"/>
      <c r="D2819" s="26"/>
      <c r="E2819" s="26"/>
      <c r="F2819" s="26"/>
      <c r="G2819" s="26"/>
      <c r="H2819" s="26"/>
      <c r="I2819" s="25"/>
      <c r="J2819" s="25"/>
      <c r="K2819" s="25"/>
      <c r="L2819" s="25"/>
      <c r="M2819" s="25"/>
      <c r="N2819" s="25"/>
      <c r="O2819" s="25"/>
      <c r="P2819" s="25"/>
    </row>
    <row r="2820" spans="1:16" x14ac:dyDescent="0.3">
      <c r="A2820" s="25"/>
      <c r="B2820" s="25"/>
      <c r="C2820" s="25"/>
      <c r="D2820" s="26"/>
      <c r="E2820" s="26"/>
      <c r="F2820" s="26"/>
      <c r="G2820" s="26"/>
      <c r="H2820" s="26"/>
      <c r="I2820" s="25"/>
      <c r="J2820" s="25"/>
      <c r="K2820" s="25"/>
      <c r="L2820" s="25"/>
      <c r="M2820" s="25"/>
      <c r="N2820" s="25"/>
      <c r="O2820" s="25"/>
      <c r="P2820" s="25"/>
    </row>
    <row r="2821" spans="1:16" x14ac:dyDescent="0.3">
      <c r="A2821" s="25"/>
      <c r="B2821" s="25"/>
      <c r="C2821" s="25"/>
      <c r="D2821" s="26"/>
      <c r="E2821" s="26"/>
      <c r="F2821" s="26"/>
      <c r="G2821" s="26"/>
      <c r="H2821" s="26"/>
      <c r="I2821" s="25"/>
      <c r="J2821" s="25"/>
      <c r="K2821" s="25"/>
      <c r="L2821" s="25"/>
      <c r="M2821" s="25"/>
      <c r="N2821" s="25"/>
      <c r="O2821" s="25"/>
      <c r="P2821" s="25"/>
    </row>
    <row r="2822" spans="1:16" x14ac:dyDescent="0.3">
      <c r="A2822" s="25"/>
      <c r="B2822" s="25"/>
      <c r="C2822" s="25"/>
      <c r="D2822" s="26"/>
      <c r="E2822" s="26"/>
      <c r="F2822" s="26"/>
      <c r="G2822" s="26"/>
      <c r="H2822" s="26"/>
      <c r="I2822" s="25"/>
      <c r="J2822" s="25"/>
      <c r="K2822" s="25"/>
      <c r="L2822" s="25"/>
      <c r="M2822" s="25"/>
      <c r="N2822" s="25"/>
      <c r="O2822" s="25"/>
      <c r="P2822" s="25"/>
    </row>
    <row r="2823" spans="1:16" x14ac:dyDescent="0.3">
      <c r="A2823" s="25"/>
      <c r="B2823" s="25"/>
      <c r="C2823" s="25"/>
      <c r="D2823" s="26"/>
      <c r="E2823" s="26"/>
      <c r="F2823" s="26"/>
      <c r="G2823" s="26"/>
      <c r="H2823" s="26"/>
      <c r="I2823" s="25"/>
      <c r="J2823" s="25"/>
      <c r="K2823" s="25"/>
      <c r="L2823" s="25"/>
      <c r="M2823" s="25"/>
      <c r="N2823" s="25"/>
      <c r="O2823" s="25"/>
      <c r="P2823" s="25"/>
    </row>
    <row r="2824" spans="1:16" x14ac:dyDescent="0.3">
      <c r="A2824" s="25"/>
      <c r="B2824" s="25"/>
      <c r="C2824" s="25"/>
      <c r="D2824" s="26"/>
      <c r="E2824" s="26"/>
      <c r="F2824" s="26"/>
      <c r="G2824" s="26"/>
      <c r="H2824" s="26"/>
      <c r="I2824" s="25"/>
      <c r="J2824" s="25"/>
      <c r="K2824" s="25"/>
      <c r="L2824" s="25"/>
      <c r="M2824" s="25"/>
      <c r="N2824" s="25"/>
      <c r="O2824" s="25"/>
      <c r="P2824" s="25"/>
    </row>
    <row r="2825" spans="1:16" x14ac:dyDescent="0.3">
      <c r="A2825" s="25"/>
      <c r="B2825" s="25"/>
      <c r="C2825" s="25"/>
      <c r="D2825" s="26"/>
      <c r="E2825" s="26"/>
      <c r="F2825" s="26"/>
      <c r="G2825" s="26"/>
      <c r="H2825" s="26"/>
      <c r="I2825" s="25"/>
      <c r="J2825" s="25"/>
      <c r="K2825" s="25"/>
      <c r="L2825" s="25"/>
      <c r="M2825" s="25"/>
      <c r="N2825" s="25"/>
      <c r="O2825" s="25"/>
      <c r="P2825" s="25"/>
    </row>
    <row r="2826" spans="1:16" x14ac:dyDescent="0.3">
      <c r="A2826" s="25"/>
      <c r="B2826" s="25"/>
      <c r="C2826" s="25"/>
      <c r="D2826" s="26"/>
      <c r="E2826" s="26"/>
      <c r="F2826" s="26"/>
      <c r="G2826" s="26"/>
      <c r="H2826" s="26"/>
      <c r="I2826" s="25"/>
      <c r="J2826" s="25"/>
      <c r="K2826" s="25"/>
      <c r="L2826" s="25"/>
      <c r="M2826" s="25"/>
      <c r="N2826" s="25"/>
      <c r="O2826" s="25"/>
      <c r="P2826" s="25"/>
    </row>
    <row r="2827" spans="1:16" x14ac:dyDescent="0.3">
      <c r="A2827" s="25"/>
      <c r="B2827" s="25"/>
      <c r="C2827" s="25"/>
      <c r="D2827" s="26"/>
      <c r="E2827" s="26"/>
      <c r="F2827" s="26"/>
      <c r="G2827" s="26"/>
      <c r="H2827" s="26"/>
      <c r="I2827" s="25"/>
      <c r="J2827" s="25"/>
      <c r="K2827" s="25"/>
      <c r="L2827" s="25"/>
      <c r="M2827" s="25"/>
      <c r="N2827" s="25"/>
      <c r="O2827" s="25"/>
      <c r="P2827" s="25"/>
    </row>
    <row r="2828" spans="1:16" x14ac:dyDescent="0.3">
      <c r="A2828" s="25"/>
      <c r="B2828" s="25"/>
      <c r="C2828" s="25"/>
      <c r="D2828" s="26"/>
      <c r="E2828" s="26"/>
      <c r="F2828" s="26"/>
      <c r="G2828" s="26"/>
      <c r="H2828" s="26"/>
      <c r="I2828" s="25"/>
      <c r="J2828" s="25"/>
      <c r="K2828" s="25"/>
      <c r="L2828" s="25"/>
      <c r="M2828" s="25"/>
      <c r="N2828" s="25"/>
      <c r="O2828" s="25"/>
      <c r="P2828" s="25"/>
    </row>
    <row r="2829" spans="1:16" x14ac:dyDescent="0.3">
      <c r="A2829" s="25"/>
      <c r="B2829" s="25"/>
      <c r="C2829" s="25"/>
      <c r="D2829" s="26"/>
      <c r="E2829" s="26"/>
      <c r="F2829" s="26"/>
      <c r="G2829" s="26"/>
      <c r="H2829" s="26"/>
      <c r="I2829" s="25"/>
      <c r="J2829" s="25"/>
      <c r="K2829" s="25"/>
      <c r="L2829" s="25"/>
      <c r="M2829" s="25"/>
      <c r="N2829" s="25"/>
      <c r="O2829" s="25"/>
      <c r="P2829" s="25"/>
    </row>
    <row r="2830" spans="1:16" x14ac:dyDescent="0.3">
      <c r="A2830" s="25"/>
      <c r="B2830" s="25"/>
      <c r="C2830" s="25"/>
      <c r="D2830" s="26"/>
      <c r="E2830" s="26"/>
      <c r="F2830" s="26"/>
      <c r="G2830" s="26"/>
      <c r="H2830" s="26"/>
      <c r="I2830" s="25"/>
      <c r="J2830" s="25"/>
      <c r="K2830" s="25"/>
      <c r="L2830" s="25"/>
      <c r="M2830" s="25"/>
      <c r="N2830" s="25"/>
      <c r="O2830" s="25"/>
      <c r="P2830" s="25"/>
    </row>
    <row r="2831" spans="1:16" x14ac:dyDescent="0.3">
      <c r="A2831" s="25"/>
      <c r="B2831" s="25"/>
      <c r="C2831" s="25"/>
      <c r="D2831" s="26"/>
      <c r="E2831" s="26"/>
      <c r="F2831" s="26"/>
      <c r="G2831" s="26"/>
      <c r="H2831" s="26"/>
      <c r="I2831" s="25"/>
      <c r="J2831" s="25"/>
      <c r="K2831" s="25"/>
      <c r="L2831" s="25"/>
      <c r="M2831" s="25"/>
      <c r="N2831" s="25"/>
      <c r="O2831" s="25"/>
      <c r="P2831" s="25"/>
    </row>
    <row r="2832" spans="1:16" x14ac:dyDescent="0.3">
      <c r="A2832" s="25"/>
      <c r="B2832" s="25"/>
      <c r="C2832" s="25"/>
      <c r="D2832" s="26"/>
      <c r="E2832" s="26"/>
      <c r="F2832" s="26"/>
      <c r="G2832" s="26"/>
      <c r="H2832" s="26"/>
      <c r="I2832" s="25"/>
      <c r="J2832" s="25"/>
      <c r="K2832" s="25"/>
      <c r="L2832" s="25"/>
      <c r="M2832" s="25"/>
      <c r="N2832" s="25"/>
      <c r="O2832" s="25"/>
      <c r="P2832" s="25"/>
    </row>
    <row r="2833" spans="1:16" x14ac:dyDescent="0.3">
      <c r="A2833" s="25"/>
      <c r="B2833" s="25"/>
      <c r="C2833" s="25"/>
      <c r="D2833" s="26"/>
      <c r="E2833" s="26"/>
      <c r="F2833" s="26"/>
      <c r="G2833" s="26"/>
      <c r="H2833" s="26"/>
      <c r="I2833" s="25"/>
      <c r="J2833" s="25"/>
      <c r="K2833" s="25"/>
      <c r="L2833" s="25"/>
      <c r="M2833" s="25"/>
      <c r="N2833" s="25"/>
      <c r="O2833" s="25"/>
      <c r="P2833" s="25"/>
    </row>
    <row r="2834" spans="1:16" x14ac:dyDescent="0.3">
      <c r="A2834" s="25"/>
      <c r="B2834" s="25"/>
      <c r="C2834" s="25"/>
      <c r="D2834" s="26"/>
      <c r="E2834" s="26"/>
      <c r="F2834" s="26"/>
      <c r="G2834" s="26"/>
      <c r="H2834" s="26"/>
      <c r="I2834" s="25"/>
      <c r="J2834" s="25"/>
      <c r="K2834" s="25"/>
      <c r="L2834" s="25"/>
      <c r="M2834" s="25"/>
      <c r="N2834" s="25"/>
      <c r="O2834" s="25"/>
      <c r="P2834" s="25"/>
    </row>
    <row r="2835" spans="1:16" x14ac:dyDescent="0.3">
      <c r="A2835" s="25"/>
      <c r="B2835" s="25"/>
      <c r="C2835" s="25"/>
      <c r="D2835" s="26"/>
      <c r="E2835" s="26"/>
      <c r="F2835" s="26"/>
      <c r="G2835" s="26"/>
      <c r="H2835" s="26"/>
      <c r="I2835" s="25"/>
      <c r="J2835" s="25"/>
      <c r="K2835" s="25"/>
      <c r="L2835" s="25"/>
      <c r="M2835" s="25"/>
      <c r="N2835" s="25"/>
      <c r="O2835" s="25"/>
      <c r="P2835" s="25"/>
    </row>
    <row r="2836" spans="1:16" x14ac:dyDescent="0.3">
      <c r="A2836" s="25"/>
      <c r="B2836" s="25"/>
      <c r="C2836" s="25"/>
      <c r="D2836" s="26"/>
      <c r="E2836" s="26"/>
      <c r="F2836" s="26"/>
      <c r="G2836" s="26"/>
      <c r="H2836" s="26"/>
      <c r="I2836" s="25"/>
      <c r="J2836" s="25"/>
      <c r="K2836" s="25"/>
      <c r="L2836" s="25"/>
      <c r="M2836" s="25"/>
      <c r="N2836" s="25"/>
      <c r="O2836" s="25"/>
      <c r="P2836" s="25"/>
    </row>
    <row r="2837" spans="1:16" x14ac:dyDescent="0.3">
      <c r="A2837" s="25"/>
      <c r="B2837" s="25"/>
      <c r="C2837" s="25"/>
      <c r="D2837" s="26"/>
      <c r="E2837" s="26"/>
      <c r="F2837" s="26"/>
      <c r="G2837" s="26"/>
      <c r="H2837" s="26"/>
      <c r="I2837" s="25"/>
      <c r="J2837" s="25"/>
      <c r="K2837" s="25"/>
      <c r="L2837" s="25"/>
      <c r="M2837" s="25"/>
      <c r="N2837" s="25"/>
      <c r="O2837" s="25"/>
      <c r="P2837" s="25"/>
    </row>
    <row r="2838" spans="1:16" x14ac:dyDescent="0.3">
      <c r="A2838" s="25"/>
      <c r="B2838" s="25"/>
      <c r="C2838" s="25"/>
      <c r="D2838" s="26"/>
      <c r="E2838" s="26"/>
      <c r="F2838" s="26"/>
      <c r="G2838" s="26"/>
      <c r="H2838" s="26"/>
      <c r="I2838" s="25"/>
      <c r="J2838" s="25"/>
      <c r="K2838" s="25"/>
      <c r="L2838" s="25"/>
      <c r="M2838" s="25"/>
      <c r="N2838" s="25"/>
      <c r="O2838" s="25"/>
      <c r="P2838" s="25"/>
    </row>
    <row r="2839" spans="1:16" x14ac:dyDescent="0.3">
      <c r="A2839" s="25"/>
      <c r="B2839" s="25"/>
      <c r="C2839" s="25"/>
      <c r="D2839" s="26"/>
      <c r="E2839" s="26"/>
      <c r="F2839" s="26"/>
      <c r="G2839" s="26"/>
      <c r="H2839" s="26"/>
      <c r="I2839" s="25"/>
      <c r="J2839" s="25"/>
      <c r="K2839" s="25"/>
      <c r="L2839" s="25"/>
      <c r="M2839" s="25"/>
      <c r="N2839" s="25"/>
      <c r="O2839" s="25"/>
      <c r="P2839" s="25"/>
    </row>
    <row r="2840" spans="1:16" x14ac:dyDescent="0.3">
      <c r="A2840" s="25"/>
      <c r="B2840" s="25"/>
      <c r="C2840" s="25"/>
      <c r="D2840" s="26"/>
      <c r="E2840" s="26"/>
      <c r="F2840" s="26"/>
      <c r="G2840" s="26"/>
      <c r="H2840" s="26"/>
      <c r="I2840" s="25"/>
      <c r="J2840" s="25"/>
      <c r="K2840" s="25"/>
      <c r="L2840" s="25"/>
      <c r="M2840" s="25"/>
      <c r="N2840" s="25"/>
      <c r="O2840" s="25"/>
      <c r="P2840" s="25"/>
    </row>
    <row r="2841" spans="1:16" x14ac:dyDescent="0.3">
      <c r="A2841" s="25"/>
      <c r="B2841" s="25"/>
      <c r="C2841" s="25"/>
      <c r="D2841" s="26"/>
      <c r="E2841" s="26"/>
      <c r="F2841" s="26"/>
      <c r="G2841" s="26"/>
      <c r="H2841" s="26"/>
      <c r="I2841" s="25"/>
      <c r="J2841" s="25"/>
      <c r="K2841" s="25"/>
      <c r="L2841" s="25"/>
      <c r="M2841" s="25"/>
      <c r="N2841" s="25"/>
      <c r="O2841" s="25"/>
      <c r="P2841" s="25"/>
    </row>
    <row r="2842" spans="1:16" x14ac:dyDescent="0.3">
      <c r="A2842" s="25"/>
      <c r="B2842" s="25"/>
      <c r="C2842" s="25"/>
      <c r="D2842" s="26"/>
      <c r="E2842" s="26"/>
      <c r="F2842" s="26"/>
      <c r="G2842" s="26"/>
      <c r="H2842" s="26"/>
      <c r="I2842" s="25"/>
      <c r="J2842" s="25"/>
      <c r="K2842" s="25"/>
      <c r="L2842" s="25"/>
      <c r="M2842" s="25"/>
      <c r="N2842" s="25"/>
      <c r="O2842" s="25"/>
      <c r="P2842" s="25"/>
    </row>
    <row r="2843" spans="1:16" x14ac:dyDescent="0.3">
      <c r="A2843" s="25"/>
      <c r="B2843" s="25"/>
      <c r="C2843" s="25"/>
      <c r="D2843" s="26"/>
      <c r="E2843" s="26"/>
      <c r="F2843" s="26"/>
      <c r="G2843" s="26"/>
      <c r="H2843" s="26"/>
      <c r="I2843" s="25"/>
      <c r="J2843" s="25"/>
      <c r="K2843" s="25"/>
      <c r="L2843" s="25"/>
      <c r="M2843" s="25"/>
      <c r="N2843" s="25"/>
      <c r="O2843" s="25"/>
      <c r="P2843" s="25"/>
    </row>
    <row r="2844" spans="1:16" x14ac:dyDescent="0.3">
      <c r="A2844" s="25"/>
      <c r="B2844" s="25"/>
      <c r="C2844" s="25"/>
      <c r="D2844" s="26"/>
      <c r="E2844" s="26"/>
      <c r="F2844" s="26"/>
      <c r="G2844" s="26"/>
      <c r="H2844" s="26"/>
      <c r="I2844" s="25"/>
      <c r="J2844" s="25"/>
      <c r="K2844" s="25"/>
      <c r="L2844" s="25"/>
      <c r="M2844" s="25"/>
      <c r="N2844" s="25"/>
      <c r="O2844" s="25"/>
      <c r="P2844" s="25"/>
    </row>
    <row r="2845" spans="1:16" x14ac:dyDescent="0.3">
      <c r="A2845" s="25"/>
      <c r="B2845" s="25"/>
      <c r="C2845" s="25"/>
      <c r="D2845" s="26"/>
      <c r="E2845" s="26"/>
      <c r="F2845" s="26"/>
      <c r="G2845" s="26"/>
      <c r="H2845" s="26"/>
      <c r="I2845" s="25"/>
      <c r="J2845" s="25"/>
      <c r="K2845" s="25"/>
      <c r="L2845" s="25"/>
      <c r="M2845" s="25"/>
      <c r="N2845" s="25"/>
      <c r="O2845" s="25"/>
      <c r="P2845" s="25"/>
    </row>
    <row r="2846" spans="1:16" x14ac:dyDescent="0.3">
      <c r="A2846" s="26"/>
      <c r="B2846" s="26"/>
      <c r="C2846" s="25"/>
      <c r="D2846" s="26"/>
      <c r="E2846" s="26"/>
      <c r="F2846" s="26"/>
      <c r="G2846" s="26"/>
      <c r="H2846" s="26"/>
      <c r="I2846" s="25"/>
      <c r="J2846" s="25"/>
      <c r="K2846" s="25"/>
      <c r="L2846" s="25"/>
      <c r="M2846" s="25"/>
      <c r="N2846" s="25"/>
      <c r="O2846" s="25"/>
      <c r="P2846" s="25"/>
    </row>
    <row r="2847" spans="1:16" x14ac:dyDescent="0.3">
      <c r="A2847" s="26"/>
      <c r="B2847" s="26"/>
      <c r="C2847" s="26"/>
      <c r="D2847" s="26"/>
      <c r="E2847" s="26"/>
      <c r="F2847" s="26"/>
      <c r="G2847" s="26"/>
      <c r="H2847" s="26"/>
      <c r="I2847" s="26"/>
      <c r="J2847" s="26"/>
      <c r="K2847" s="26"/>
      <c r="L2847" s="26"/>
      <c r="M2847" s="26"/>
      <c r="N2847" s="26"/>
      <c r="O2847" s="26"/>
      <c r="P2847" s="26"/>
    </row>
    <row r="2848" spans="1:16" x14ac:dyDescent="0.3">
      <c r="A2848" s="26"/>
      <c r="B2848" s="26"/>
      <c r="C2848" s="26"/>
      <c r="D2848" s="26"/>
      <c r="E2848" s="26"/>
      <c r="F2848" s="26"/>
      <c r="G2848" s="26"/>
      <c r="H2848" s="26"/>
      <c r="I2848" s="26"/>
      <c r="J2848" s="26"/>
      <c r="K2848" s="26"/>
      <c r="L2848" s="26"/>
      <c r="M2848" s="26"/>
      <c r="N2848" s="26"/>
      <c r="O2848" s="26"/>
      <c r="P2848" s="26"/>
    </row>
    <row r="2849" spans="1:16" x14ac:dyDescent="0.3">
      <c r="A2849" s="26"/>
      <c r="B2849" s="26"/>
      <c r="C2849" s="26"/>
      <c r="D2849" s="26"/>
      <c r="E2849" s="26"/>
      <c r="F2849" s="26"/>
      <c r="G2849" s="26"/>
      <c r="H2849" s="26"/>
      <c r="I2849" s="26"/>
      <c r="J2849" s="26"/>
      <c r="K2849" s="26"/>
      <c r="L2849" s="26"/>
      <c r="M2849" s="26"/>
      <c r="N2849" s="26"/>
      <c r="O2849" s="26"/>
      <c r="P2849" s="26"/>
    </row>
    <row r="2850" spans="1:16" x14ac:dyDescent="0.3">
      <c r="A2850" s="26"/>
      <c r="B2850" s="26"/>
      <c r="C2850" s="26"/>
      <c r="D2850" s="26"/>
      <c r="E2850" s="26"/>
      <c r="F2850" s="26"/>
      <c r="G2850" s="26"/>
      <c r="H2850" s="26"/>
      <c r="I2850" s="26"/>
      <c r="J2850" s="26"/>
      <c r="K2850" s="26"/>
      <c r="L2850" s="26"/>
      <c r="M2850" s="26"/>
      <c r="N2850" s="26"/>
      <c r="O2850" s="26"/>
      <c r="P2850" s="26"/>
    </row>
    <row r="2851" spans="1:16" x14ac:dyDescent="0.3">
      <c r="A2851" s="26"/>
      <c r="B2851" s="26"/>
      <c r="C2851" s="26"/>
      <c r="D2851" s="26"/>
      <c r="E2851" s="26"/>
      <c r="F2851" s="26"/>
      <c r="G2851" s="26"/>
      <c r="H2851" s="26"/>
      <c r="I2851" s="26"/>
      <c r="J2851" s="26"/>
      <c r="K2851" s="26"/>
      <c r="L2851" s="26"/>
      <c r="M2851" s="26"/>
      <c r="N2851" s="26"/>
      <c r="O2851" s="26"/>
      <c r="P2851" s="26"/>
    </row>
    <row r="2852" spans="1:16" x14ac:dyDescent="0.3">
      <c r="A2852" s="26"/>
      <c r="B2852" s="26"/>
      <c r="C2852" s="26"/>
      <c r="D2852" s="26"/>
      <c r="E2852" s="26"/>
      <c r="F2852" s="26"/>
      <c r="G2852" s="26"/>
      <c r="H2852" s="26"/>
      <c r="I2852" s="26"/>
      <c r="J2852" s="26"/>
      <c r="K2852" s="26"/>
      <c r="L2852" s="26"/>
      <c r="M2852" s="26"/>
      <c r="N2852" s="26"/>
      <c r="O2852" s="26"/>
      <c r="P2852" s="26"/>
    </row>
    <row r="2853" spans="1:16" x14ac:dyDescent="0.3">
      <c r="A2853" s="26"/>
      <c r="B2853" s="26"/>
      <c r="C2853" s="26"/>
      <c r="D2853" s="26"/>
      <c r="E2853" s="26"/>
      <c r="F2853" s="26"/>
      <c r="G2853" s="26"/>
      <c r="H2853" s="26"/>
      <c r="I2853" s="26"/>
      <c r="J2853" s="26"/>
      <c r="K2853" s="26"/>
      <c r="L2853" s="26"/>
      <c r="M2853" s="26"/>
      <c r="N2853" s="26"/>
      <c r="O2853" s="26"/>
      <c r="P2853" s="26"/>
    </row>
    <row r="2854" spans="1:16" x14ac:dyDescent="0.3">
      <c r="A2854" s="26"/>
      <c r="B2854" s="26"/>
      <c r="C2854" s="26"/>
      <c r="D2854" s="26"/>
      <c r="E2854" s="26"/>
      <c r="F2854" s="26"/>
      <c r="G2854" s="26"/>
      <c r="H2854" s="26"/>
      <c r="I2854" s="26"/>
      <c r="J2854" s="26"/>
      <c r="K2854" s="26"/>
      <c r="L2854" s="26"/>
      <c r="M2854" s="26"/>
      <c r="N2854" s="26"/>
      <c r="O2854" s="26"/>
      <c r="P2854" s="26"/>
    </row>
    <row r="2855" spans="1:16" x14ac:dyDescent="0.3">
      <c r="A2855" s="26"/>
      <c r="B2855" s="26"/>
      <c r="C2855" s="26"/>
      <c r="D2855" s="26"/>
      <c r="E2855" s="26"/>
      <c r="F2855" s="26"/>
      <c r="G2855" s="26"/>
      <c r="H2855" s="26"/>
      <c r="I2855" s="26"/>
      <c r="J2855" s="26"/>
      <c r="K2855" s="26"/>
      <c r="L2855" s="26"/>
      <c r="M2855" s="26"/>
      <c r="N2855" s="26"/>
      <c r="O2855" s="26"/>
      <c r="P2855" s="26"/>
    </row>
    <row r="2856" spans="1:16" x14ac:dyDescent="0.3">
      <c r="A2856" s="26"/>
      <c r="B2856" s="26"/>
      <c r="C2856" s="26"/>
      <c r="D2856" s="26"/>
      <c r="E2856" s="26"/>
      <c r="F2856" s="26"/>
      <c r="G2856" s="26"/>
      <c r="H2856" s="26"/>
      <c r="I2856" s="26"/>
      <c r="J2856" s="26"/>
      <c r="K2856" s="26"/>
      <c r="L2856" s="26"/>
      <c r="M2856" s="26"/>
      <c r="N2856" s="26"/>
      <c r="O2856" s="26"/>
      <c r="P2856" s="26"/>
    </row>
    <row r="2857" spans="1:16" x14ac:dyDescent="0.3">
      <c r="A2857" s="26"/>
      <c r="B2857" s="26"/>
      <c r="C2857" s="26"/>
      <c r="D2857" s="26"/>
      <c r="E2857" s="26"/>
      <c r="F2857" s="26"/>
      <c r="G2857" s="26"/>
      <c r="H2857" s="26"/>
      <c r="I2857" s="26"/>
      <c r="J2857" s="26"/>
      <c r="K2857" s="26"/>
      <c r="L2857" s="26"/>
      <c r="M2857" s="26"/>
      <c r="N2857" s="26"/>
      <c r="O2857" s="26"/>
      <c r="P2857" s="26"/>
    </row>
    <row r="2858" spans="1:16" x14ac:dyDescent="0.3">
      <c r="A2858" s="26"/>
      <c r="B2858" s="26"/>
      <c r="C2858" s="26"/>
      <c r="D2858" s="26"/>
      <c r="E2858" s="26"/>
      <c r="F2858" s="26"/>
      <c r="G2858" s="26"/>
      <c r="H2858" s="26"/>
      <c r="I2858" s="26"/>
      <c r="J2858" s="26"/>
      <c r="K2858" s="26"/>
      <c r="L2858" s="26"/>
      <c r="M2858" s="26"/>
      <c r="N2858" s="26"/>
      <c r="O2858" s="26"/>
      <c r="P2858" s="26"/>
    </row>
    <row r="2859" spans="1:16" x14ac:dyDescent="0.3">
      <c r="A2859" s="26"/>
      <c r="B2859" s="26"/>
      <c r="C2859" s="26"/>
      <c r="D2859" s="26"/>
      <c r="E2859" s="26"/>
      <c r="F2859" s="26"/>
      <c r="G2859" s="26"/>
      <c r="H2859" s="26"/>
      <c r="I2859" s="26"/>
      <c r="J2859" s="26"/>
      <c r="K2859" s="26"/>
      <c r="L2859" s="26"/>
      <c r="M2859" s="26"/>
      <c r="N2859" s="26"/>
      <c r="O2859" s="26"/>
      <c r="P2859" s="26"/>
    </row>
    <row r="2860" spans="1:16" x14ac:dyDescent="0.3">
      <c r="A2860" s="26"/>
      <c r="B2860" s="26"/>
      <c r="C2860" s="26"/>
      <c r="D2860" s="26"/>
      <c r="E2860" s="26"/>
      <c r="F2860" s="26"/>
      <c r="G2860" s="26"/>
      <c r="H2860" s="26"/>
      <c r="I2860" s="26"/>
      <c r="J2860" s="26"/>
      <c r="K2860" s="26"/>
      <c r="L2860" s="26"/>
      <c r="M2860" s="26"/>
      <c r="N2860" s="26"/>
      <c r="O2860" s="26"/>
      <c r="P2860" s="26"/>
    </row>
    <row r="2861" spans="1:16" x14ac:dyDescent="0.3">
      <c r="A2861" s="26"/>
      <c r="B2861" s="26"/>
      <c r="C2861" s="26"/>
      <c r="D2861" s="26"/>
      <c r="E2861" s="26"/>
      <c r="F2861" s="26"/>
      <c r="G2861" s="26"/>
      <c r="H2861" s="26"/>
      <c r="I2861" s="26"/>
      <c r="J2861" s="26"/>
      <c r="K2861" s="26"/>
      <c r="L2861" s="26"/>
      <c r="M2861" s="26"/>
      <c r="N2861" s="26"/>
      <c r="O2861" s="26"/>
      <c r="P2861" s="26"/>
    </row>
    <row r="2862" spans="1:16" x14ac:dyDescent="0.3">
      <c r="A2862" s="26"/>
      <c r="B2862" s="26"/>
      <c r="C2862" s="26"/>
      <c r="D2862" s="26"/>
      <c r="E2862" s="26"/>
      <c r="F2862" s="26"/>
      <c r="G2862" s="26"/>
      <c r="H2862" s="26"/>
      <c r="I2862" s="26"/>
      <c r="J2862" s="26"/>
      <c r="K2862" s="26"/>
      <c r="L2862" s="26"/>
      <c r="M2862" s="26"/>
      <c r="N2862" s="26"/>
      <c r="O2862" s="26"/>
      <c r="P2862" s="26"/>
    </row>
    <row r="2863" spans="1:16" x14ac:dyDescent="0.3">
      <c r="A2863" s="26"/>
      <c r="B2863" s="26"/>
      <c r="C2863" s="26"/>
      <c r="D2863" s="26"/>
      <c r="E2863" s="26"/>
      <c r="F2863" s="26"/>
      <c r="G2863" s="26"/>
      <c r="H2863" s="26"/>
      <c r="I2863" s="26"/>
      <c r="J2863" s="26"/>
      <c r="K2863" s="26"/>
      <c r="L2863" s="26"/>
      <c r="M2863" s="26"/>
      <c r="N2863" s="26"/>
      <c r="O2863" s="26"/>
      <c r="P2863" s="26"/>
    </row>
    <row r="2864" spans="1:16" x14ac:dyDescent="0.3">
      <c r="A2864" s="26"/>
      <c r="B2864" s="26"/>
      <c r="C2864" s="26"/>
      <c r="D2864" s="26"/>
      <c r="E2864" s="26"/>
      <c r="F2864" s="26"/>
      <c r="G2864" s="26"/>
      <c r="H2864" s="26"/>
      <c r="I2864" s="26"/>
      <c r="J2864" s="26"/>
      <c r="K2864" s="26"/>
      <c r="L2864" s="26"/>
      <c r="M2864" s="26"/>
      <c r="N2864" s="26"/>
      <c r="O2864" s="26"/>
      <c r="P2864" s="26"/>
    </row>
    <row r="2865" spans="1:16" x14ac:dyDescent="0.3">
      <c r="A2865" s="26"/>
      <c r="B2865" s="26"/>
      <c r="C2865" s="26"/>
      <c r="D2865" s="26"/>
      <c r="E2865" s="26"/>
      <c r="F2865" s="26"/>
      <c r="G2865" s="26"/>
      <c r="H2865" s="26"/>
      <c r="I2865" s="26"/>
      <c r="J2865" s="26"/>
      <c r="K2865" s="26"/>
      <c r="L2865" s="26"/>
      <c r="M2865" s="26"/>
      <c r="N2865" s="26"/>
      <c r="O2865" s="26"/>
      <c r="P2865" s="26"/>
    </row>
    <row r="2866" spans="1:16" x14ac:dyDescent="0.3">
      <c r="A2866" s="26"/>
      <c r="B2866" s="26"/>
      <c r="C2866" s="26"/>
      <c r="D2866" s="26"/>
      <c r="E2866" s="26"/>
      <c r="F2866" s="26"/>
      <c r="G2866" s="26"/>
      <c r="H2866" s="26"/>
      <c r="I2866" s="26"/>
      <c r="J2866" s="26"/>
      <c r="K2866" s="26"/>
      <c r="L2866" s="26"/>
      <c r="M2866" s="26"/>
      <c r="N2866" s="26"/>
      <c r="O2866" s="26"/>
      <c r="P2866" s="26"/>
    </row>
    <row r="2867" spans="1:16" x14ac:dyDescent="0.3">
      <c r="A2867" s="26"/>
      <c r="B2867" s="26"/>
      <c r="C2867" s="26"/>
      <c r="D2867" s="26"/>
      <c r="E2867" s="26"/>
      <c r="F2867" s="26"/>
      <c r="G2867" s="26"/>
      <c r="H2867" s="26"/>
      <c r="I2867" s="26"/>
      <c r="J2867" s="26"/>
      <c r="K2867" s="26"/>
      <c r="L2867" s="26"/>
      <c r="M2867" s="26"/>
      <c r="N2867" s="26"/>
      <c r="O2867" s="26"/>
      <c r="P2867" s="26"/>
    </row>
    <row r="2868" spans="1:16" x14ac:dyDescent="0.3">
      <c r="A2868" s="26"/>
      <c r="B2868" s="26"/>
      <c r="C2868" s="26"/>
      <c r="D2868" s="26"/>
      <c r="E2868" s="26"/>
      <c r="F2868" s="26"/>
      <c r="G2868" s="26"/>
      <c r="H2868" s="26"/>
      <c r="I2868" s="26"/>
      <c r="J2868" s="26"/>
      <c r="K2868" s="26"/>
      <c r="L2868" s="26"/>
      <c r="M2868" s="26"/>
      <c r="N2868" s="26"/>
      <c r="O2868" s="26"/>
      <c r="P2868" s="26"/>
    </row>
    <row r="2869" spans="1:16" x14ac:dyDescent="0.3">
      <c r="A2869" s="26"/>
      <c r="B2869" s="26"/>
      <c r="C2869" s="26"/>
      <c r="D2869" s="26"/>
      <c r="E2869" s="26"/>
      <c r="F2869" s="26"/>
      <c r="G2869" s="26"/>
      <c r="H2869" s="26"/>
      <c r="I2869" s="26"/>
      <c r="J2869" s="26"/>
      <c r="K2869" s="26"/>
      <c r="L2869" s="26"/>
      <c r="M2869" s="26"/>
      <c r="N2869" s="26"/>
      <c r="O2869" s="26"/>
      <c r="P2869" s="26"/>
    </row>
    <row r="2870" spans="1:16" x14ac:dyDescent="0.3">
      <c r="A2870" s="26"/>
      <c r="B2870" s="26"/>
      <c r="C2870" s="26"/>
      <c r="D2870" s="26"/>
      <c r="E2870" s="26"/>
      <c r="F2870" s="26"/>
      <c r="G2870" s="26"/>
      <c r="H2870" s="26"/>
      <c r="I2870" s="26"/>
      <c r="J2870" s="26"/>
      <c r="K2870" s="26"/>
      <c r="L2870" s="26"/>
      <c r="M2870" s="26"/>
      <c r="N2870" s="26"/>
      <c r="O2870" s="26"/>
      <c r="P2870" s="26"/>
    </row>
    <row r="2871" spans="1:16" x14ac:dyDescent="0.3">
      <c r="A2871" s="26"/>
      <c r="B2871" s="26"/>
      <c r="C2871" s="26"/>
      <c r="D2871" s="26"/>
      <c r="E2871" s="26"/>
      <c r="F2871" s="26"/>
      <c r="G2871" s="26"/>
      <c r="H2871" s="26"/>
      <c r="I2871" s="26"/>
      <c r="J2871" s="26"/>
      <c r="K2871" s="26"/>
      <c r="L2871" s="26"/>
      <c r="M2871" s="26"/>
      <c r="N2871" s="26"/>
      <c r="O2871" s="26"/>
      <c r="P2871" s="26"/>
    </row>
    <row r="2872" spans="1:16" x14ac:dyDescent="0.3">
      <c r="A2872" s="26"/>
      <c r="B2872" s="26"/>
      <c r="C2872" s="26"/>
      <c r="D2872" s="26"/>
      <c r="E2872" s="26"/>
      <c r="F2872" s="26"/>
      <c r="G2872" s="26"/>
      <c r="H2872" s="26"/>
      <c r="I2872" s="26"/>
      <c r="J2872" s="26"/>
      <c r="K2872" s="26"/>
      <c r="L2872" s="26"/>
      <c r="M2872" s="26"/>
      <c r="N2872" s="26"/>
      <c r="O2872" s="26"/>
      <c r="P2872" s="26"/>
    </row>
    <row r="2873" spans="1:16" x14ac:dyDescent="0.3">
      <c r="A2873" s="26"/>
      <c r="B2873" s="26"/>
      <c r="C2873" s="26"/>
      <c r="D2873" s="26"/>
      <c r="E2873" s="26"/>
      <c r="F2873" s="26"/>
      <c r="G2873" s="26"/>
      <c r="H2873" s="26"/>
      <c r="I2873" s="26"/>
      <c r="J2873" s="26"/>
      <c r="K2873" s="26"/>
      <c r="L2873" s="26"/>
      <c r="M2873" s="26"/>
      <c r="N2873" s="26"/>
      <c r="O2873" s="26"/>
      <c r="P2873" s="26"/>
    </row>
    <row r="2874" spans="1:16" x14ac:dyDescent="0.3">
      <c r="A2874" s="26"/>
      <c r="B2874" s="26"/>
      <c r="C2874" s="26"/>
      <c r="D2874" s="26"/>
      <c r="E2874" s="26"/>
      <c r="F2874" s="26"/>
      <c r="G2874" s="26"/>
      <c r="H2874" s="26"/>
      <c r="I2874" s="26"/>
      <c r="J2874" s="26"/>
      <c r="K2874" s="26"/>
      <c r="L2874" s="26"/>
      <c r="M2874" s="26"/>
      <c r="N2874" s="26"/>
      <c r="O2874" s="26"/>
      <c r="P2874" s="26"/>
    </row>
    <row r="2875" spans="1:16" x14ac:dyDescent="0.3">
      <c r="A2875" s="26"/>
      <c r="B2875" s="26"/>
      <c r="C2875" s="26"/>
      <c r="D2875" s="26"/>
      <c r="E2875" s="26"/>
      <c r="F2875" s="26"/>
      <c r="G2875" s="26"/>
      <c r="H2875" s="26"/>
      <c r="I2875" s="26"/>
      <c r="J2875" s="26"/>
      <c r="K2875" s="26"/>
      <c r="L2875" s="26"/>
      <c r="M2875" s="26"/>
      <c r="N2875" s="26"/>
      <c r="O2875" s="26"/>
      <c r="P2875" s="26"/>
    </row>
    <row r="2876" spans="1:16" x14ac:dyDescent="0.3">
      <c r="A2876" s="26"/>
      <c r="B2876" s="26"/>
      <c r="C2876" s="26"/>
      <c r="D2876" s="26"/>
      <c r="E2876" s="26"/>
      <c r="F2876" s="26"/>
      <c r="G2876" s="26"/>
      <c r="H2876" s="26"/>
      <c r="I2876" s="26"/>
      <c r="J2876" s="26"/>
      <c r="K2876" s="26"/>
      <c r="L2876" s="26"/>
      <c r="M2876" s="26"/>
      <c r="N2876" s="26"/>
      <c r="O2876" s="26"/>
      <c r="P2876" s="26"/>
    </row>
    <row r="2877" spans="1:16" x14ac:dyDescent="0.3">
      <c r="A2877" s="26"/>
      <c r="B2877" s="26"/>
      <c r="C2877" s="26"/>
      <c r="D2877" s="26"/>
      <c r="E2877" s="26"/>
      <c r="F2877" s="26"/>
      <c r="G2877" s="26"/>
      <c r="H2877" s="26"/>
      <c r="I2877" s="26"/>
      <c r="J2877" s="26"/>
      <c r="K2877" s="26"/>
      <c r="L2877" s="26"/>
      <c r="M2877" s="26"/>
      <c r="N2877" s="26"/>
      <c r="O2877" s="26"/>
      <c r="P2877" s="26"/>
    </row>
    <row r="2878" spans="1:16" x14ac:dyDescent="0.3">
      <c r="A2878" s="26"/>
      <c r="B2878" s="26"/>
      <c r="C2878" s="26"/>
      <c r="D2878" s="26"/>
      <c r="E2878" s="26"/>
      <c r="F2878" s="26"/>
      <c r="G2878" s="26"/>
      <c r="H2878" s="26"/>
      <c r="I2878" s="26"/>
      <c r="J2878" s="26"/>
      <c r="K2878" s="26"/>
      <c r="L2878" s="26"/>
      <c r="M2878" s="26"/>
      <c r="N2878" s="26"/>
      <c r="O2878" s="26"/>
      <c r="P2878" s="26"/>
    </row>
    <row r="2879" spans="1:16" x14ac:dyDescent="0.3">
      <c r="A2879" s="26"/>
      <c r="B2879" s="26"/>
      <c r="C2879" s="26"/>
      <c r="D2879" s="26"/>
      <c r="E2879" s="26"/>
      <c r="F2879" s="26"/>
      <c r="G2879" s="26"/>
      <c r="H2879" s="26"/>
      <c r="I2879" s="26"/>
      <c r="J2879" s="26"/>
      <c r="K2879" s="26"/>
      <c r="L2879" s="26"/>
      <c r="M2879" s="26"/>
      <c r="N2879" s="26"/>
      <c r="O2879" s="26"/>
      <c r="P2879" s="26"/>
    </row>
    <row r="2880" spans="1:16" x14ac:dyDescent="0.3">
      <c r="A2880" s="26"/>
      <c r="B2880" s="26"/>
      <c r="C2880" s="26"/>
      <c r="D2880" s="26"/>
      <c r="E2880" s="26"/>
      <c r="F2880" s="26"/>
      <c r="G2880" s="26"/>
      <c r="H2880" s="26"/>
      <c r="I2880" s="26"/>
      <c r="J2880" s="26"/>
      <c r="K2880" s="26"/>
      <c r="L2880" s="26"/>
      <c r="M2880" s="26"/>
      <c r="N2880" s="26"/>
      <c r="O2880" s="26"/>
      <c r="P2880" s="26"/>
    </row>
    <row r="2881" spans="1:16" x14ac:dyDescent="0.3">
      <c r="A2881" s="26"/>
      <c r="B2881" s="26"/>
      <c r="C2881" s="26"/>
      <c r="D2881" s="26"/>
      <c r="E2881" s="26"/>
      <c r="F2881" s="26"/>
      <c r="G2881" s="26"/>
      <c r="H2881" s="26"/>
      <c r="I2881" s="26"/>
      <c r="J2881" s="26"/>
      <c r="K2881" s="26"/>
      <c r="L2881" s="26"/>
      <c r="M2881" s="26"/>
      <c r="N2881" s="26"/>
      <c r="O2881" s="26"/>
      <c r="P2881" s="26"/>
    </row>
    <row r="2882" spans="1:16" x14ac:dyDescent="0.3">
      <c r="A2882" s="26"/>
      <c r="B2882" s="26"/>
      <c r="C2882" s="26"/>
      <c r="D2882" s="26"/>
      <c r="E2882" s="26"/>
      <c r="F2882" s="26"/>
      <c r="G2882" s="26"/>
      <c r="H2882" s="26"/>
      <c r="I2882" s="26"/>
      <c r="J2882" s="26"/>
      <c r="K2882" s="26"/>
      <c r="L2882" s="26"/>
      <c r="M2882" s="26"/>
      <c r="N2882" s="26"/>
      <c r="O2882" s="26"/>
      <c r="P2882" s="26"/>
    </row>
    <row r="2883" spans="1:16" x14ac:dyDescent="0.3">
      <c r="A2883" s="26"/>
      <c r="B2883" s="26"/>
      <c r="C2883" s="26"/>
      <c r="D2883" s="26"/>
      <c r="E2883" s="26"/>
      <c r="F2883" s="26"/>
      <c r="G2883" s="26"/>
      <c r="H2883" s="26"/>
      <c r="I2883" s="26"/>
      <c r="J2883" s="26"/>
      <c r="K2883" s="26"/>
      <c r="L2883" s="26"/>
      <c r="M2883" s="26"/>
      <c r="N2883" s="26"/>
      <c r="O2883" s="26"/>
      <c r="P2883" s="26"/>
    </row>
    <row r="2884" spans="1:16" x14ac:dyDescent="0.3">
      <c r="A2884" s="26"/>
      <c r="B2884" s="26"/>
      <c r="C2884" s="26"/>
      <c r="D2884" s="26"/>
      <c r="E2884" s="26"/>
      <c r="F2884" s="26"/>
      <c r="G2884" s="26"/>
      <c r="H2884" s="26"/>
      <c r="I2884" s="26"/>
      <c r="J2884" s="26"/>
      <c r="K2884" s="26"/>
      <c r="L2884" s="26"/>
      <c r="M2884" s="26"/>
      <c r="N2884" s="26"/>
      <c r="O2884" s="26"/>
      <c r="P2884" s="26"/>
    </row>
    <row r="2885" spans="1:16" x14ac:dyDescent="0.3">
      <c r="A2885" s="26"/>
      <c r="B2885" s="26"/>
      <c r="C2885" s="26"/>
      <c r="D2885" s="26"/>
      <c r="E2885" s="26"/>
      <c r="F2885" s="26"/>
      <c r="G2885" s="26"/>
      <c r="H2885" s="26"/>
      <c r="I2885" s="26"/>
      <c r="J2885" s="26"/>
      <c r="K2885" s="26"/>
      <c r="L2885" s="26"/>
      <c r="M2885" s="26"/>
      <c r="N2885" s="26"/>
      <c r="O2885" s="26"/>
      <c r="P2885" s="26"/>
    </row>
    <row r="2886" spans="1:16" x14ac:dyDescent="0.3">
      <c r="A2886" s="26"/>
      <c r="B2886" s="26"/>
      <c r="C2886" s="26"/>
      <c r="D2886" s="26"/>
      <c r="E2886" s="26"/>
      <c r="F2886" s="26"/>
      <c r="G2886" s="26"/>
      <c r="H2886" s="26"/>
      <c r="I2886" s="26"/>
      <c r="J2886" s="26"/>
      <c r="K2886" s="26"/>
      <c r="L2886" s="26"/>
      <c r="M2886" s="26"/>
      <c r="N2886" s="26"/>
      <c r="O2886" s="26"/>
      <c r="P2886" s="26"/>
    </row>
    <row r="2887" spans="1:16" x14ac:dyDescent="0.3">
      <c r="A2887" s="26"/>
      <c r="B2887" s="26"/>
      <c r="C2887" s="26"/>
      <c r="D2887" s="26"/>
      <c r="E2887" s="26"/>
      <c r="F2887" s="26"/>
      <c r="G2887" s="26"/>
      <c r="H2887" s="26"/>
      <c r="I2887" s="26"/>
      <c r="J2887" s="26"/>
      <c r="K2887" s="26"/>
      <c r="L2887" s="26"/>
      <c r="M2887" s="26"/>
      <c r="N2887" s="26"/>
      <c r="O2887" s="26"/>
      <c r="P2887" s="26"/>
    </row>
    <row r="2888" spans="1:16" x14ac:dyDescent="0.3">
      <c r="A2888" s="26"/>
      <c r="B2888" s="26"/>
      <c r="C2888" s="26"/>
      <c r="D2888" s="26"/>
      <c r="E2888" s="26"/>
      <c r="F2888" s="26"/>
      <c r="G2888" s="26"/>
      <c r="H2888" s="26"/>
      <c r="I2888" s="26"/>
      <c r="J2888" s="26"/>
      <c r="K2888" s="26"/>
      <c r="L2888" s="26"/>
      <c r="M2888" s="26"/>
      <c r="N2888" s="26"/>
      <c r="O2888" s="26"/>
      <c r="P2888" s="26"/>
    </row>
    <row r="2889" spans="1:16" x14ac:dyDescent="0.3">
      <c r="A2889" s="26"/>
      <c r="B2889" s="26"/>
      <c r="C2889" s="26"/>
      <c r="D2889" s="26"/>
      <c r="E2889" s="26"/>
      <c r="F2889" s="26"/>
      <c r="G2889" s="26"/>
      <c r="H2889" s="26"/>
      <c r="I2889" s="26"/>
      <c r="J2889" s="26"/>
      <c r="K2889" s="26"/>
      <c r="L2889" s="26"/>
      <c r="M2889" s="26"/>
      <c r="N2889" s="26"/>
      <c r="O2889" s="26"/>
      <c r="P2889" s="26"/>
    </row>
    <row r="2890" spans="1:16" x14ac:dyDescent="0.3">
      <c r="A2890" s="26"/>
      <c r="B2890" s="26"/>
      <c r="C2890" s="26"/>
      <c r="D2890" s="26"/>
      <c r="E2890" s="26"/>
      <c r="F2890" s="26"/>
      <c r="G2890" s="26"/>
      <c r="H2890" s="26"/>
      <c r="I2890" s="26"/>
      <c r="J2890" s="26"/>
      <c r="K2890" s="26"/>
      <c r="L2890" s="26"/>
      <c r="M2890" s="26"/>
      <c r="N2890" s="26"/>
      <c r="O2890" s="26"/>
      <c r="P2890" s="26"/>
    </row>
    <row r="2891" spans="1:16" x14ac:dyDescent="0.3">
      <c r="A2891" s="26"/>
      <c r="B2891" s="26"/>
      <c r="C2891" s="26"/>
      <c r="D2891" s="26"/>
      <c r="E2891" s="26"/>
      <c r="F2891" s="26"/>
      <c r="G2891" s="26"/>
      <c r="H2891" s="26"/>
      <c r="I2891" s="26"/>
      <c r="J2891" s="26"/>
      <c r="K2891" s="26"/>
      <c r="L2891" s="26"/>
      <c r="M2891" s="26"/>
      <c r="N2891" s="26"/>
      <c r="O2891" s="26"/>
      <c r="P2891" s="26"/>
    </row>
    <row r="2892" spans="1:16" x14ac:dyDescent="0.3">
      <c r="A2892" s="26"/>
      <c r="B2892" s="26"/>
      <c r="C2892" s="26"/>
      <c r="D2892" s="26"/>
      <c r="E2892" s="26"/>
      <c r="F2892" s="26"/>
      <c r="G2892" s="26"/>
      <c r="H2892" s="26"/>
      <c r="I2892" s="26"/>
      <c r="J2892" s="26"/>
      <c r="K2892" s="26"/>
      <c r="L2892" s="26"/>
      <c r="M2892" s="26"/>
      <c r="N2892" s="26"/>
      <c r="O2892" s="26"/>
      <c r="P2892" s="26"/>
    </row>
    <row r="2893" spans="1:16" x14ac:dyDescent="0.3">
      <c r="A2893" s="26"/>
      <c r="B2893" s="26"/>
      <c r="C2893" s="26"/>
      <c r="D2893" s="26"/>
      <c r="E2893" s="26"/>
      <c r="F2893" s="26"/>
      <c r="G2893" s="26"/>
      <c r="H2893" s="26"/>
      <c r="I2893" s="26"/>
      <c r="J2893" s="26"/>
      <c r="K2893" s="26"/>
      <c r="L2893" s="26"/>
      <c r="M2893" s="26"/>
      <c r="N2893" s="26"/>
      <c r="O2893" s="26"/>
      <c r="P2893" s="26"/>
    </row>
    <row r="2894" spans="1:16" x14ac:dyDescent="0.3">
      <c r="A2894" s="26"/>
      <c r="B2894" s="26"/>
      <c r="C2894" s="26"/>
      <c r="D2894" s="26"/>
      <c r="E2894" s="26"/>
      <c r="F2894" s="26"/>
      <c r="G2894" s="26"/>
      <c r="H2894" s="26"/>
      <c r="I2894" s="26"/>
      <c r="J2894" s="26"/>
      <c r="K2894" s="26"/>
      <c r="L2894" s="26"/>
      <c r="M2894" s="26"/>
      <c r="N2894" s="26"/>
      <c r="O2894" s="26"/>
      <c r="P2894" s="26"/>
    </row>
    <row r="2895" spans="1:16" x14ac:dyDescent="0.3">
      <c r="A2895" s="26"/>
      <c r="B2895" s="26"/>
      <c r="C2895" s="26"/>
      <c r="D2895" s="26"/>
      <c r="E2895" s="26"/>
      <c r="F2895" s="26"/>
      <c r="G2895" s="26"/>
      <c r="H2895" s="26"/>
      <c r="I2895" s="26"/>
      <c r="J2895" s="26"/>
      <c r="K2895" s="26"/>
      <c r="L2895" s="26"/>
      <c r="M2895" s="26"/>
      <c r="N2895" s="26"/>
      <c r="O2895" s="26"/>
      <c r="P2895" s="26"/>
    </row>
    <row r="2896" spans="1:16" x14ac:dyDescent="0.3">
      <c r="A2896" s="26"/>
      <c r="B2896" s="26"/>
      <c r="C2896" s="26"/>
      <c r="D2896" s="26"/>
      <c r="E2896" s="26"/>
      <c r="F2896" s="26"/>
      <c r="G2896" s="26"/>
      <c r="H2896" s="26"/>
      <c r="I2896" s="26"/>
      <c r="J2896" s="26"/>
      <c r="K2896" s="26"/>
      <c r="L2896" s="26"/>
      <c r="M2896" s="26"/>
      <c r="N2896" s="26"/>
      <c r="O2896" s="26"/>
      <c r="P2896" s="26"/>
    </row>
    <row r="2897" spans="1:16" x14ac:dyDescent="0.3">
      <c r="A2897" s="26"/>
      <c r="B2897" s="26"/>
      <c r="C2897" s="26"/>
      <c r="D2897" s="26"/>
      <c r="E2897" s="26"/>
      <c r="F2897" s="26"/>
      <c r="G2897" s="26"/>
      <c r="H2897" s="26"/>
      <c r="I2897" s="26"/>
      <c r="J2897" s="26"/>
      <c r="K2897" s="26"/>
      <c r="L2897" s="26"/>
      <c r="M2897" s="26"/>
      <c r="N2897" s="26"/>
      <c r="O2897" s="26"/>
      <c r="P2897" s="26"/>
    </row>
    <row r="2898" spans="1:16" x14ac:dyDescent="0.3">
      <c r="A2898" s="26"/>
      <c r="B2898" s="26"/>
      <c r="C2898" s="26"/>
      <c r="D2898" s="26"/>
      <c r="E2898" s="26"/>
      <c r="F2898" s="26"/>
      <c r="G2898" s="26"/>
      <c r="H2898" s="26"/>
      <c r="I2898" s="26"/>
      <c r="J2898" s="26"/>
      <c r="K2898" s="26"/>
      <c r="L2898" s="26"/>
      <c r="M2898" s="26"/>
      <c r="N2898" s="26"/>
      <c r="O2898" s="26"/>
      <c r="P2898" s="26"/>
    </row>
    <row r="2899" spans="1:16" x14ac:dyDescent="0.3">
      <c r="A2899" s="26"/>
      <c r="B2899" s="26"/>
      <c r="C2899" s="26"/>
      <c r="D2899" s="26"/>
      <c r="E2899" s="26"/>
      <c r="F2899" s="26"/>
      <c r="G2899" s="26"/>
      <c r="H2899" s="26"/>
      <c r="I2899" s="26"/>
      <c r="J2899" s="26"/>
      <c r="K2899" s="26"/>
      <c r="L2899" s="26"/>
      <c r="M2899" s="26"/>
      <c r="N2899" s="26"/>
      <c r="O2899" s="26"/>
      <c r="P2899" s="26"/>
    </row>
    <row r="2900" spans="1:16" x14ac:dyDescent="0.3">
      <c r="A2900" s="26"/>
      <c r="B2900" s="26"/>
      <c r="C2900" s="26"/>
      <c r="D2900" s="26"/>
      <c r="E2900" s="26"/>
      <c r="F2900" s="26"/>
      <c r="G2900" s="26"/>
      <c r="H2900" s="26"/>
      <c r="I2900" s="26"/>
      <c r="J2900" s="26"/>
      <c r="K2900" s="26"/>
      <c r="L2900" s="26"/>
      <c r="M2900" s="26"/>
      <c r="N2900" s="26"/>
      <c r="O2900" s="26"/>
      <c r="P2900" s="26"/>
    </row>
    <row r="2901" spans="1:16" x14ac:dyDescent="0.3">
      <c r="A2901" s="26"/>
      <c r="B2901" s="26"/>
      <c r="C2901" s="26"/>
      <c r="D2901" s="26"/>
      <c r="E2901" s="26"/>
      <c r="F2901" s="26"/>
      <c r="G2901" s="26"/>
      <c r="H2901" s="26"/>
      <c r="I2901" s="26"/>
      <c r="J2901" s="26"/>
      <c r="K2901" s="26"/>
      <c r="L2901" s="26"/>
      <c r="M2901" s="26"/>
      <c r="N2901" s="26"/>
      <c r="O2901" s="26"/>
      <c r="P2901" s="26"/>
    </row>
    <row r="2902" spans="1:16" x14ac:dyDescent="0.3">
      <c r="A2902" s="26"/>
      <c r="B2902" s="26"/>
      <c r="C2902" s="26"/>
      <c r="D2902" s="26"/>
      <c r="E2902" s="26"/>
      <c r="F2902" s="26"/>
      <c r="G2902" s="26"/>
      <c r="H2902" s="26"/>
      <c r="I2902" s="26"/>
      <c r="J2902" s="26"/>
      <c r="K2902" s="26"/>
      <c r="L2902" s="26"/>
      <c r="M2902" s="26"/>
      <c r="N2902" s="26"/>
      <c r="O2902" s="26"/>
      <c r="P2902" s="26"/>
    </row>
    <row r="2903" spans="1:16" x14ac:dyDescent="0.3">
      <c r="A2903" s="26"/>
      <c r="B2903" s="26"/>
      <c r="C2903" s="26"/>
      <c r="D2903" s="26"/>
      <c r="E2903" s="26"/>
      <c r="F2903" s="26"/>
      <c r="G2903" s="26"/>
      <c r="H2903" s="26"/>
      <c r="I2903" s="26"/>
      <c r="J2903" s="26"/>
      <c r="K2903" s="26"/>
      <c r="L2903" s="26"/>
      <c r="M2903" s="26"/>
      <c r="N2903" s="26"/>
      <c r="O2903" s="26"/>
      <c r="P2903" s="26"/>
    </row>
    <row r="2904" spans="1:16" x14ac:dyDescent="0.3">
      <c r="A2904" s="26"/>
      <c r="B2904" s="26"/>
      <c r="C2904" s="26"/>
      <c r="D2904" s="26"/>
      <c r="E2904" s="26"/>
      <c r="F2904" s="26"/>
      <c r="G2904" s="26"/>
      <c r="H2904" s="26"/>
      <c r="I2904" s="26"/>
      <c r="J2904" s="26"/>
      <c r="K2904" s="26"/>
      <c r="L2904" s="26"/>
      <c r="M2904" s="26"/>
      <c r="N2904" s="26"/>
      <c r="O2904" s="26"/>
      <c r="P2904" s="26"/>
    </row>
    <row r="2905" spans="1:16" x14ac:dyDescent="0.3">
      <c r="A2905" s="26"/>
      <c r="B2905" s="26"/>
      <c r="C2905" s="26"/>
      <c r="D2905" s="26"/>
      <c r="E2905" s="26"/>
      <c r="F2905" s="26"/>
      <c r="G2905" s="26"/>
      <c r="H2905" s="26"/>
      <c r="I2905" s="26"/>
      <c r="J2905" s="26"/>
      <c r="K2905" s="26"/>
      <c r="L2905" s="26"/>
      <c r="M2905" s="26"/>
      <c r="N2905" s="26"/>
      <c r="O2905" s="26"/>
      <c r="P2905" s="26"/>
    </row>
    <row r="2906" spans="1:16" x14ac:dyDescent="0.3">
      <c r="A2906" s="26"/>
      <c r="B2906" s="26"/>
      <c r="C2906" s="26"/>
      <c r="D2906" s="26"/>
      <c r="E2906" s="26"/>
      <c r="F2906" s="26"/>
      <c r="G2906" s="26"/>
      <c r="H2906" s="26"/>
      <c r="I2906" s="26"/>
      <c r="J2906" s="26"/>
      <c r="K2906" s="26"/>
      <c r="L2906" s="26"/>
      <c r="M2906" s="26"/>
      <c r="N2906" s="26"/>
      <c r="O2906" s="26"/>
      <c r="P2906" s="26"/>
    </row>
    <row r="2907" spans="1:16" x14ac:dyDescent="0.3">
      <c r="A2907" s="26"/>
      <c r="B2907" s="26"/>
      <c r="C2907" s="26"/>
      <c r="D2907" s="26"/>
      <c r="E2907" s="26"/>
      <c r="F2907" s="26"/>
      <c r="G2907" s="26"/>
      <c r="H2907" s="26"/>
      <c r="I2907" s="26"/>
      <c r="J2907" s="26"/>
      <c r="K2907" s="26"/>
      <c r="L2907" s="26"/>
      <c r="M2907" s="26"/>
      <c r="N2907" s="26"/>
      <c r="O2907" s="26"/>
      <c r="P2907" s="26"/>
    </row>
    <row r="2908" spans="1:16" x14ac:dyDescent="0.3">
      <c r="A2908" s="26"/>
      <c r="B2908" s="26"/>
      <c r="C2908" s="26"/>
      <c r="D2908" s="26"/>
      <c r="E2908" s="26"/>
      <c r="F2908" s="26"/>
      <c r="G2908" s="26"/>
      <c r="H2908" s="26"/>
      <c r="I2908" s="26"/>
      <c r="J2908" s="26"/>
      <c r="K2908" s="26"/>
      <c r="L2908" s="26"/>
      <c r="M2908" s="26"/>
      <c r="N2908" s="26"/>
      <c r="O2908" s="26"/>
      <c r="P2908" s="26"/>
    </row>
    <row r="2909" spans="1:16" x14ac:dyDescent="0.3">
      <c r="A2909" s="26"/>
      <c r="B2909" s="26"/>
      <c r="C2909" s="26"/>
      <c r="D2909" s="26"/>
      <c r="E2909" s="26"/>
      <c r="F2909" s="26"/>
      <c r="G2909" s="26"/>
      <c r="H2909" s="26"/>
      <c r="I2909" s="26"/>
      <c r="J2909" s="26"/>
      <c r="K2909" s="26"/>
      <c r="L2909" s="26"/>
      <c r="M2909" s="26"/>
      <c r="N2909" s="26"/>
      <c r="O2909" s="26"/>
      <c r="P2909" s="26"/>
    </row>
    <row r="2910" spans="1:16" x14ac:dyDescent="0.3">
      <c r="A2910" s="26"/>
      <c r="B2910" s="26"/>
      <c r="C2910" s="26"/>
      <c r="D2910" s="26"/>
      <c r="E2910" s="26"/>
      <c r="F2910" s="26"/>
      <c r="G2910" s="26"/>
      <c r="H2910" s="26"/>
      <c r="I2910" s="26"/>
      <c r="J2910" s="26"/>
      <c r="K2910" s="26"/>
      <c r="L2910" s="26"/>
      <c r="M2910" s="26"/>
      <c r="N2910" s="26"/>
      <c r="O2910" s="26"/>
      <c r="P2910" s="26"/>
    </row>
    <row r="2911" spans="1:16" x14ac:dyDescent="0.3">
      <c r="A2911" s="26"/>
      <c r="B2911" s="26"/>
      <c r="C2911" s="26"/>
      <c r="D2911" s="26"/>
      <c r="E2911" s="26"/>
      <c r="F2911" s="26"/>
      <c r="G2911" s="26"/>
      <c r="H2911" s="26"/>
      <c r="I2911" s="26"/>
      <c r="J2911" s="26"/>
      <c r="K2911" s="26"/>
      <c r="L2911" s="26"/>
      <c r="M2911" s="26"/>
      <c r="N2911" s="26"/>
      <c r="O2911" s="26"/>
      <c r="P2911" s="26"/>
    </row>
    <row r="2912" spans="1:16" x14ac:dyDescent="0.3">
      <c r="A2912" s="26"/>
      <c r="B2912" s="26"/>
      <c r="C2912" s="26"/>
      <c r="D2912" s="26"/>
      <c r="E2912" s="26"/>
      <c r="F2912" s="26"/>
      <c r="G2912" s="26"/>
      <c r="H2912" s="26"/>
      <c r="I2912" s="26"/>
      <c r="J2912" s="26"/>
      <c r="K2912" s="26"/>
      <c r="L2912" s="26"/>
      <c r="M2912" s="26"/>
      <c r="N2912" s="26"/>
      <c r="O2912" s="26"/>
      <c r="P2912" s="26"/>
    </row>
    <row r="2913" spans="1:16" x14ac:dyDescent="0.3">
      <c r="A2913" s="26"/>
      <c r="B2913" s="26"/>
      <c r="C2913" s="26"/>
      <c r="D2913" s="26"/>
      <c r="E2913" s="26"/>
      <c r="F2913" s="26"/>
      <c r="G2913" s="26"/>
      <c r="H2913" s="26"/>
      <c r="I2913" s="26"/>
      <c r="J2913" s="26"/>
      <c r="K2913" s="26"/>
      <c r="L2913" s="26"/>
      <c r="M2913" s="26"/>
      <c r="N2913" s="26"/>
      <c r="O2913" s="26"/>
      <c r="P2913" s="26"/>
    </row>
    <row r="2914" spans="1:16" x14ac:dyDescent="0.3">
      <c r="A2914" s="26"/>
      <c r="B2914" s="26"/>
      <c r="C2914" s="26"/>
      <c r="D2914" s="26"/>
      <c r="E2914" s="26"/>
      <c r="F2914" s="26"/>
      <c r="G2914" s="26"/>
      <c r="H2914" s="26"/>
      <c r="I2914" s="26"/>
      <c r="J2914" s="26"/>
      <c r="K2914" s="26"/>
      <c r="L2914" s="26"/>
      <c r="M2914" s="26"/>
      <c r="N2914" s="26"/>
      <c r="O2914" s="26"/>
      <c r="P2914" s="26"/>
    </row>
    <row r="2915" spans="1:16" x14ac:dyDescent="0.3">
      <c r="A2915" s="26"/>
      <c r="B2915" s="26"/>
      <c r="C2915" s="26"/>
      <c r="D2915" s="26"/>
      <c r="E2915" s="26"/>
      <c r="F2915" s="26"/>
      <c r="G2915" s="26"/>
      <c r="H2915" s="26"/>
      <c r="I2915" s="26"/>
      <c r="J2915" s="26"/>
      <c r="K2915" s="26"/>
      <c r="L2915" s="26"/>
      <c r="M2915" s="26"/>
      <c r="N2915" s="26"/>
      <c r="O2915" s="26"/>
      <c r="P2915" s="26"/>
    </row>
    <row r="2916" spans="1:16" x14ac:dyDescent="0.3">
      <c r="A2916" s="26"/>
      <c r="B2916" s="26"/>
      <c r="C2916" s="26"/>
      <c r="D2916" s="26"/>
      <c r="E2916" s="26"/>
      <c r="F2916" s="26"/>
      <c r="G2916" s="26"/>
      <c r="H2916" s="26"/>
      <c r="I2916" s="26"/>
      <c r="J2916" s="26"/>
      <c r="K2916" s="26"/>
      <c r="L2916" s="26"/>
      <c r="M2916" s="26"/>
      <c r="N2916" s="26"/>
      <c r="O2916" s="26"/>
      <c r="P2916" s="26"/>
    </row>
    <row r="2917" spans="1:16" x14ac:dyDescent="0.3">
      <c r="A2917" s="26"/>
      <c r="B2917" s="26"/>
      <c r="C2917" s="26"/>
      <c r="D2917" s="26"/>
      <c r="E2917" s="26"/>
      <c r="F2917" s="26"/>
      <c r="G2917" s="26"/>
      <c r="H2917" s="26"/>
      <c r="I2917" s="26"/>
      <c r="J2917" s="26"/>
      <c r="K2917" s="26"/>
      <c r="L2917" s="26"/>
      <c r="M2917" s="26"/>
      <c r="N2917" s="26"/>
      <c r="O2917" s="26"/>
      <c r="P2917" s="26"/>
    </row>
    <row r="2918" spans="1:16" x14ac:dyDescent="0.3">
      <c r="A2918" s="26"/>
      <c r="B2918" s="26"/>
      <c r="C2918" s="26"/>
      <c r="D2918" s="26"/>
      <c r="E2918" s="26"/>
      <c r="F2918" s="26"/>
      <c r="G2918" s="26"/>
      <c r="H2918" s="26"/>
      <c r="I2918" s="26"/>
      <c r="J2918" s="26"/>
      <c r="K2918" s="26"/>
      <c r="L2918" s="26"/>
      <c r="M2918" s="26"/>
      <c r="N2918" s="26"/>
      <c r="O2918" s="26"/>
      <c r="P2918" s="26"/>
    </row>
    <row r="2919" spans="1:16" x14ac:dyDescent="0.3">
      <c r="A2919" s="26"/>
      <c r="B2919" s="26"/>
      <c r="C2919" s="26"/>
      <c r="D2919" s="26"/>
      <c r="E2919" s="26"/>
      <c r="F2919" s="26"/>
      <c r="G2919" s="26"/>
      <c r="H2919" s="26"/>
      <c r="I2919" s="26"/>
      <c r="J2919" s="26"/>
      <c r="K2919" s="26"/>
      <c r="L2919" s="26"/>
      <c r="M2919" s="26"/>
      <c r="N2919" s="26"/>
      <c r="O2919" s="26"/>
      <c r="P2919" s="26"/>
    </row>
    <row r="2920" spans="1:16" x14ac:dyDescent="0.3">
      <c r="A2920" s="26"/>
      <c r="B2920" s="26"/>
      <c r="C2920" s="26"/>
      <c r="D2920" s="26"/>
      <c r="E2920" s="26"/>
      <c r="F2920" s="26"/>
      <c r="G2920" s="26"/>
      <c r="H2920" s="26"/>
      <c r="I2920" s="26"/>
      <c r="J2920" s="26"/>
      <c r="K2920" s="26"/>
      <c r="L2920" s="26"/>
      <c r="M2920" s="26"/>
      <c r="N2920" s="26"/>
      <c r="O2920" s="26"/>
      <c r="P2920" s="26"/>
    </row>
    <row r="2921" spans="1:16" x14ac:dyDescent="0.3">
      <c r="A2921" s="26"/>
      <c r="B2921" s="26"/>
      <c r="C2921" s="26"/>
      <c r="D2921" s="26"/>
      <c r="E2921" s="26"/>
      <c r="F2921" s="26"/>
      <c r="G2921" s="26"/>
      <c r="H2921" s="26"/>
      <c r="I2921" s="26"/>
      <c r="J2921" s="26"/>
      <c r="K2921" s="26"/>
      <c r="L2921" s="26"/>
      <c r="M2921" s="26"/>
      <c r="N2921" s="26"/>
      <c r="O2921" s="26"/>
      <c r="P2921" s="26"/>
    </row>
    <row r="2922" spans="1:16" x14ac:dyDescent="0.3">
      <c r="A2922" s="26"/>
      <c r="B2922" s="26"/>
      <c r="C2922" s="26"/>
      <c r="D2922" s="26"/>
      <c r="E2922" s="26"/>
      <c r="F2922" s="26"/>
      <c r="G2922" s="26"/>
      <c r="H2922" s="26"/>
      <c r="I2922" s="26"/>
      <c r="J2922" s="26"/>
      <c r="K2922" s="26"/>
      <c r="L2922" s="26"/>
      <c r="M2922" s="26"/>
      <c r="N2922" s="26"/>
      <c r="O2922" s="26"/>
      <c r="P2922" s="26"/>
    </row>
    <row r="2923" spans="1:16" x14ac:dyDescent="0.3">
      <c r="A2923" s="26"/>
      <c r="B2923" s="26"/>
      <c r="C2923" s="26"/>
      <c r="D2923" s="26"/>
      <c r="E2923" s="26"/>
      <c r="F2923" s="26"/>
      <c r="G2923" s="26"/>
      <c r="H2923" s="26"/>
      <c r="I2923" s="26"/>
      <c r="J2923" s="26"/>
      <c r="K2923" s="26"/>
      <c r="L2923" s="26"/>
      <c r="M2923" s="26"/>
      <c r="N2923" s="26"/>
      <c r="O2923" s="26"/>
      <c r="P2923" s="26"/>
    </row>
    <row r="2924" spans="1:16" x14ac:dyDescent="0.3">
      <c r="A2924" s="26"/>
      <c r="B2924" s="26"/>
      <c r="C2924" s="26"/>
      <c r="D2924" s="26"/>
      <c r="E2924" s="26"/>
      <c r="F2924" s="26"/>
      <c r="G2924" s="26"/>
      <c r="H2924" s="26"/>
      <c r="I2924" s="26"/>
      <c r="J2924" s="26"/>
      <c r="K2924" s="26"/>
      <c r="L2924" s="26"/>
      <c r="M2924" s="26"/>
      <c r="N2924" s="26"/>
      <c r="O2924" s="26"/>
      <c r="P2924" s="26"/>
    </row>
    <row r="2925" spans="1:16" x14ac:dyDescent="0.3">
      <c r="A2925" s="26"/>
      <c r="B2925" s="26"/>
      <c r="C2925" s="26"/>
      <c r="D2925" s="26"/>
      <c r="E2925" s="26"/>
      <c r="F2925" s="26"/>
      <c r="G2925" s="26"/>
      <c r="H2925" s="26"/>
      <c r="I2925" s="26"/>
      <c r="J2925" s="26"/>
      <c r="K2925" s="26"/>
      <c r="L2925" s="26"/>
      <c r="M2925" s="26"/>
      <c r="N2925" s="26"/>
      <c r="O2925" s="26"/>
      <c r="P2925" s="26"/>
    </row>
    <row r="2926" spans="1:16" x14ac:dyDescent="0.3">
      <c r="A2926" s="26"/>
      <c r="B2926" s="26"/>
      <c r="C2926" s="26"/>
      <c r="D2926" s="26"/>
      <c r="E2926" s="26"/>
      <c r="F2926" s="26"/>
      <c r="G2926" s="26"/>
      <c r="H2926" s="26"/>
      <c r="I2926" s="26"/>
      <c r="J2926" s="26"/>
      <c r="K2926" s="26"/>
      <c r="L2926" s="26"/>
      <c r="M2926" s="26"/>
      <c r="N2926" s="26"/>
      <c r="O2926" s="26"/>
      <c r="P2926" s="26"/>
    </row>
    <row r="2927" spans="1:16" x14ac:dyDescent="0.3">
      <c r="A2927" s="26"/>
      <c r="B2927" s="26"/>
      <c r="C2927" s="26"/>
      <c r="D2927" s="26"/>
      <c r="E2927" s="26"/>
      <c r="F2927" s="26"/>
      <c r="G2927" s="26"/>
      <c r="H2927" s="26"/>
      <c r="I2927" s="26"/>
      <c r="J2927" s="26"/>
      <c r="K2927" s="26"/>
      <c r="L2927" s="26"/>
      <c r="M2927" s="26"/>
      <c r="N2927" s="26"/>
      <c r="O2927" s="26"/>
      <c r="P2927" s="26"/>
    </row>
    <row r="2928" spans="1:16" x14ac:dyDescent="0.3">
      <c r="A2928" s="26"/>
      <c r="B2928" s="26"/>
      <c r="C2928" s="26"/>
      <c r="D2928" s="26"/>
      <c r="E2928" s="26"/>
      <c r="F2928" s="26"/>
      <c r="G2928" s="26"/>
      <c r="H2928" s="26"/>
      <c r="I2928" s="26"/>
      <c r="J2928" s="26"/>
      <c r="K2928" s="26"/>
      <c r="L2928" s="26"/>
      <c r="M2928" s="26"/>
      <c r="N2928" s="26"/>
      <c r="O2928" s="26"/>
      <c r="P2928" s="26"/>
    </row>
    <row r="2929" spans="1:16" x14ac:dyDescent="0.3">
      <c r="A2929" s="26"/>
      <c r="B2929" s="26"/>
      <c r="C2929" s="26"/>
      <c r="D2929" s="26"/>
      <c r="E2929" s="26"/>
      <c r="F2929" s="26"/>
      <c r="G2929" s="26"/>
      <c r="H2929" s="26"/>
      <c r="I2929" s="26"/>
      <c r="J2929" s="26"/>
      <c r="K2929" s="26"/>
      <c r="L2929" s="26"/>
      <c r="M2929" s="26"/>
      <c r="N2929" s="26"/>
      <c r="O2929" s="26"/>
      <c r="P2929" s="26"/>
    </row>
    <row r="2930" spans="1:16" x14ac:dyDescent="0.3">
      <c r="A2930" s="26"/>
      <c r="B2930" s="26"/>
      <c r="C2930" s="26"/>
      <c r="D2930" s="26"/>
      <c r="E2930" s="26"/>
      <c r="F2930" s="26"/>
      <c r="G2930" s="26"/>
      <c r="H2930" s="26"/>
      <c r="I2930" s="26"/>
      <c r="J2930" s="26"/>
      <c r="K2930" s="26"/>
      <c r="L2930" s="26"/>
      <c r="M2930" s="26"/>
      <c r="N2930" s="26"/>
      <c r="O2930" s="26"/>
      <c r="P2930" s="26"/>
    </row>
    <row r="2931" spans="1:16" x14ac:dyDescent="0.3">
      <c r="A2931" s="26"/>
      <c r="B2931" s="26"/>
      <c r="C2931" s="26"/>
      <c r="D2931" s="26"/>
      <c r="E2931" s="26"/>
      <c r="F2931" s="26"/>
      <c r="G2931" s="26"/>
      <c r="H2931" s="26"/>
      <c r="I2931" s="26"/>
      <c r="J2931" s="26"/>
      <c r="K2931" s="26"/>
      <c r="L2931" s="26"/>
      <c r="M2931" s="26"/>
      <c r="N2931" s="26"/>
      <c r="O2931" s="26"/>
      <c r="P2931" s="26"/>
    </row>
    <row r="2932" spans="1:16" x14ac:dyDescent="0.3">
      <c r="A2932" s="26"/>
      <c r="B2932" s="26"/>
      <c r="C2932" s="26"/>
      <c r="D2932" s="26"/>
      <c r="E2932" s="26"/>
      <c r="F2932" s="26"/>
      <c r="G2932" s="26"/>
      <c r="H2932" s="26"/>
      <c r="I2932" s="26"/>
      <c r="J2932" s="26"/>
      <c r="K2932" s="26"/>
      <c r="L2932" s="26"/>
      <c r="M2932" s="26"/>
      <c r="N2932" s="26"/>
      <c r="O2932" s="26"/>
      <c r="P2932" s="26"/>
    </row>
    <row r="2933" spans="1:16" x14ac:dyDescent="0.3">
      <c r="A2933" s="26"/>
      <c r="B2933" s="26"/>
      <c r="C2933" s="26"/>
      <c r="D2933" s="26"/>
      <c r="E2933" s="26"/>
      <c r="F2933" s="26"/>
      <c r="G2933" s="26"/>
      <c r="H2933" s="26"/>
      <c r="I2933" s="26"/>
      <c r="J2933" s="26"/>
      <c r="K2933" s="26"/>
      <c r="L2933" s="26"/>
      <c r="M2933" s="26"/>
      <c r="N2933" s="26"/>
      <c r="O2933" s="26"/>
      <c r="P2933" s="26"/>
    </row>
    <row r="2934" spans="1:16" x14ac:dyDescent="0.3">
      <c r="A2934" s="26"/>
      <c r="B2934" s="26"/>
      <c r="C2934" s="26"/>
      <c r="D2934" s="26"/>
      <c r="E2934" s="26"/>
      <c r="F2934" s="26"/>
      <c r="G2934" s="26"/>
      <c r="H2934" s="26"/>
      <c r="I2934" s="26"/>
      <c r="J2934" s="26"/>
      <c r="K2934" s="26"/>
      <c r="L2934" s="26"/>
      <c r="M2934" s="26"/>
      <c r="N2934" s="26"/>
      <c r="O2934" s="26"/>
      <c r="P2934" s="26"/>
    </row>
    <row r="2935" spans="1:16" x14ac:dyDescent="0.3">
      <c r="A2935" s="26"/>
      <c r="B2935" s="26"/>
      <c r="C2935" s="26"/>
      <c r="D2935" s="26"/>
      <c r="E2935" s="26"/>
      <c r="F2935" s="26"/>
      <c r="G2935" s="26"/>
      <c r="H2935" s="26"/>
      <c r="I2935" s="26"/>
      <c r="J2935" s="26"/>
      <c r="K2935" s="26"/>
      <c r="L2935" s="26"/>
      <c r="M2935" s="26"/>
      <c r="N2935" s="26"/>
      <c r="O2935" s="26"/>
      <c r="P2935" s="26"/>
    </row>
    <row r="2936" spans="1:16" x14ac:dyDescent="0.3">
      <c r="A2936" s="26"/>
      <c r="B2936" s="26"/>
      <c r="C2936" s="26"/>
      <c r="D2936" s="26"/>
      <c r="E2936" s="26"/>
      <c r="F2936" s="26"/>
      <c r="G2936" s="26"/>
      <c r="H2936" s="26"/>
      <c r="I2936" s="26"/>
      <c r="J2936" s="26"/>
      <c r="K2936" s="26"/>
      <c r="L2936" s="26"/>
      <c r="M2936" s="26"/>
      <c r="N2936" s="26"/>
      <c r="O2936" s="26"/>
      <c r="P2936" s="26"/>
    </row>
    <row r="2937" spans="1:16" x14ac:dyDescent="0.3">
      <c r="A2937" s="26"/>
      <c r="B2937" s="26"/>
      <c r="C2937" s="26"/>
      <c r="D2937" s="26"/>
      <c r="E2937" s="26"/>
      <c r="F2937" s="26"/>
      <c r="G2937" s="26"/>
      <c r="H2937" s="26"/>
      <c r="I2937" s="26"/>
      <c r="J2937" s="26"/>
      <c r="K2937" s="26"/>
      <c r="L2937" s="26"/>
      <c r="M2937" s="26"/>
      <c r="N2937" s="26"/>
      <c r="O2937" s="26"/>
      <c r="P2937" s="26"/>
    </row>
    <row r="2938" spans="1:16" x14ac:dyDescent="0.3">
      <c r="A2938" s="26"/>
      <c r="B2938" s="26"/>
      <c r="C2938" s="26"/>
      <c r="D2938" s="26"/>
      <c r="E2938" s="26"/>
      <c r="F2938" s="26"/>
      <c r="G2938" s="26"/>
      <c r="H2938" s="26"/>
      <c r="I2938" s="26"/>
      <c r="J2938" s="26"/>
      <c r="K2938" s="26"/>
      <c r="L2938" s="26"/>
      <c r="M2938" s="26"/>
      <c r="N2938" s="26"/>
      <c r="O2938" s="26"/>
      <c r="P2938" s="26"/>
    </row>
    <row r="2939" spans="1:16" x14ac:dyDescent="0.3">
      <c r="A2939" s="26"/>
      <c r="B2939" s="26"/>
      <c r="C2939" s="26"/>
      <c r="D2939" s="26"/>
      <c r="E2939" s="26"/>
      <c r="F2939" s="26"/>
      <c r="G2939" s="26"/>
      <c r="H2939" s="26"/>
      <c r="I2939" s="26"/>
      <c r="J2939" s="26"/>
      <c r="K2939" s="26"/>
      <c r="L2939" s="26"/>
      <c r="M2939" s="26"/>
      <c r="N2939" s="26"/>
      <c r="O2939" s="26"/>
      <c r="P2939" s="26"/>
    </row>
    <row r="2940" spans="1:16" x14ac:dyDescent="0.3">
      <c r="A2940" s="26"/>
      <c r="B2940" s="26"/>
      <c r="C2940" s="26"/>
      <c r="D2940" s="26"/>
      <c r="E2940" s="26"/>
      <c r="F2940" s="26"/>
      <c r="G2940" s="26"/>
      <c r="H2940" s="26"/>
      <c r="I2940" s="26"/>
      <c r="J2940" s="26"/>
      <c r="K2940" s="26"/>
      <c r="L2940" s="26"/>
      <c r="M2940" s="26"/>
      <c r="N2940" s="26"/>
      <c r="O2940" s="26"/>
      <c r="P2940" s="26"/>
    </row>
    <row r="2941" spans="1:16" x14ac:dyDescent="0.3">
      <c r="A2941" s="26"/>
      <c r="B2941" s="26"/>
      <c r="C2941" s="26"/>
      <c r="D2941" s="26"/>
      <c r="E2941" s="26"/>
      <c r="F2941" s="26"/>
      <c r="G2941" s="26"/>
      <c r="H2941" s="26"/>
      <c r="I2941" s="26"/>
      <c r="J2941" s="26"/>
      <c r="K2941" s="26"/>
      <c r="L2941" s="26"/>
      <c r="M2941" s="26"/>
      <c r="N2941" s="26"/>
      <c r="O2941" s="26"/>
      <c r="P2941" s="26"/>
    </row>
    <row r="2942" spans="1:16" x14ac:dyDescent="0.3">
      <c r="A2942" s="26"/>
      <c r="B2942" s="26"/>
      <c r="C2942" s="26"/>
      <c r="D2942" s="26"/>
      <c r="E2942" s="26"/>
      <c r="F2942" s="26"/>
      <c r="G2942" s="26"/>
      <c r="H2942" s="26"/>
      <c r="I2942" s="26"/>
      <c r="J2942" s="26"/>
      <c r="K2942" s="26"/>
      <c r="L2942" s="26"/>
      <c r="M2942" s="26"/>
      <c r="N2942" s="26"/>
      <c r="O2942" s="26"/>
      <c r="P2942" s="26"/>
    </row>
    <row r="2943" spans="1:16" x14ac:dyDescent="0.3">
      <c r="A2943" s="26"/>
      <c r="B2943" s="26"/>
      <c r="C2943" s="26"/>
      <c r="D2943" s="26"/>
      <c r="E2943" s="26"/>
      <c r="F2943" s="26"/>
      <c r="G2943" s="26"/>
      <c r="H2943" s="26"/>
      <c r="I2943" s="26"/>
      <c r="J2943" s="26"/>
      <c r="K2943" s="26"/>
      <c r="L2943" s="26"/>
      <c r="M2943" s="26"/>
      <c r="N2943" s="26"/>
      <c r="O2943" s="26"/>
      <c r="P2943" s="26"/>
    </row>
    <row r="2944" spans="1:16" x14ac:dyDescent="0.3">
      <c r="A2944" s="26"/>
      <c r="B2944" s="26"/>
      <c r="C2944" s="26"/>
      <c r="D2944" s="26"/>
      <c r="E2944" s="26"/>
      <c r="F2944" s="26"/>
      <c r="G2944" s="26"/>
      <c r="H2944" s="26"/>
      <c r="I2944" s="26"/>
      <c r="J2944" s="26"/>
      <c r="K2944" s="26"/>
      <c r="L2944" s="26"/>
      <c r="M2944" s="26"/>
      <c r="N2944" s="26"/>
      <c r="O2944" s="26"/>
      <c r="P2944" s="26"/>
    </row>
    <row r="2945" spans="1:16" x14ac:dyDescent="0.3">
      <c r="A2945" s="26"/>
      <c r="B2945" s="26"/>
      <c r="C2945" s="26"/>
      <c r="D2945" s="26"/>
      <c r="E2945" s="26"/>
      <c r="F2945" s="26"/>
      <c r="G2945" s="26"/>
      <c r="H2945" s="26"/>
      <c r="I2945" s="26"/>
      <c r="J2945" s="26"/>
      <c r="K2945" s="26"/>
      <c r="L2945" s="26"/>
      <c r="M2945" s="26"/>
      <c r="N2945" s="26"/>
      <c r="O2945" s="26"/>
      <c r="P2945" s="26"/>
    </row>
    <row r="2946" spans="1:16" x14ac:dyDescent="0.3">
      <c r="A2946" s="26"/>
      <c r="B2946" s="26"/>
      <c r="C2946" s="26"/>
      <c r="D2946" s="26"/>
      <c r="E2946" s="26"/>
      <c r="F2946" s="26"/>
      <c r="G2946" s="26"/>
      <c r="H2946" s="26"/>
      <c r="I2946" s="26"/>
      <c r="J2946" s="26"/>
      <c r="K2946" s="26"/>
      <c r="L2946" s="26"/>
      <c r="M2946" s="26"/>
      <c r="N2946" s="26"/>
      <c r="O2946" s="26"/>
      <c r="P2946" s="26"/>
    </row>
    <row r="2947" spans="1:16" x14ac:dyDescent="0.3">
      <c r="A2947" s="26"/>
      <c r="B2947" s="26"/>
      <c r="C2947" s="26"/>
      <c r="D2947" s="26"/>
      <c r="E2947" s="26"/>
      <c r="F2947" s="26"/>
      <c r="G2947" s="26"/>
      <c r="H2947" s="26"/>
      <c r="I2947" s="26"/>
      <c r="J2947" s="26"/>
      <c r="K2947" s="26"/>
      <c r="L2947" s="26"/>
      <c r="M2947" s="26"/>
      <c r="N2947" s="26"/>
      <c r="O2947" s="26"/>
      <c r="P2947" s="26"/>
    </row>
    <row r="2948" spans="1:16" x14ac:dyDescent="0.3">
      <c r="A2948" s="26"/>
      <c r="B2948" s="26"/>
      <c r="C2948" s="26"/>
      <c r="D2948" s="26"/>
      <c r="E2948" s="26"/>
      <c r="F2948" s="26"/>
      <c r="G2948" s="26"/>
      <c r="H2948" s="26"/>
      <c r="I2948" s="26"/>
      <c r="J2948" s="26"/>
      <c r="K2948" s="26"/>
      <c r="L2948" s="26"/>
      <c r="M2948" s="26"/>
      <c r="N2948" s="26"/>
      <c r="O2948" s="26"/>
      <c r="P2948" s="26"/>
    </row>
    <row r="2949" spans="1:16" x14ac:dyDescent="0.3">
      <c r="A2949" s="26"/>
      <c r="B2949" s="26"/>
      <c r="C2949" s="26"/>
      <c r="D2949" s="26"/>
      <c r="E2949" s="26"/>
      <c r="F2949" s="26"/>
      <c r="G2949" s="26"/>
      <c r="H2949" s="26"/>
      <c r="I2949" s="26"/>
      <c r="J2949" s="26"/>
      <c r="K2949" s="26"/>
      <c r="L2949" s="26"/>
      <c r="M2949" s="26"/>
      <c r="N2949" s="26"/>
      <c r="O2949" s="26"/>
      <c r="P2949" s="26"/>
    </row>
    <row r="2950" spans="1:16" x14ac:dyDescent="0.3">
      <c r="A2950" s="26"/>
      <c r="B2950" s="26"/>
      <c r="C2950" s="26"/>
      <c r="D2950" s="26"/>
      <c r="E2950" s="26"/>
      <c r="F2950" s="26"/>
      <c r="G2950" s="26"/>
      <c r="H2950" s="26"/>
      <c r="I2950" s="26"/>
      <c r="J2950" s="26"/>
      <c r="K2950" s="26"/>
      <c r="L2950" s="26"/>
      <c r="M2950" s="26"/>
      <c r="N2950" s="26"/>
      <c r="O2950" s="26"/>
      <c r="P2950" s="26"/>
    </row>
    <row r="2951" spans="1:16" x14ac:dyDescent="0.3">
      <c r="A2951" s="26"/>
      <c r="B2951" s="26"/>
      <c r="C2951" s="26"/>
      <c r="D2951" s="26"/>
      <c r="E2951" s="26"/>
      <c r="F2951" s="26"/>
      <c r="G2951" s="26"/>
      <c r="H2951" s="26"/>
      <c r="I2951" s="26"/>
      <c r="J2951" s="26"/>
      <c r="K2951" s="26"/>
      <c r="L2951" s="26"/>
      <c r="M2951" s="26"/>
      <c r="N2951" s="26"/>
      <c r="O2951" s="26"/>
      <c r="P2951" s="26"/>
    </row>
    <row r="2952" spans="1:16" x14ac:dyDescent="0.3">
      <c r="A2952" s="26"/>
      <c r="B2952" s="26"/>
      <c r="C2952" s="26"/>
      <c r="D2952" s="26"/>
      <c r="E2952" s="26"/>
      <c r="F2952" s="26"/>
      <c r="G2952" s="26"/>
      <c r="H2952" s="26"/>
      <c r="I2952" s="26"/>
      <c r="J2952" s="26"/>
      <c r="K2952" s="26"/>
      <c r="L2952" s="26"/>
      <c r="M2952" s="26"/>
      <c r="N2952" s="26"/>
      <c r="O2952" s="26"/>
      <c r="P2952" s="26"/>
    </row>
    <row r="2953" spans="1:16" x14ac:dyDescent="0.3">
      <c r="A2953" s="26"/>
      <c r="B2953" s="26"/>
      <c r="C2953" s="26"/>
      <c r="D2953" s="26"/>
      <c r="E2953" s="26"/>
      <c r="F2953" s="26"/>
      <c r="G2953" s="26"/>
      <c r="H2953" s="26"/>
      <c r="I2953" s="26"/>
      <c r="J2953" s="26"/>
      <c r="K2953" s="26"/>
      <c r="L2953" s="26"/>
      <c r="M2953" s="26"/>
      <c r="N2953" s="26"/>
      <c r="O2953" s="26"/>
      <c r="P2953" s="26"/>
    </row>
    <row r="2954" spans="1:16" x14ac:dyDescent="0.3">
      <c r="A2954" s="26"/>
      <c r="B2954" s="26"/>
      <c r="C2954" s="26"/>
      <c r="D2954" s="26"/>
      <c r="E2954" s="26"/>
      <c r="F2954" s="26"/>
      <c r="G2954" s="26"/>
      <c r="H2954" s="26"/>
      <c r="I2954" s="26"/>
      <c r="J2954" s="26"/>
      <c r="K2954" s="26"/>
      <c r="L2954" s="26"/>
      <c r="M2954" s="26"/>
      <c r="N2954" s="26"/>
      <c r="O2954" s="26"/>
      <c r="P2954" s="26"/>
    </row>
    <row r="2955" spans="1:16" x14ac:dyDescent="0.3">
      <c r="A2955" s="26"/>
      <c r="B2955" s="26"/>
      <c r="C2955" s="26"/>
      <c r="D2955" s="26"/>
      <c r="E2955" s="26"/>
      <c r="F2955" s="26"/>
      <c r="G2955" s="26"/>
      <c r="H2955" s="26"/>
      <c r="I2955" s="26"/>
      <c r="J2955" s="26"/>
      <c r="K2955" s="26"/>
      <c r="L2955" s="26"/>
      <c r="M2955" s="26"/>
      <c r="N2955" s="26"/>
      <c r="O2955" s="26"/>
      <c r="P2955" s="26"/>
    </row>
    <row r="2956" spans="1:16" x14ac:dyDescent="0.3">
      <c r="A2956" s="26"/>
      <c r="B2956" s="26"/>
      <c r="C2956" s="26"/>
      <c r="D2956" s="26"/>
      <c r="E2956" s="26"/>
      <c r="F2956" s="26"/>
      <c r="G2956" s="26"/>
      <c r="H2956" s="26"/>
      <c r="I2956" s="26"/>
      <c r="J2956" s="26"/>
      <c r="K2956" s="26"/>
      <c r="L2956" s="26"/>
      <c r="M2956" s="26"/>
      <c r="N2956" s="26"/>
      <c r="O2956" s="26"/>
      <c r="P2956" s="26"/>
    </row>
    <row r="2957" spans="1:16" x14ac:dyDescent="0.3">
      <c r="A2957" s="26"/>
      <c r="B2957" s="26"/>
      <c r="C2957" s="26"/>
      <c r="D2957" s="26"/>
      <c r="E2957" s="26"/>
      <c r="F2957" s="26"/>
      <c r="G2957" s="26"/>
      <c r="H2957" s="26"/>
      <c r="I2957" s="26"/>
      <c r="J2957" s="26"/>
      <c r="K2957" s="26"/>
      <c r="L2957" s="26"/>
      <c r="M2957" s="26"/>
      <c r="N2957" s="26"/>
      <c r="O2957" s="26"/>
      <c r="P2957" s="26"/>
    </row>
    <row r="2958" spans="1:16" x14ac:dyDescent="0.3">
      <c r="A2958" s="26"/>
      <c r="B2958" s="26"/>
      <c r="C2958" s="26"/>
      <c r="D2958" s="26"/>
      <c r="E2958" s="26"/>
      <c r="F2958" s="26"/>
      <c r="G2958" s="26"/>
      <c r="H2958" s="26"/>
      <c r="I2958" s="26"/>
      <c r="J2958" s="26"/>
      <c r="K2958" s="26"/>
      <c r="L2958" s="26"/>
      <c r="M2958" s="26"/>
      <c r="N2958" s="26"/>
      <c r="O2958" s="26"/>
      <c r="P2958" s="26"/>
    </row>
    <row r="2959" spans="1:16" x14ac:dyDescent="0.3">
      <c r="A2959" s="26"/>
      <c r="B2959" s="26"/>
      <c r="C2959" s="26"/>
      <c r="D2959" s="26"/>
      <c r="E2959" s="26"/>
      <c r="F2959" s="26"/>
      <c r="G2959" s="26"/>
      <c r="H2959" s="26"/>
      <c r="I2959" s="26"/>
      <c r="J2959" s="26"/>
      <c r="K2959" s="26"/>
      <c r="L2959" s="26"/>
      <c r="M2959" s="26"/>
      <c r="N2959" s="26"/>
      <c r="O2959" s="26"/>
      <c r="P2959" s="26"/>
    </row>
    <row r="2960" spans="1:16" x14ac:dyDescent="0.3">
      <c r="A2960" s="26"/>
      <c r="B2960" s="26"/>
      <c r="C2960" s="26"/>
      <c r="D2960" s="26"/>
      <c r="E2960" s="26"/>
      <c r="F2960" s="26"/>
      <c r="G2960" s="26"/>
      <c r="H2960" s="26"/>
      <c r="I2960" s="26"/>
      <c r="J2960" s="26"/>
      <c r="K2960" s="26"/>
      <c r="L2960" s="26"/>
      <c r="M2960" s="26"/>
      <c r="N2960" s="26"/>
      <c r="O2960" s="26"/>
      <c r="P2960" s="26"/>
    </row>
    <row r="2961" spans="1:16" x14ac:dyDescent="0.3">
      <c r="A2961" s="26"/>
      <c r="B2961" s="26"/>
      <c r="C2961" s="26"/>
      <c r="D2961" s="26"/>
      <c r="E2961" s="26"/>
      <c r="F2961" s="26"/>
      <c r="G2961" s="26"/>
      <c r="H2961" s="26"/>
      <c r="I2961" s="26"/>
      <c r="J2961" s="26"/>
      <c r="K2961" s="26"/>
      <c r="L2961" s="26"/>
      <c r="M2961" s="26"/>
      <c r="N2961" s="26"/>
      <c r="O2961" s="26"/>
      <c r="P2961" s="26"/>
    </row>
    <row r="2962" spans="1:16" x14ac:dyDescent="0.3">
      <c r="A2962" s="26"/>
      <c r="B2962" s="26"/>
      <c r="C2962" s="26"/>
      <c r="D2962" s="26"/>
      <c r="E2962" s="26"/>
      <c r="F2962" s="26"/>
      <c r="G2962" s="26"/>
      <c r="H2962" s="26"/>
      <c r="I2962" s="26"/>
      <c r="J2962" s="26"/>
      <c r="K2962" s="26"/>
      <c r="L2962" s="26"/>
      <c r="M2962" s="26"/>
      <c r="N2962" s="26"/>
      <c r="O2962" s="26"/>
      <c r="P2962" s="26"/>
    </row>
    <row r="2963" spans="1:16" x14ac:dyDescent="0.3">
      <c r="A2963" s="26"/>
      <c r="B2963" s="26"/>
      <c r="C2963" s="26"/>
      <c r="D2963" s="26"/>
      <c r="E2963" s="26"/>
      <c r="F2963" s="26"/>
      <c r="G2963" s="26"/>
      <c r="H2963" s="26"/>
      <c r="I2963" s="26"/>
      <c r="J2963" s="26"/>
      <c r="K2963" s="26"/>
      <c r="L2963" s="26"/>
      <c r="M2963" s="26"/>
      <c r="N2963" s="26"/>
      <c r="O2963" s="26"/>
      <c r="P2963" s="26"/>
    </row>
    <row r="2964" spans="1:16" x14ac:dyDescent="0.3">
      <c r="A2964" s="26"/>
      <c r="B2964" s="26"/>
      <c r="C2964" s="26"/>
      <c r="D2964" s="26"/>
      <c r="E2964" s="26"/>
      <c r="F2964" s="26"/>
      <c r="G2964" s="26"/>
      <c r="H2964" s="26"/>
      <c r="I2964" s="26"/>
      <c r="J2964" s="26"/>
      <c r="K2964" s="26"/>
      <c r="L2964" s="26"/>
      <c r="M2964" s="26"/>
      <c r="N2964" s="26"/>
      <c r="O2964" s="26"/>
      <c r="P2964" s="26"/>
    </row>
    <row r="2965" spans="1:16" x14ac:dyDescent="0.3">
      <c r="A2965" s="26"/>
      <c r="B2965" s="26"/>
      <c r="C2965" s="26"/>
      <c r="D2965" s="26"/>
      <c r="E2965" s="26"/>
      <c r="F2965" s="26"/>
      <c r="G2965" s="26"/>
      <c r="H2965" s="26"/>
      <c r="I2965" s="26"/>
      <c r="J2965" s="26"/>
      <c r="K2965" s="26"/>
      <c r="L2965" s="26"/>
      <c r="M2965" s="26"/>
      <c r="N2965" s="26"/>
      <c r="O2965" s="26"/>
      <c r="P2965" s="26"/>
    </row>
    <row r="2966" spans="1:16" x14ac:dyDescent="0.3">
      <c r="A2966" s="26"/>
      <c r="B2966" s="26"/>
      <c r="C2966" s="26"/>
      <c r="D2966" s="26"/>
      <c r="E2966" s="26"/>
      <c r="F2966" s="26"/>
      <c r="G2966" s="26"/>
      <c r="H2966" s="26"/>
      <c r="I2966" s="26"/>
      <c r="J2966" s="26"/>
      <c r="K2966" s="26"/>
      <c r="L2966" s="26"/>
      <c r="M2966" s="26"/>
      <c r="N2966" s="26"/>
      <c r="O2966" s="26"/>
      <c r="P2966" s="26"/>
    </row>
    <row r="2967" spans="1:16" x14ac:dyDescent="0.3">
      <c r="A2967" s="26"/>
      <c r="B2967" s="26"/>
      <c r="C2967" s="26"/>
      <c r="D2967" s="26"/>
      <c r="E2967" s="26"/>
      <c r="F2967" s="26"/>
      <c r="G2967" s="26"/>
      <c r="H2967" s="26"/>
      <c r="I2967" s="26"/>
      <c r="J2967" s="26"/>
      <c r="K2967" s="26"/>
      <c r="L2967" s="26"/>
      <c r="M2967" s="26"/>
      <c r="N2967" s="26"/>
      <c r="O2967" s="26"/>
      <c r="P2967" s="26"/>
    </row>
    <row r="2968" spans="1:16" x14ac:dyDescent="0.3">
      <c r="A2968" s="26"/>
      <c r="B2968" s="26"/>
      <c r="C2968" s="26"/>
      <c r="D2968" s="26"/>
      <c r="E2968" s="26"/>
      <c r="F2968" s="26"/>
      <c r="G2968" s="26"/>
      <c r="H2968" s="26"/>
      <c r="I2968" s="26"/>
      <c r="J2968" s="26"/>
      <c r="K2968" s="26"/>
      <c r="L2968" s="26"/>
      <c r="M2968" s="26"/>
      <c r="N2968" s="26"/>
      <c r="O2968" s="26"/>
      <c r="P2968" s="26"/>
    </row>
    <row r="2969" spans="1:16" x14ac:dyDescent="0.3">
      <c r="A2969" s="26"/>
      <c r="B2969" s="26"/>
      <c r="C2969" s="26"/>
      <c r="D2969" s="26"/>
      <c r="E2969" s="26"/>
      <c r="F2969" s="26"/>
      <c r="G2969" s="26"/>
      <c r="H2969" s="26"/>
      <c r="I2969" s="26"/>
      <c r="J2969" s="26"/>
      <c r="K2969" s="26"/>
      <c r="L2969" s="26"/>
      <c r="M2969" s="26"/>
      <c r="N2969" s="26"/>
      <c r="O2969" s="26"/>
      <c r="P2969" s="26"/>
    </row>
    <row r="2970" spans="1:16" x14ac:dyDescent="0.3">
      <c r="A2970" s="26"/>
      <c r="B2970" s="26"/>
      <c r="C2970" s="26"/>
      <c r="D2970" s="26"/>
      <c r="E2970" s="26"/>
      <c r="F2970" s="26"/>
      <c r="G2970" s="26"/>
      <c r="H2970" s="26"/>
      <c r="I2970" s="26"/>
      <c r="J2970" s="26"/>
      <c r="K2970" s="26"/>
      <c r="L2970" s="26"/>
      <c r="M2970" s="26"/>
      <c r="N2970" s="26"/>
      <c r="O2970" s="26"/>
      <c r="P2970" s="26"/>
    </row>
    <row r="2971" spans="1:16" x14ac:dyDescent="0.3">
      <c r="A2971" s="26"/>
      <c r="B2971" s="26"/>
      <c r="C2971" s="26"/>
      <c r="D2971" s="26"/>
      <c r="E2971" s="26"/>
      <c r="F2971" s="26"/>
      <c r="G2971" s="26"/>
      <c r="H2971" s="26"/>
      <c r="I2971" s="26"/>
      <c r="J2971" s="26"/>
      <c r="K2971" s="26"/>
      <c r="L2971" s="26"/>
      <c r="M2971" s="26"/>
      <c r="N2971" s="26"/>
      <c r="O2971" s="26"/>
      <c r="P2971" s="26"/>
    </row>
    <row r="2972" spans="1:16" x14ac:dyDescent="0.3">
      <c r="A2972" s="26"/>
      <c r="B2972" s="26"/>
      <c r="C2972" s="26"/>
      <c r="D2972" s="26"/>
      <c r="E2972" s="26"/>
      <c r="F2972" s="26"/>
      <c r="G2972" s="26"/>
      <c r="H2972" s="26"/>
      <c r="I2972" s="26"/>
      <c r="J2972" s="26"/>
      <c r="K2972" s="26"/>
      <c r="L2972" s="26"/>
      <c r="M2972" s="26"/>
      <c r="N2972" s="26"/>
      <c r="O2972" s="26"/>
      <c r="P2972" s="26"/>
    </row>
    <row r="2973" spans="1:16" x14ac:dyDescent="0.3">
      <c r="A2973" s="26"/>
      <c r="B2973" s="26"/>
      <c r="C2973" s="26"/>
      <c r="D2973" s="26"/>
      <c r="E2973" s="26"/>
      <c r="F2973" s="26"/>
      <c r="G2973" s="26"/>
      <c r="H2973" s="26"/>
      <c r="I2973" s="26"/>
      <c r="J2973" s="26"/>
      <c r="K2973" s="26"/>
      <c r="L2973" s="26"/>
      <c r="M2973" s="26"/>
      <c r="N2973" s="26"/>
      <c r="O2973" s="26"/>
      <c r="P2973" s="26"/>
    </row>
    <row r="2974" spans="1:16" x14ac:dyDescent="0.3">
      <c r="A2974" s="26"/>
      <c r="B2974" s="26"/>
      <c r="C2974" s="26"/>
      <c r="D2974" s="26"/>
      <c r="E2974" s="26"/>
      <c r="F2974" s="26"/>
      <c r="G2974" s="26"/>
      <c r="H2974" s="26"/>
      <c r="I2974" s="26"/>
      <c r="J2974" s="26"/>
      <c r="K2974" s="26"/>
      <c r="L2974" s="26"/>
      <c r="M2974" s="26"/>
      <c r="N2974" s="26"/>
      <c r="O2974" s="26"/>
      <c r="P2974" s="26"/>
    </row>
    <row r="2975" spans="1:16" x14ac:dyDescent="0.3">
      <c r="A2975" s="26"/>
      <c r="B2975" s="26"/>
      <c r="C2975" s="26"/>
      <c r="D2975" s="26"/>
      <c r="E2975" s="26"/>
      <c r="F2975" s="26"/>
      <c r="G2975" s="26"/>
      <c r="H2975" s="26"/>
      <c r="I2975" s="26"/>
      <c r="J2975" s="26"/>
      <c r="K2975" s="26"/>
      <c r="L2975" s="26"/>
      <c r="M2975" s="26"/>
      <c r="N2975" s="26"/>
      <c r="O2975" s="26"/>
      <c r="P2975" s="26"/>
    </row>
    <row r="2976" spans="1:16" x14ac:dyDescent="0.3">
      <c r="A2976" s="26"/>
      <c r="B2976" s="26"/>
      <c r="C2976" s="26"/>
      <c r="D2976" s="26"/>
      <c r="E2976" s="26"/>
      <c r="F2976" s="26"/>
      <c r="G2976" s="26"/>
      <c r="H2976" s="26"/>
      <c r="I2976" s="26"/>
      <c r="J2976" s="26"/>
      <c r="K2976" s="26"/>
      <c r="L2976" s="26"/>
      <c r="M2976" s="26"/>
      <c r="N2976" s="26"/>
      <c r="O2976" s="26"/>
      <c r="P2976" s="26"/>
    </row>
    <row r="2977" spans="1:16" x14ac:dyDescent="0.3">
      <c r="A2977" s="26"/>
      <c r="B2977" s="26"/>
      <c r="C2977" s="26"/>
      <c r="D2977" s="26"/>
      <c r="E2977" s="26"/>
      <c r="F2977" s="26"/>
      <c r="G2977" s="26"/>
      <c r="H2977" s="26"/>
      <c r="I2977" s="26"/>
      <c r="J2977" s="26"/>
      <c r="K2977" s="26"/>
      <c r="L2977" s="26"/>
      <c r="M2977" s="26"/>
      <c r="N2977" s="26"/>
      <c r="O2977" s="26"/>
      <c r="P2977" s="26"/>
    </row>
    <row r="2978" spans="1:16" x14ac:dyDescent="0.3">
      <c r="A2978" s="26"/>
      <c r="B2978" s="26"/>
      <c r="C2978" s="26"/>
      <c r="D2978" s="26"/>
      <c r="E2978" s="26"/>
      <c r="F2978" s="26"/>
      <c r="G2978" s="26"/>
      <c r="H2978" s="26"/>
      <c r="I2978" s="26"/>
      <c r="J2978" s="26"/>
      <c r="K2978" s="26"/>
      <c r="L2978" s="26"/>
      <c r="M2978" s="26"/>
      <c r="N2978" s="26"/>
      <c r="O2978" s="26"/>
      <c r="P2978" s="26"/>
    </row>
    <row r="2979" spans="1:16" x14ac:dyDescent="0.3">
      <c r="A2979" s="26"/>
      <c r="B2979" s="26"/>
      <c r="C2979" s="26"/>
      <c r="D2979" s="26"/>
      <c r="E2979" s="26"/>
      <c r="F2979" s="26"/>
      <c r="G2979" s="26"/>
      <c r="H2979" s="26"/>
      <c r="I2979" s="26"/>
      <c r="J2979" s="26"/>
      <c r="K2979" s="26"/>
      <c r="L2979" s="26"/>
      <c r="M2979" s="26"/>
      <c r="N2979" s="26"/>
      <c r="O2979" s="26"/>
      <c r="P2979" s="26"/>
    </row>
    <row r="2980" spans="1:16" x14ac:dyDescent="0.3">
      <c r="A2980" s="26"/>
      <c r="B2980" s="26"/>
      <c r="C2980" s="26"/>
      <c r="D2980" s="26"/>
      <c r="E2980" s="26"/>
      <c r="F2980" s="26"/>
      <c r="G2980" s="26"/>
      <c r="H2980" s="26"/>
      <c r="I2980" s="26"/>
      <c r="J2980" s="26"/>
      <c r="K2980" s="26"/>
      <c r="L2980" s="26"/>
      <c r="M2980" s="26"/>
      <c r="N2980" s="26"/>
      <c r="O2980" s="26"/>
      <c r="P2980" s="26"/>
    </row>
    <row r="2981" spans="1:16" x14ac:dyDescent="0.3">
      <c r="A2981" s="26"/>
      <c r="B2981" s="26"/>
      <c r="C2981" s="26"/>
      <c r="D2981" s="26"/>
      <c r="E2981" s="26"/>
      <c r="F2981" s="26"/>
      <c r="G2981" s="26"/>
      <c r="H2981" s="26"/>
      <c r="I2981" s="26"/>
      <c r="J2981" s="26"/>
      <c r="K2981" s="26"/>
      <c r="L2981" s="26"/>
      <c r="M2981" s="26"/>
      <c r="N2981" s="26"/>
      <c r="O2981" s="26"/>
      <c r="P2981" s="26"/>
    </row>
    <row r="2982" spans="1:16" x14ac:dyDescent="0.3">
      <c r="A2982" s="26"/>
      <c r="B2982" s="26"/>
      <c r="C2982" s="26"/>
      <c r="D2982" s="26"/>
      <c r="E2982" s="26"/>
      <c r="F2982" s="26"/>
      <c r="G2982" s="26"/>
      <c r="H2982" s="26"/>
      <c r="I2982" s="26"/>
      <c r="J2982" s="26"/>
      <c r="K2982" s="26"/>
      <c r="L2982" s="26"/>
      <c r="M2982" s="26"/>
      <c r="N2982" s="26"/>
      <c r="O2982" s="26"/>
      <c r="P2982" s="26"/>
    </row>
    <row r="2983" spans="1:16" x14ac:dyDescent="0.3">
      <c r="A2983" s="26"/>
      <c r="B2983" s="26"/>
      <c r="C2983" s="26"/>
      <c r="D2983" s="26"/>
      <c r="E2983" s="26"/>
      <c r="F2983" s="26"/>
      <c r="G2983" s="26"/>
      <c r="H2983" s="26"/>
      <c r="I2983" s="26"/>
      <c r="J2983" s="26"/>
      <c r="K2983" s="26"/>
      <c r="L2983" s="26"/>
      <c r="M2983" s="26"/>
      <c r="N2983" s="26"/>
      <c r="O2983" s="26"/>
      <c r="P2983" s="26"/>
    </row>
    <row r="2984" spans="1:16" x14ac:dyDescent="0.3">
      <c r="A2984" s="26"/>
      <c r="B2984" s="26"/>
      <c r="C2984" s="26"/>
      <c r="D2984" s="26"/>
      <c r="E2984" s="26"/>
      <c r="F2984" s="26"/>
      <c r="G2984" s="26"/>
      <c r="H2984" s="26"/>
      <c r="I2984" s="26"/>
      <c r="J2984" s="26"/>
      <c r="K2984" s="26"/>
      <c r="L2984" s="26"/>
      <c r="M2984" s="26"/>
      <c r="N2984" s="26"/>
      <c r="O2984" s="26"/>
      <c r="P2984" s="26"/>
    </row>
    <row r="2985" spans="1:16" x14ac:dyDescent="0.3">
      <c r="A2985" s="26"/>
      <c r="B2985" s="26"/>
      <c r="C2985" s="26"/>
      <c r="D2985" s="26"/>
      <c r="E2985" s="26"/>
      <c r="F2985" s="26"/>
      <c r="G2985" s="26"/>
      <c r="H2985" s="26"/>
      <c r="I2985" s="26"/>
      <c r="J2985" s="26"/>
      <c r="K2985" s="26"/>
      <c r="L2985" s="26"/>
      <c r="M2985" s="26"/>
      <c r="N2985" s="26"/>
      <c r="O2985" s="26"/>
      <c r="P2985" s="26"/>
    </row>
    <row r="2986" spans="1:16" x14ac:dyDescent="0.3">
      <c r="A2986" s="26"/>
      <c r="B2986" s="26"/>
      <c r="C2986" s="26"/>
      <c r="D2986" s="26"/>
      <c r="E2986" s="26"/>
      <c r="F2986" s="26"/>
      <c r="G2986" s="26"/>
      <c r="H2986" s="26"/>
      <c r="I2986" s="26"/>
      <c r="J2986" s="26"/>
      <c r="K2986" s="26"/>
      <c r="L2986" s="26"/>
      <c r="M2986" s="26"/>
      <c r="N2986" s="26"/>
      <c r="O2986" s="26"/>
      <c r="P2986" s="26"/>
    </row>
    <row r="2987" spans="1:16" x14ac:dyDescent="0.3">
      <c r="A2987" s="26"/>
      <c r="B2987" s="26"/>
      <c r="C2987" s="26"/>
      <c r="D2987" s="26"/>
      <c r="E2987" s="26"/>
      <c r="F2987" s="26"/>
      <c r="G2987" s="26"/>
      <c r="H2987" s="26"/>
      <c r="I2987" s="26"/>
      <c r="J2987" s="26"/>
      <c r="K2987" s="26"/>
      <c r="L2987" s="26"/>
      <c r="M2987" s="26"/>
      <c r="N2987" s="26"/>
      <c r="O2987" s="26"/>
      <c r="P2987" s="26"/>
    </row>
    <row r="2988" spans="1:16" x14ac:dyDescent="0.3">
      <c r="A2988" s="26"/>
      <c r="B2988" s="26"/>
      <c r="C2988" s="26"/>
      <c r="D2988" s="26"/>
      <c r="E2988" s="26"/>
      <c r="F2988" s="26"/>
      <c r="G2988" s="26"/>
      <c r="H2988" s="26"/>
      <c r="I2988" s="26"/>
      <c r="J2988" s="26"/>
      <c r="K2988" s="26"/>
      <c r="L2988" s="26"/>
      <c r="M2988" s="26"/>
      <c r="N2988" s="26"/>
      <c r="O2988" s="26"/>
      <c r="P2988" s="26"/>
    </row>
    <row r="2989" spans="1:16" x14ac:dyDescent="0.3">
      <c r="A2989" s="26"/>
      <c r="B2989" s="26"/>
      <c r="C2989" s="26"/>
      <c r="D2989" s="26"/>
      <c r="E2989" s="26"/>
      <c r="F2989" s="26"/>
      <c r="G2989" s="26"/>
      <c r="H2989" s="26"/>
      <c r="I2989" s="26"/>
      <c r="J2989" s="26"/>
      <c r="K2989" s="26"/>
      <c r="L2989" s="26"/>
      <c r="M2989" s="26"/>
      <c r="N2989" s="26"/>
      <c r="O2989" s="26"/>
      <c r="P2989" s="26"/>
    </row>
    <row r="2990" spans="1:16" x14ac:dyDescent="0.3">
      <c r="A2990" s="26"/>
      <c r="B2990" s="26"/>
      <c r="C2990" s="26"/>
      <c r="D2990" s="26"/>
      <c r="E2990" s="26"/>
      <c r="F2990" s="26"/>
      <c r="G2990" s="26"/>
      <c r="H2990" s="26"/>
      <c r="I2990" s="26"/>
      <c r="J2990" s="26"/>
      <c r="K2990" s="26"/>
      <c r="L2990" s="26"/>
      <c r="M2990" s="26"/>
      <c r="N2990" s="26"/>
      <c r="O2990" s="26"/>
      <c r="P2990" s="26"/>
    </row>
    <row r="2991" spans="1:16" x14ac:dyDescent="0.3">
      <c r="A2991" s="26"/>
      <c r="B2991" s="26"/>
      <c r="C2991" s="26"/>
      <c r="D2991" s="26"/>
      <c r="E2991" s="26"/>
      <c r="F2991" s="26"/>
      <c r="G2991" s="26"/>
      <c r="H2991" s="26"/>
      <c r="I2991" s="26"/>
      <c r="J2991" s="26"/>
      <c r="K2991" s="26"/>
      <c r="L2991" s="26"/>
      <c r="M2991" s="26"/>
      <c r="N2991" s="26"/>
      <c r="O2991" s="26"/>
      <c r="P2991" s="26"/>
    </row>
    <row r="2992" spans="1:16" x14ac:dyDescent="0.3">
      <c r="A2992" s="26"/>
      <c r="B2992" s="26"/>
      <c r="C2992" s="26"/>
      <c r="D2992" s="26"/>
      <c r="E2992" s="26"/>
      <c r="F2992" s="26"/>
      <c r="G2992" s="26"/>
      <c r="H2992" s="26"/>
      <c r="I2992" s="26"/>
      <c r="J2992" s="26"/>
      <c r="K2992" s="26"/>
      <c r="L2992" s="26"/>
      <c r="M2992" s="26"/>
      <c r="N2992" s="26"/>
      <c r="O2992" s="26"/>
      <c r="P2992" s="26"/>
    </row>
    <row r="2993" spans="1:18" x14ac:dyDescent="0.3">
      <c r="A2993" s="26"/>
      <c r="B2993" s="26"/>
      <c r="C2993" s="26"/>
      <c r="D2993" s="26"/>
      <c r="E2993" s="26"/>
      <c r="F2993" s="26"/>
      <c r="G2993" s="26"/>
      <c r="H2993" s="26"/>
      <c r="I2993" s="26"/>
      <c r="J2993" s="26"/>
      <c r="K2993" s="26"/>
      <c r="L2993" s="26"/>
      <c r="M2993" s="26"/>
      <c r="N2993" s="26"/>
      <c r="O2993" s="26"/>
      <c r="P2993" s="26"/>
    </row>
    <row r="2994" spans="1:18" x14ac:dyDescent="0.3">
      <c r="A2994" s="26"/>
      <c r="B2994" s="26"/>
      <c r="C2994" s="26"/>
      <c r="D2994" s="26"/>
      <c r="E2994" s="26"/>
      <c r="F2994" s="26"/>
      <c r="G2994" s="26"/>
      <c r="H2994" s="26"/>
      <c r="I2994" s="26"/>
      <c r="J2994" s="26"/>
      <c r="K2994" s="26"/>
      <c r="L2994" s="26"/>
      <c r="M2994" s="26"/>
      <c r="N2994" s="26"/>
      <c r="O2994" s="26"/>
      <c r="P2994" s="26"/>
    </row>
    <row r="2995" spans="1:18" x14ac:dyDescent="0.3">
      <c r="A2995" s="26"/>
      <c r="B2995" s="26"/>
      <c r="C2995" s="26"/>
      <c r="D2995" s="26"/>
      <c r="E2995" s="26"/>
      <c r="F2995" s="26"/>
      <c r="G2995" s="26"/>
      <c r="H2995" s="26"/>
      <c r="I2995" s="26"/>
      <c r="J2995" s="26"/>
      <c r="K2995" s="26"/>
      <c r="L2995" s="26"/>
      <c r="M2995" s="26"/>
      <c r="N2995" s="26"/>
      <c r="O2995" s="26"/>
      <c r="P2995" s="26"/>
    </row>
    <row r="2996" spans="1:18" x14ac:dyDescent="0.3">
      <c r="A2996" s="26"/>
      <c r="B2996" s="26"/>
      <c r="C2996" s="26"/>
      <c r="D2996" s="26"/>
      <c r="E2996" s="26"/>
      <c r="F2996" s="26"/>
      <c r="G2996" s="26"/>
      <c r="H2996" s="26"/>
      <c r="I2996" s="26"/>
      <c r="J2996" s="26"/>
      <c r="K2996" s="26"/>
      <c r="L2996" s="26"/>
      <c r="M2996" s="26"/>
      <c r="N2996" s="26"/>
      <c r="O2996" s="26"/>
      <c r="P2996" s="26"/>
    </row>
    <row r="2997" spans="1:18" x14ac:dyDescent="0.3">
      <c r="A2997" s="26"/>
      <c r="B2997" s="26"/>
      <c r="C2997" s="26"/>
      <c r="D2997" s="26"/>
      <c r="E2997" s="26"/>
      <c r="F2997" s="26"/>
      <c r="G2997" s="26"/>
      <c r="H2997" s="26"/>
      <c r="I2997" s="26"/>
      <c r="J2997" s="26"/>
      <c r="K2997" s="26"/>
      <c r="L2997" s="26"/>
      <c r="M2997" s="26"/>
      <c r="N2997" s="26"/>
      <c r="O2997" s="26"/>
      <c r="P2997" s="26"/>
    </row>
    <row r="2998" spans="1:18" x14ac:dyDescent="0.3">
      <c r="A2998" s="26"/>
      <c r="B2998" s="26"/>
      <c r="C2998" s="26"/>
      <c r="D2998" s="26"/>
      <c r="E2998" s="26"/>
      <c r="F2998" s="26"/>
      <c r="G2998" s="26"/>
      <c r="H2998" s="26"/>
      <c r="I2998" s="26"/>
      <c r="J2998" s="26"/>
      <c r="K2998" s="26"/>
      <c r="L2998" s="26"/>
      <c r="M2998" s="26"/>
      <c r="N2998" s="26"/>
      <c r="O2998" s="26"/>
      <c r="P2998" s="26"/>
    </row>
    <row r="2999" spans="1:18" x14ac:dyDescent="0.3">
      <c r="A2999" s="26"/>
      <c r="B2999" s="26"/>
      <c r="C2999" s="26"/>
      <c r="D2999" s="26"/>
      <c r="E2999" s="26"/>
      <c r="F2999" s="26"/>
      <c r="G2999" s="26"/>
      <c r="H2999" s="26"/>
      <c r="I2999" s="26"/>
      <c r="J2999" s="26"/>
      <c r="K2999" s="26"/>
      <c r="L2999" s="26"/>
      <c r="M2999" s="26"/>
      <c r="N2999" s="26"/>
      <c r="O2999" s="26"/>
      <c r="P2999" s="26"/>
    </row>
    <row r="3000" spans="1:18" x14ac:dyDescent="0.3">
      <c r="A3000" s="26"/>
      <c r="B3000" s="26"/>
      <c r="C3000" s="26"/>
      <c r="D3000" s="26"/>
      <c r="E3000" s="26"/>
      <c r="F3000" s="26"/>
      <c r="G3000" s="26"/>
      <c r="H3000" s="26"/>
      <c r="I3000" s="26"/>
      <c r="J3000" s="26"/>
      <c r="K3000" s="26"/>
      <c r="L3000" s="26"/>
      <c r="M3000" s="26"/>
      <c r="N3000" s="26"/>
      <c r="O3000" s="26"/>
      <c r="P3000" s="26"/>
      <c r="R3000" s="17" t="s">
        <v>4</v>
      </c>
    </row>
  </sheetData>
  <sheetProtection algorithmName="SHA-512" hashValue="tkCVuezD6inEVbSYnGmdKNs1I/95fN1xSslSF05iQ3agfM3+FvfhBqd5K6IH7HAgs8FTOSwcQMtKFW0NZRN5Dg==" saltValue="GQ4cx2aPhCAX6ASQ7BAugA==" spinCount="100000" sheet="1" formatColumns="0" autoFilter="0"/>
  <autoFilter ref="A2:Q897" xr:uid="{7D30C59C-CC81-4406-80CB-055CAA8011E0}"/>
  <conditionalFormatting sqref="A3:F1000">
    <cfRule type="expression" dxfId="0" priority="7">
      <formula>$Q3="until stocks run out"</formula>
    </cfRule>
  </conditionalFormatting>
  <hyperlinks>
    <hyperlink ref="C1" r:id="rId1" xr:uid="{135D9DD9-562F-461B-8E89-A2572D3AF8AB}"/>
  </hyperlinks>
  <pageMargins left="0.31496062992125984" right="0.70866141732283472" top="0.35433070866141736" bottom="0.55118110236220474" header="0.31496062992125984" footer="0.31496062992125984"/>
  <pageSetup paperSize="9" scale="31" fitToHeight="0" orientation="landscape" horizontalDpi="4294967294" verticalDpi="4294967294" r:id="rId2"/>
  <headerFooter>
    <oddFooter>&amp;L&amp;F&amp;R&amp;P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enter the discount</vt:lpstr>
      <vt:lpstr>Price list</vt:lpstr>
      <vt:lpstr>'Price list'!Tytuły_wydruku</vt:lpstr>
      <vt:lpstr>'Price list'!Wybieranie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EProgorowicz</dc:creator>
  <cp:lastModifiedBy>Anna Maziarska-Bać</cp:lastModifiedBy>
  <cp:lastPrinted>2025-04-08T12:40:20Z</cp:lastPrinted>
  <dcterms:created xsi:type="dcterms:W3CDTF">2021-06-15T08:35:20Z</dcterms:created>
  <dcterms:modified xsi:type="dcterms:W3CDTF">2025-04-08T12:40:49Z</dcterms:modified>
</cp:coreProperties>
</file>