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testy\"/>
    </mc:Choice>
  </mc:AlternateContent>
  <xr:revisionPtr revIDLastSave="0" documentId="8_{BBFCCEDB-E5E7-45A9-BCF4-AB030CF5659C}" xr6:coauthVersionLast="47" xr6:coauthVersionMax="47" xr10:uidLastSave="{00000000-0000-0000-0000-000000000000}"/>
  <workbookProtection workbookAlgorithmName="SHA-512" workbookHashValue="O/YSikW4JYG/qqtEMZizt8qoGe7EDlj5mIZOtF2Uls+F4Ugl2jhjeYk8MTv69nYrEbsh8VQcfAlc9vX6TWI6KQ==" workbookSaltValue="QGzjVeRvZwpsrub3wruJqQ==" workbookSpinCount="100000" lockStructure="1"/>
  <bookViews>
    <workbookView xWindow="28680" yWindow="-120" windowWidth="29040" windowHeight="15720" activeTab="1" xr2:uid="{C39E6345-525F-4B24-ABC5-912BEA5A5659}"/>
  </bookViews>
  <sheets>
    <sheet name="enter the discount" sheetId="1" r:id="rId1"/>
    <sheet name="Price list" sheetId="2" r:id="rId2"/>
  </sheets>
  <definedNames>
    <definedName name="_xlnm._FilterDatabase" localSheetId="1" hidden="1">'Price list'!$A$2:$Y$3000</definedName>
    <definedName name="_xlnm.Extract" localSheetId="1">'Price list'!$L$2:$Y$2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84" i="2" l="1"/>
  <c r="S884" i="2"/>
  <c r="T883" i="2"/>
  <c r="S883" i="2"/>
  <c r="T882" i="2"/>
  <c r="S882" i="2"/>
  <c r="T881" i="2"/>
  <c r="S881" i="2"/>
  <c r="T880" i="2"/>
  <c r="S880" i="2"/>
  <c r="S879" i="2"/>
  <c r="S878" i="2"/>
  <c r="S877" i="2"/>
  <c r="S876" i="2"/>
  <c r="T875" i="2"/>
  <c r="S875" i="2"/>
  <c r="T874" i="2"/>
  <c r="S874" i="2"/>
  <c r="T873" i="2"/>
  <c r="S873" i="2"/>
  <c r="T872" i="2"/>
  <c r="S872" i="2"/>
  <c r="T871" i="2"/>
  <c r="T870" i="2"/>
  <c r="S870" i="2"/>
  <c r="T869" i="2"/>
  <c r="S869" i="2"/>
  <c r="T868" i="2"/>
  <c r="S868" i="2"/>
  <c r="T867" i="2"/>
  <c r="S867" i="2"/>
  <c r="T866" i="2"/>
  <c r="S866" i="2"/>
  <c r="T865" i="2"/>
  <c r="S865" i="2"/>
  <c r="T864" i="2"/>
  <c r="S864" i="2"/>
  <c r="T863" i="2"/>
  <c r="S863" i="2"/>
  <c r="T862" i="2"/>
  <c r="S862" i="2"/>
  <c r="T861" i="2"/>
  <c r="S861" i="2"/>
  <c r="T860" i="2"/>
  <c r="S860" i="2"/>
  <c r="T859" i="2"/>
  <c r="S859" i="2"/>
  <c r="T858" i="2"/>
  <c r="S858" i="2"/>
  <c r="T857" i="2"/>
  <c r="S857" i="2"/>
  <c r="T856" i="2"/>
  <c r="S856" i="2"/>
  <c r="T855" i="2"/>
  <c r="S855" i="2"/>
  <c r="T854" i="2"/>
  <c r="S854" i="2"/>
  <c r="T853" i="2"/>
  <c r="S853" i="2"/>
  <c r="T852" i="2"/>
  <c r="S852" i="2"/>
  <c r="T851" i="2"/>
  <c r="S851" i="2"/>
  <c r="T850" i="2"/>
  <c r="S850" i="2"/>
  <c r="T849" i="2"/>
  <c r="S849" i="2"/>
  <c r="T848" i="2"/>
  <c r="S848" i="2"/>
  <c r="T847" i="2"/>
  <c r="S847" i="2"/>
  <c r="T846" i="2"/>
  <c r="S846" i="2"/>
  <c r="T845" i="2"/>
  <c r="S845" i="2"/>
  <c r="T844" i="2"/>
  <c r="S844" i="2"/>
  <c r="T843" i="2"/>
  <c r="S843" i="2"/>
  <c r="T842" i="2"/>
  <c r="S842" i="2"/>
  <c r="T841" i="2"/>
  <c r="S841" i="2"/>
  <c r="T840" i="2"/>
  <c r="S840" i="2"/>
  <c r="T839" i="2"/>
  <c r="S839" i="2"/>
  <c r="T838" i="2"/>
  <c r="S838" i="2"/>
  <c r="T837" i="2"/>
  <c r="S837" i="2"/>
  <c r="T836" i="2"/>
  <c r="S836" i="2"/>
  <c r="T835" i="2"/>
  <c r="S835" i="2"/>
  <c r="T834" i="2"/>
  <c r="S834" i="2"/>
  <c r="T833" i="2"/>
  <c r="S833" i="2"/>
  <c r="T832" i="2"/>
  <c r="S832" i="2"/>
  <c r="T831" i="2"/>
  <c r="S831" i="2"/>
  <c r="T830" i="2"/>
  <c r="S830" i="2"/>
  <c r="T829" i="2"/>
  <c r="S829" i="2"/>
  <c r="T828" i="2"/>
  <c r="S828" i="2"/>
  <c r="T827" i="2"/>
  <c r="S827" i="2"/>
  <c r="T826" i="2"/>
  <c r="S826" i="2"/>
  <c r="T825" i="2"/>
  <c r="S825" i="2"/>
  <c r="T824" i="2"/>
  <c r="S824" i="2"/>
  <c r="T823" i="2"/>
  <c r="S823" i="2"/>
  <c r="T822" i="2"/>
  <c r="S822" i="2"/>
  <c r="T821" i="2"/>
  <c r="S821" i="2"/>
  <c r="T820" i="2"/>
  <c r="S820" i="2"/>
  <c r="T819" i="2"/>
  <c r="S819" i="2"/>
  <c r="T818" i="2"/>
  <c r="S818" i="2"/>
  <c r="T817" i="2"/>
  <c r="S817" i="2"/>
  <c r="T816" i="2"/>
  <c r="S816" i="2"/>
  <c r="T815" i="2"/>
  <c r="S815" i="2"/>
  <c r="T814" i="2"/>
  <c r="S814" i="2"/>
  <c r="T813" i="2"/>
  <c r="S813" i="2"/>
  <c r="T812" i="2"/>
  <c r="S812" i="2"/>
  <c r="T811" i="2"/>
  <c r="S811" i="2"/>
  <c r="T810" i="2"/>
  <c r="S810" i="2"/>
  <c r="T809" i="2"/>
  <c r="S809" i="2"/>
  <c r="T808" i="2"/>
  <c r="S808" i="2"/>
  <c r="T807" i="2"/>
  <c r="S807" i="2"/>
  <c r="T806" i="2"/>
  <c r="S806" i="2"/>
  <c r="T805" i="2"/>
  <c r="S805" i="2"/>
  <c r="T804" i="2"/>
  <c r="S804" i="2"/>
  <c r="T803" i="2"/>
  <c r="S803" i="2"/>
  <c r="T802" i="2"/>
  <c r="S802" i="2"/>
  <c r="T801" i="2"/>
  <c r="S801" i="2"/>
  <c r="T800" i="2"/>
  <c r="S800" i="2"/>
  <c r="T799" i="2"/>
  <c r="S799" i="2"/>
  <c r="T798" i="2"/>
  <c r="S798" i="2"/>
  <c r="T797" i="2"/>
  <c r="S797" i="2"/>
  <c r="T796" i="2"/>
  <c r="S796" i="2"/>
  <c r="T795" i="2"/>
  <c r="S795" i="2"/>
  <c r="T794" i="2"/>
  <c r="S794" i="2"/>
  <c r="T793" i="2"/>
  <c r="S793" i="2"/>
  <c r="T792" i="2"/>
  <c r="S792" i="2"/>
  <c r="T791" i="2"/>
  <c r="S791" i="2"/>
  <c r="T790" i="2"/>
  <c r="S790" i="2"/>
  <c r="T789" i="2"/>
  <c r="S789" i="2"/>
  <c r="T788" i="2"/>
  <c r="S788" i="2"/>
  <c r="T787" i="2"/>
  <c r="S787" i="2"/>
  <c r="T786" i="2"/>
  <c r="S786" i="2"/>
  <c r="T785" i="2"/>
  <c r="S785" i="2"/>
  <c r="T784" i="2"/>
  <c r="S784" i="2"/>
  <c r="T783" i="2"/>
  <c r="S783" i="2"/>
  <c r="T782" i="2"/>
  <c r="S782" i="2"/>
  <c r="T781" i="2"/>
  <c r="S781" i="2"/>
  <c r="T780" i="2"/>
  <c r="S780" i="2"/>
  <c r="T779" i="2"/>
  <c r="S779" i="2"/>
  <c r="T778" i="2"/>
  <c r="S778" i="2"/>
  <c r="T777" i="2"/>
  <c r="S777" i="2"/>
  <c r="T776" i="2"/>
  <c r="S776" i="2"/>
  <c r="T775" i="2"/>
  <c r="S775" i="2"/>
  <c r="T774" i="2"/>
  <c r="S774" i="2"/>
  <c r="T773" i="2"/>
  <c r="S773" i="2"/>
  <c r="T772" i="2"/>
  <c r="S772" i="2"/>
  <c r="T771" i="2"/>
  <c r="S771" i="2"/>
  <c r="T770" i="2"/>
  <c r="S770" i="2"/>
  <c r="T769" i="2"/>
  <c r="S769" i="2"/>
  <c r="T768" i="2"/>
  <c r="S768" i="2"/>
  <c r="S767" i="2"/>
  <c r="S765" i="2"/>
  <c r="S763" i="2"/>
  <c r="S761" i="2"/>
  <c r="T760" i="2"/>
  <c r="S760" i="2"/>
  <c r="T759" i="2"/>
  <c r="S759" i="2"/>
  <c r="T758" i="2"/>
  <c r="S758" i="2"/>
  <c r="T757" i="2"/>
  <c r="S757" i="2"/>
  <c r="T756" i="2"/>
  <c r="S756" i="2"/>
  <c r="T755" i="2"/>
  <c r="S755" i="2"/>
  <c r="T754" i="2"/>
  <c r="S754" i="2"/>
  <c r="T753" i="2"/>
  <c r="S753" i="2"/>
  <c r="T752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T737" i="2"/>
  <c r="S737" i="2"/>
  <c r="T736" i="2"/>
  <c r="S736" i="2"/>
  <c r="S735" i="2"/>
  <c r="S734" i="2"/>
  <c r="S733" i="2"/>
  <c r="S732" i="2"/>
  <c r="S731" i="2"/>
  <c r="S730" i="2"/>
  <c r="T729" i="2"/>
  <c r="S729" i="2"/>
  <c r="T728" i="2"/>
  <c r="S728" i="2"/>
  <c r="T727" i="2"/>
  <c r="S727" i="2"/>
  <c r="T726" i="2"/>
  <c r="S726" i="2"/>
  <c r="T725" i="2"/>
  <c r="T724" i="2"/>
  <c r="S724" i="2"/>
  <c r="T723" i="2"/>
  <c r="S723" i="2"/>
  <c r="T722" i="2"/>
  <c r="S722" i="2"/>
  <c r="T721" i="2"/>
  <c r="S721" i="2"/>
  <c r="T720" i="2"/>
  <c r="T719" i="2"/>
  <c r="T718" i="2"/>
  <c r="T717" i="2"/>
  <c r="S717" i="2"/>
  <c r="T716" i="2"/>
  <c r="T715" i="2"/>
  <c r="S715" i="2"/>
  <c r="T714" i="2"/>
  <c r="S714" i="2"/>
  <c r="T713" i="2"/>
  <c r="T712" i="2"/>
  <c r="S712" i="2"/>
  <c r="T711" i="2"/>
  <c r="T710" i="2"/>
  <c r="T709" i="2"/>
  <c r="T708" i="2"/>
  <c r="T707" i="2"/>
  <c r="T706" i="2"/>
  <c r="T705" i="2"/>
  <c r="T704" i="2"/>
  <c r="T703" i="2"/>
  <c r="T702" i="2"/>
  <c r="S702" i="2"/>
  <c r="T701" i="2"/>
  <c r="S701" i="2"/>
  <c r="T700" i="2"/>
  <c r="S700" i="2"/>
  <c r="T699" i="2"/>
  <c r="S699" i="2"/>
  <c r="T698" i="2"/>
  <c r="S698" i="2"/>
  <c r="T697" i="2"/>
  <c r="S697" i="2"/>
  <c r="T696" i="2"/>
  <c r="S696" i="2"/>
  <c r="T695" i="2"/>
  <c r="S695" i="2"/>
  <c r="T694" i="2"/>
  <c r="S694" i="2"/>
  <c r="T693" i="2"/>
  <c r="S693" i="2"/>
  <c r="T692" i="2"/>
  <c r="S692" i="2"/>
  <c r="T691" i="2"/>
  <c r="S691" i="2"/>
  <c r="T690" i="2"/>
  <c r="S690" i="2"/>
  <c r="T689" i="2"/>
  <c r="S689" i="2"/>
  <c r="T688" i="2"/>
  <c r="S688" i="2"/>
  <c r="T687" i="2"/>
  <c r="S687" i="2"/>
  <c r="T686" i="2"/>
  <c r="S686" i="2"/>
  <c r="T685" i="2"/>
  <c r="S685" i="2"/>
  <c r="T684" i="2"/>
  <c r="S684" i="2"/>
  <c r="T683" i="2"/>
  <c r="S683" i="2"/>
  <c r="T682" i="2"/>
  <c r="S682" i="2"/>
  <c r="T681" i="2"/>
  <c r="S681" i="2"/>
  <c r="T680" i="2"/>
  <c r="S680" i="2"/>
  <c r="T679" i="2"/>
  <c r="S679" i="2"/>
  <c r="S678" i="2"/>
  <c r="S677" i="2"/>
  <c r="T676" i="2"/>
  <c r="S676" i="2"/>
  <c r="T675" i="2"/>
  <c r="S675" i="2"/>
  <c r="T674" i="2"/>
  <c r="T673" i="2"/>
  <c r="S673" i="2"/>
  <c r="T672" i="2"/>
  <c r="S672" i="2"/>
  <c r="T671" i="2"/>
  <c r="S671" i="2"/>
  <c r="T670" i="2"/>
  <c r="S670" i="2"/>
  <c r="T669" i="2"/>
  <c r="S669" i="2"/>
  <c r="T668" i="2"/>
  <c r="S668" i="2"/>
  <c r="T667" i="2"/>
  <c r="T666" i="2"/>
  <c r="S666" i="2"/>
  <c r="T665" i="2"/>
  <c r="S665" i="2"/>
  <c r="T664" i="2"/>
  <c r="S664" i="2"/>
  <c r="T663" i="2"/>
  <c r="S663" i="2"/>
  <c r="T662" i="2"/>
  <c r="S662" i="2"/>
  <c r="T661" i="2"/>
  <c r="S661" i="2"/>
  <c r="T660" i="2"/>
  <c r="S660" i="2"/>
  <c r="T659" i="2"/>
  <c r="S659" i="2"/>
  <c r="T658" i="2"/>
  <c r="S658" i="2"/>
  <c r="T657" i="2"/>
  <c r="S657" i="2"/>
  <c r="T656" i="2"/>
  <c r="S656" i="2"/>
  <c r="T655" i="2"/>
  <c r="T654" i="2"/>
  <c r="S654" i="2"/>
  <c r="S653" i="2"/>
  <c r="T652" i="2"/>
  <c r="S652" i="2"/>
  <c r="T651" i="2"/>
  <c r="S651" i="2"/>
  <c r="T650" i="2"/>
  <c r="S650" i="2"/>
  <c r="T649" i="2"/>
  <c r="S649" i="2"/>
  <c r="T648" i="2"/>
  <c r="S648" i="2"/>
  <c r="T647" i="2"/>
  <c r="S647" i="2"/>
  <c r="T646" i="2"/>
  <c r="S646" i="2"/>
  <c r="T645" i="2"/>
  <c r="S645" i="2"/>
  <c r="T644" i="2"/>
  <c r="S644" i="2"/>
  <c r="T643" i="2"/>
  <c r="S643" i="2"/>
  <c r="T642" i="2"/>
  <c r="S642" i="2"/>
  <c r="T641" i="2"/>
  <c r="S641" i="2"/>
  <c r="T640" i="2"/>
  <c r="S640" i="2"/>
  <c r="T639" i="2"/>
  <c r="T638" i="2"/>
  <c r="S638" i="2"/>
  <c r="T637" i="2"/>
  <c r="S637" i="2"/>
  <c r="T636" i="2"/>
  <c r="S636" i="2"/>
  <c r="T635" i="2"/>
  <c r="S635" i="2"/>
  <c r="T634" i="2"/>
  <c r="S634" i="2"/>
  <c r="T633" i="2"/>
  <c r="S633" i="2"/>
  <c r="T632" i="2"/>
  <c r="S632" i="2"/>
  <c r="T631" i="2"/>
  <c r="S631" i="2"/>
  <c r="T630" i="2"/>
  <c r="S630" i="2"/>
  <c r="T629" i="2"/>
  <c r="S629" i="2"/>
  <c r="T628" i="2"/>
  <c r="S628" i="2"/>
  <c r="T627" i="2"/>
  <c r="S627" i="2"/>
  <c r="T626" i="2"/>
  <c r="S626" i="2"/>
  <c r="T625" i="2"/>
  <c r="S625" i="2"/>
  <c r="T624" i="2"/>
  <c r="S624" i="2"/>
  <c r="T623" i="2"/>
  <c r="S623" i="2"/>
  <c r="T622" i="2"/>
  <c r="S622" i="2"/>
  <c r="T621" i="2"/>
  <c r="S621" i="2"/>
  <c r="T620" i="2"/>
  <c r="S620" i="2"/>
  <c r="T619" i="2"/>
  <c r="T618" i="2"/>
  <c r="T617" i="2"/>
  <c r="S617" i="2"/>
  <c r="T616" i="2"/>
  <c r="S616" i="2"/>
  <c r="T615" i="2"/>
  <c r="S615" i="2"/>
  <c r="T614" i="2"/>
  <c r="S614" i="2"/>
  <c r="T613" i="2"/>
  <c r="S613" i="2"/>
  <c r="T612" i="2"/>
  <c r="S612" i="2"/>
  <c r="T611" i="2"/>
  <c r="S611" i="2"/>
  <c r="T610" i="2"/>
  <c r="S610" i="2"/>
  <c r="T609" i="2"/>
  <c r="S609" i="2"/>
  <c r="T608" i="2"/>
  <c r="S608" i="2"/>
  <c r="T607" i="2"/>
  <c r="S607" i="2"/>
  <c r="T606" i="2"/>
  <c r="S606" i="2"/>
  <c r="T605" i="2"/>
  <c r="S605" i="2"/>
  <c r="T604" i="2"/>
  <c r="S604" i="2"/>
  <c r="T603" i="2"/>
  <c r="S603" i="2"/>
  <c r="T602" i="2"/>
  <c r="S602" i="2"/>
  <c r="T601" i="2"/>
  <c r="S601" i="2"/>
  <c r="T600" i="2"/>
  <c r="S600" i="2"/>
  <c r="T599" i="2"/>
  <c r="S599" i="2"/>
  <c r="T598" i="2"/>
  <c r="S598" i="2"/>
  <c r="T597" i="2"/>
  <c r="S597" i="2"/>
  <c r="T596" i="2"/>
  <c r="S596" i="2"/>
  <c r="T595" i="2"/>
  <c r="S595" i="2"/>
  <c r="T594" i="2"/>
  <c r="S594" i="2"/>
  <c r="T593" i="2"/>
  <c r="S593" i="2"/>
  <c r="T592" i="2"/>
  <c r="S592" i="2"/>
  <c r="T591" i="2"/>
  <c r="S591" i="2"/>
  <c r="T590" i="2"/>
  <c r="S590" i="2"/>
  <c r="T589" i="2"/>
  <c r="S589" i="2"/>
  <c r="T588" i="2"/>
  <c r="S588" i="2"/>
  <c r="S587" i="2"/>
  <c r="S586" i="2"/>
  <c r="T585" i="2"/>
  <c r="S585" i="2"/>
  <c r="T584" i="2"/>
  <c r="S584" i="2"/>
  <c r="T583" i="2"/>
  <c r="S583" i="2"/>
  <c r="T582" i="2"/>
  <c r="S582" i="2"/>
  <c r="T581" i="2"/>
  <c r="S581" i="2"/>
  <c r="T580" i="2"/>
  <c r="S580" i="2"/>
  <c r="T579" i="2"/>
  <c r="S579" i="2"/>
  <c r="T578" i="2"/>
  <c r="S578" i="2"/>
  <c r="T577" i="2"/>
  <c r="S577" i="2"/>
  <c r="T576" i="2"/>
  <c r="S576" i="2"/>
  <c r="T575" i="2"/>
  <c r="S575" i="2"/>
  <c r="T574" i="2"/>
  <c r="S574" i="2"/>
  <c r="T573" i="2"/>
  <c r="S573" i="2"/>
  <c r="T572" i="2"/>
  <c r="S572" i="2"/>
  <c r="T571" i="2"/>
  <c r="S571" i="2"/>
  <c r="T570" i="2"/>
  <c r="S570" i="2"/>
  <c r="T569" i="2"/>
  <c r="S569" i="2"/>
  <c r="T568" i="2"/>
  <c r="S568" i="2"/>
  <c r="T567" i="2"/>
  <c r="S567" i="2"/>
  <c r="S565" i="2"/>
  <c r="S564" i="2"/>
  <c r="S563" i="2"/>
  <c r="S562" i="2"/>
  <c r="S561" i="2"/>
  <c r="S560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T545" i="2"/>
  <c r="S545" i="2"/>
  <c r="T544" i="2"/>
  <c r="S544" i="2"/>
  <c r="T543" i="2"/>
  <c r="S543" i="2"/>
  <c r="T542" i="2"/>
  <c r="S542" i="2"/>
  <c r="T541" i="2"/>
  <c r="S541" i="2"/>
  <c r="T540" i="2"/>
  <c r="S540" i="2"/>
  <c r="T539" i="2"/>
  <c r="S539" i="2"/>
  <c r="T538" i="2"/>
  <c r="S538" i="2"/>
  <c r="T537" i="2"/>
  <c r="S537" i="2"/>
  <c r="T536" i="2"/>
  <c r="S536" i="2"/>
  <c r="T535" i="2"/>
  <c r="S535" i="2"/>
  <c r="T534" i="2"/>
  <c r="S534" i="2"/>
  <c r="T533" i="2"/>
  <c r="S533" i="2"/>
  <c r="T532" i="2"/>
  <c r="S532" i="2"/>
  <c r="T531" i="2"/>
  <c r="S531" i="2"/>
  <c r="T530" i="2"/>
  <c r="S530" i="2"/>
  <c r="T529" i="2"/>
  <c r="S529" i="2"/>
  <c r="T528" i="2"/>
  <c r="S528" i="2"/>
  <c r="T527" i="2"/>
  <c r="S527" i="2"/>
  <c r="T526" i="2"/>
  <c r="S526" i="2"/>
  <c r="T525" i="2"/>
  <c r="S525" i="2"/>
  <c r="T524" i="2"/>
  <c r="S524" i="2"/>
  <c r="T523" i="2"/>
  <c r="S523" i="2"/>
  <c r="T522" i="2"/>
  <c r="S522" i="2"/>
  <c r="T521" i="2"/>
  <c r="S521" i="2"/>
  <c r="T520" i="2"/>
  <c r="S520" i="2"/>
  <c r="T519" i="2"/>
  <c r="S519" i="2"/>
  <c r="T518" i="2"/>
  <c r="S518" i="2"/>
  <c r="T517" i="2"/>
  <c r="S517" i="2"/>
  <c r="T516" i="2"/>
  <c r="S516" i="2"/>
  <c r="S515" i="2"/>
  <c r="T514" i="2"/>
  <c r="S514" i="2"/>
  <c r="S513" i="2"/>
  <c r="T512" i="2"/>
  <c r="S512" i="2"/>
  <c r="T511" i="2"/>
  <c r="S511" i="2"/>
  <c r="T510" i="2"/>
  <c r="S510" i="2"/>
  <c r="T509" i="2"/>
  <c r="S509" i="2"/>
  <c r="T508" i="2"/>
  <c r="S508" i="2"/>
  <c r="T507" i="2"/>
  <c r="S507" i="2"/>
  <c r="T506" i="2"/>
  <c r="T505" i="2"/>
  <c r="T504" i="2"/>
  <c r="S504" i="2"/>
  <c r="T503" i="2"/>
  <c r="S503" i="2"/>
  <c r="T502" i="2"/>
  <c r="S502" i="2"/>
  <c r="T501" i="2"/>
  <c r="S501" i="2"/>
  <c r="T500" i="2"/>
  <c r="S500" i="2"/>
  <c r="T499" i="2"/>
  <c r="S499" i="2"/>
  <c r="T498" i="2"/>
  <c r="S498" i="2"/>
  <c r="T497" i="2"/>
  <c r="S497" i="2"/>
  <c r="T496" i="2"/>
  <c r="S496" i="2"/>
  <c r="T495" i="2"/>
  <c r="S495" i="2"/>
  <c r="T494" i="2"/>
  <c r="S494" i="2"/>
  <c r="T493" i="2"/>
  <c r="S493" i="2"/>
  <c r="T492" i="2"/>
  <c r="S492" i="2"/>
  <c r="T491" i="2"/>
  <c r="S491" i="2"/>
  <c r="T490" i="2"/>
  <c r="T489" i="2"/>
  <c r="T488" i="2"/>
  <c r="T487" i="2"/>
  <c r="S487" i="2"/>
  <c r="T486" i="2"/>
  <c r="T485" i="2"/>
  <c r="S485" i="2"/>
  <c r="T484" i="2"/>
  <c r="T483" i="2"/>
  <c r="T482" i="2"/>
  <c r="S482" i="2"/>
  <c r="T481" i="2"/>
  <c r="S481" i="2"/>
  <c r="T480" i="2"/>
  <c r="S480" i="2"/>
  <c r="T479" i="2"/>
  <c r="S479" i="2"/>
  <c r="S478" i="2"/>
  <c r="T477" i="2"/>
  <c r="S477" i="2"/>
  <c r="T476" i="2"/>
  <c r="S476" i="2"/>
  <c r="T475" i="2"/>
  <c r="S475" i="2"/>
  <c r="T474" i="2"/>
  <c r="S474" i="2"/>
  <c r="T473" i="2"/>
  <c r="S473" i="2"/>
  <c r="T472" i="2"/>
  <c r="S472" i="2"/>
  <c r="T471" i="2"/>
  <c r="S471" i="2"/>
  <c r="T470" i="2"/>
  <c r="S470" i="2"/>
  <c r="T469" i="2"/>
  <c r="S469" i="2"/>
  <c r="T468" i="2"/>
  <c r="S468" i="2"/>
  <c r="T467" i="2"/>
  <c r="T466" i="2"/>
  <c r="S466" i="2"/>
  <c r="T465" i="2"/>
  <c r="S465" i="2"/>
  <c r="S464" i="2"/>
  <c r="T463" i="2"/>
  <c r="S463" i="2"/>
  <c r="T462" i="2"/>
  <c r="S462" i="2"/>
  <c r="S461" i="2"/>
  <c r="T460" i="2"/>
  <c r="S460" i="2"/>
  <c r="T459" i="2"/>
  <c r="S459" i="2"/>
  <c r="S458" i="2"/>
  <c r="T457" i="2"/>
  <c r="S456" i="2"/>
  <c r="T455" i="2"/>
  <c r="S455" i="2"/>
  <c r="T454" i="2"/>
  <c r="S454" i="2"/>
  <c r="T453" i="2"/>
  <c r="S453" i="2"/>
  <c r="T452" i="2"/>
  <c r="S452" i="2"/>
  <c r="T451" i="2"/>
  <c r="S451" i="2"/>
  <c r="T450" i="2"/>
  <c r="S450" i="2"/>
  <c r="T449" i="2"/>
  <c r="S449" i="2"/>
  <c r="T448" i="2"/>
  <c r="S448" i="2"/>
  <c r="T447" i="2"/>
  <c r="S447" i="2"/>
  <c r="T446" i="2"/>
  <c r="S446" i="2"/>
  <c r="T445" i="2"/>
  <c r="S445" i="2"/>
  <c r="T444" i="2"/>
  <c r="S444" i="2"/>
  <c r="T443" i="2"/>
  <c r="T442" i="2"/>
  <c r="T441" i="2"/>
  <c r="S441" i="2"/>
  <c r="T440" i="2"/>
  <c r="S440" i="2"/>
  <c r="T439" i="2"/>
  <c r="S439" i="2"/>
  <c r="T438" i="2"/>
  <c r="S438" i="2"/>
  <c r="T437" i="2"/>
  <c r="S437" i="2"/>
  <c r="T436" i="2"/>
  <c r="S436" i="2"/>
  <c r="T435" i="2"/>
  <c r="T434" i="2"/>
  <c r="T433" i="2"/>
  <c r="T432" i="2"/>
  <c r="T431" i="2"/>
  <c r="T430" i="2"/>
  <c r="T429" i="2"/>
  <c r="S429" i="2"/>
  <c r="T428" i="2"/>
  <c r="S428" i="2"/>
  <c r="T427" i="2"/>
  <c r="S427" i="2"/>
  <c r="T426" i="2"/>
  <c r="S426" i="2"/>
  <c r="T425" i="2"/>
  <c r="S425" i="2"/>
  <c r="T424" i="2"/>
  <c r="S424" i="2"/>
  <c r="T423" i="2"/>
  <c r="S423" i="2"/>
  <c r="T422" i="2"/>
  <c r="S422" i="2"/>
  <c r="T421" i="2"/>
  <c r="S421" i="2"/>
  <c r="T420" i="2"/>
  <c r="S420" i="2"/>
  <c r="T419" i="2"/>
  <c r="S419" i="2"/>
  <c r="T418" i="2"/>
  <c r="T417" i="2"/>
  <c r="S417" i="2"/>
  <c r="T416" i="2"/>
  <c r="S416" i="2"/>
  <c r="T415" i="2"/>
  <c r="T414" i="2"/>
  <c r="T413" i="2"/>
  <c r="T412" i="2"/>
  <c r="S412" i="2"/>
  <c r="T411" i="2"/>
  <c r="S411" i="2"/>
  <c r="T410" i="2"/>
  <c r="S410" i="2"/>
  <c r="T409" i="2"/>
  <c r="T408" i="2"/>
  <c r="S408" i="2"/>
  <c r="T407" i="2"/>
  <c r="S407" i="2"/>
  <c r="T406" i="2"/>
  <c r="S406" i="2"/>
  <c r="T405" i="2"/>
  <c r="T404" i="2"/>
  <c r="T403" i="2"/>
  <c r="T402" i="2"/>
  <c r="S402" i="2"/>
  <c r="T401" i="2"/>
  <c r="S401" i="2"/>
  <c r="T400" i="2"/>
  <c r="S400" i="2"/>
  <c r="T399" i="2"/>
  <c r="S399" i="2"/>
  <c r="T398" i="2"/>
  <c r="T397" i="2"/>
  <c r="S397" i="2"/>
  <c r="T396" i="2"/>
  <c r="S396" i="2"/>
  <c r="T395" i="2"/>
  <c r="S395" i="2"/>
  <c r="T394" i="2"/>
  <c r="S394" i="2"/>
  <c r="T393" i="2"/>
  <c r="S393" i="2"/>
  <c r="S392" i="2"/>
  <c r="T391" i="2"/>
  <c r="S391" i="2"/>
  <c r="T390" i="2"/>
  <c r="S390" i="2"/>
  <c r="T389" i="2"/>
  <c r="S389" i="2"/>
  <c r="T388" i="2"/>
  <c r="S388" i="2"/>
  <c r="T387" i="2"/>
  <c r="S387" i="2"/>
  <c r="T386" i="2"/>
  <c r="S386" i="2"/>
  <c r="T385" i="2"/>
  <c r="S385" i="2"/>
  <c r="T384" i="2"/>
  <c r="S384" i="2"/>
  <c r="T383" i="2"/>
  <c r="S383" i="2"/>
  <c r="T382" i="2"/>
  <c r="S382" i="2"/>
  <c r="T381" i="2"/>
  <c r="S381" i="2"/>
  <c r="T380" i="2"/>
  <c r="S380" i="2"/>
  <c r="T379" i="2"/>
  <c r="S379" i="2"/>
  <c r="T378" i="2"/>
  <c r="S378" i="2"/>
  <c r="T377" i="2"/>
  <c r="S377" i="2"/>
  <c r="T376" i="2"/>
  <c r="S376" i="2"/>
  <c r="T375" i="2"/>
  <c r="S375" i="2"/>
  <c r="T374" i="2"/>
  <c r="T373" i="2"/>
  <c r="T372" i="2"/>
  <c r="T371" i="2"/>
  <c r="S371" i="2"/>
  <c r="T370" i="2"/>
  <c r="S370" i="2"/>
  <c r="T369" i="2"/>
  <c r="S369" i="2"/>
  <c r="T368" i="2"/>
  <c r="T367" i="2"/>
  <c r="T366" i="2"/>
  <c r="S366" i="2"/>
  <c r="T365" i="2"/>
  <c r="S365" i="2"/>
  <c r="T364" i="2"/>
  <c r="S364" i="2"/>
  <c r="T363" i="2"/>
  <c r="T362" i="2"/>
  <c r="S362" i="2"/>
  <c r="T361" i="2"/>
  <c r="S361" i="2"/>
  <c r="T360" i="2"/>
  <c r="S360" i="2"/>
  <c r="T359" i="2"/>
  <c r="S359" i="2"/>
  <c r="T358" i="2"/>
  <c r="T357" i="2"/>
  <c r="S357" i="2"/>
  <c r="T356" i="2"/>
  <c r="S356" i="2"/>
  <c r="S355" i="2"/>
  <c r="T354" i="2"/>
  <c r="S354" i="2"/>
  <c r="T353" i="2"/>
  <c r="S353" i="2"/>
  <c r="T352" i="2"/>
  <c r="S352" i="2"/>
  <c r="T351" i="2"/>
  <c r="S351" i="2"/>
  <c r="T349" i="2"/>
  <c r="S349" i="2"/>
  <c r="T348" i="2"/>
  <c r="S348" i="2"/>
  <c r="T347" i="2"/>
  <c r="S347" i="2"/>
  <c r="T346" i="2"/>
  <c r="S346" i="2"/>
  <c r="T345" i="2"/>
  <c r="S345" i="2"/>
  <c r="T344" i="2"/>
  <c r="S344" i="2"/>
  <c r="T343" i="2"/>
  <c r="S343" i="2"/>
  <c r="T342" i="2"/>
  <c r="S342" i="2"/>
  <c r="T341" i="2"/>
  <c r="S341" i="2"/>
  <c r="T340" i="2"/>
  <c r="S340" i="2"/>
  <c r="T339" i="2"/>
  <c r="S339" i="2"/>
  <c r="T338" i="2"/>
  <c r="S338" i="2"/>
  <c r="T337" i="2"/>
  <c r="S337" i="2"/>
  <c r="S336" i="2"/>
  <c r="S335" i="2"/>
  <c r="T334" i="2"/>
  <c r="S334" i="2"/>
  <c r="S333" i="2"/>
  <c r="T332" i="2"/>
  <c r="S332" i="2"/>
  <c r="T331" i="2"/>
  <c r="S331" i="2"/>
  <c r="T330" i="2"/>
  <c r="S330" i="2"/>
  <c r="T329" i="2"/>
  <c r="S329" i="2"/>
  <c r="T328" i="2"/>
  <c r="S328" i="2"/>
  <c r="S327" i="2"/>
  <c r="S326" i="2"/>
  <c r="S325" i="2"/>
  <c r="T324" i="2"/>
  <c r="S324" i="2"/>
  <c r="T323" i="2"/>
  <c r="S323" i="2"/>
  <c r="T322" i="2"/>
  <c r="S322" i="2"/>
  <c r="T321" i="2"/>
  <c r="S321" i="2"/>
  <c r="T320" i="2"/>
  <c r="S320" i="2"/>
  <c r="T319" i="2"/>
  <c r="S319" i="2"/>
  <c r="T318" i="2"/>
  <c r="S318" i="2"/>
  <c r="T317" i="2"/>
  <c r="S317" i="2"/>
  <c r="T316" i="2"/>
  <c r="S316" i="2"/>
  <c r="T315" i="2"/>
  <c r="S315" i="2"/>
  <c r="T314" i="2"/>
  <c r="S314" i="2"/>
  <c r="T313" i="2"/>
  <c r="S313" i="2"/>
  <c r="T312" i="2"/>
  <c r="S312" i="2"/>
  <c r="T311" i="2"/>
  <c r="S311" i="2"/>
  <c r="S310" i="2"/>
  <c r="S309" i="2"/>
  <c r="S308" i="2"/>
  <c r="T307" i="2"/>
  <c r="T306" i="2"/>
  <c r="S306" i="2"/>
  <c r="T305" i="2"/>
  <c r="S305" i="2"/>
  <c r="T304" i="2"/>
  <c r="S304" i="2"/>
  <c r="T303" i="2"/>
  <c r="S303" i="2"/>
  <c r="T302" i="2"/>
  <c r="S302" i="2"/>
  <c r="T301" i="2"/>
  <c r="S301" i="2"/>
  <c r="T300" i="2"/>
  <c r="S300" i="2"/>
  <c r="T299" i="2"/>
  <c r="S299" i="2"/>
  <c r="T298" i="2"/>
  <c r="S298" i="2"/>
  <c r="T297" i="2"/>
  <c r="S297" i="2"/>
  <c r="T296" i="2"/>
  <c r="S296" i="2"/>
  <c r="T295" i="2"/>
  <c r="S295" i="2"/>
  <c r="S294" i="2"/>
  <c r="S293" i="2"/>
  <c r="T292" i="2"/>
  <c r="S292" i="2"/>
  <c r="T291" i="2"/>
  <c r="S291" i="2"/>
  <c r="T290" i="2"/>
  <c r="S290" i="2"/>
  <c r="S289" i="2"/>
  <c r="T288" i="2"/>
  <c r="S288" i="2"/>
  <c r="T287" i="2"/>
  <c r="S287" i="2"/>
  <c r="T286" i="2"/>
  <c r="S286" i="2"/>
  <c r="T285" i="2"/>
  <c r="S285" i="2"/>
  <c r="T284" i="2"/>
  <c r="S284" i="2"/>
  <c r="T283" i="2"/>
  <c r="S283" i="2"/>
  <c r="T282" i="2"/>
  <c r="S282" i="2"/>
  <c r="T281" i="2"/>
  <c r="S281" i="2"/>
  <c r="T280" i="2"/>
  <c r="S279" i="2"/>
  <c r="T278" i="2"/>
  <c r="T277" i="2"/>
  <c r="S277" i="2"/>
  <c r="T276" i="2"/>
  <c r="T275" i="2"/>
  <c r="S275" i="2"/>
  <c r="T274" i="2"/>
  <c r="T273" i="2"/>
  <c r="S273" i="2"/>
  <c r="T272" i="2"/>
  <c r="T271" i="2"/>
  <c r="S271" i="2"/>
  <c r="T270" i="2"/>
  <c r="T269" i="2"/>
  <c r="S269" i="2"/>
  <c r="T268" i="2"/>
  <c r="T267" i="2"/>
  <c r="S267" i="2"/>
  <c r="T266" i="2"/>
  <c r="T265" i="2"/>
  <c r="S265" i="2"/>
  <c r="T264" i="2"/>
  <c r="T263" i="2"/>
  <c r="S263" i="2"/>
  <c r="T262" i="2"/>
  <c r="T261" i="2"/>
  <c r="S261" i="2"/>
  <c r="T260" i="2"/>
  <c r="T259" i="2"/>
  <c r="S259" i="2"/>
  <c r="T258" i="2"/>
  <c r="T257" i="2"/>
  <c r="S257" i="2"/>
  <c r="T256" i="2"/>
  <c r="T255" i="2"/>
  <c r="S255" i="2"/>
  <c r="T254" i="2"/>
  <c r="T253" i="2"/>
  <c r="S253" i="2"/>
  <c r="T252" i="2"/>
  <c r="T251" i="2"/>
  <c r="S251" i="2"/>
  <c r="T250" i="2"/>
  <c r="T249" i="2"/>
  <c r="S249" i="2"/>
  <c r="T248" i="2"/>
  <c r="S248" i="2"/>
  <c r="T247" i="2"/>
  <c r="S247" i="2"/>
  <c r="T246" i="2"/>
  <c r="S246" i="2"/>
  <c r="T245" i="2"/>
  <c r="T244" i="2"/>
  <c r="S244" i="2"/>
  <c r="T243" i="2"/>
  <c r="S243" i="2"/>
  <c r="T242" i="2"/>
  <c r="S242" i="2"/>
  <c r="T241" i="2"/>
  <c r="S241" i="2"/>
  <c r="T240" i="2"/>
  <c r="S240" i="2"/>
  <c r="T239" i="2"/>
  <c r="S239" i="2"/>
  <c r="T238" i="2"/>
  <c r="S238" i="2"/>
  <c r="T237" i="2"/>
  <c r="S237" i="2"/>
  <c r="T236" i="2"/>
  <c r="S236" i="2"/>
  <c r="T235" i="2"/>
  <c r="T234" i="2"/>
  <c r="T233" i="2"/>
  <c r="T232" i="2"/>
  <c r="T231" i="2"/>
  <c r="T230" i="2"/>
  <c r="T229" i="2"/>
  <c r="T228" i="2"/>
  <c r="S228" i="2"/>
  <c r="T227" i="2"/>
  <c r="S227" i="2"/>
  <c r="T226" i="2"/>
  <c r="S226" i="2"/>
  <c r="T225" i="2"/>
  <c r="S225" i="2"/>
  <c r="T224" i="2"/>
  <c r="S224" i="2"/>
  <c r="T223" i="2"/>
  <c r="S223" i="2"/>
  <c r="T222" i="2"/>
  <c r="S222" i="2"/>
  <c r="T221" i="2"/>
  <c r="S221" i="2"/>
  <c r="T220" i="2"/>
  <c r="S220" i="2"/>
  <c r="T219" i="2"/>
  <c r="S219" i="2"/>
  <c r="T218" i="2"/>
  <c r="T216" i="2"/>
  <c r="S216" i="2"/>
  <c r="T215" i="2"/>
  <c r="S215" i="2"/>
  <c r="T214" i="2"/>
  <c r="S214" i="2"/>
  <c r="T213" i="2"/>
  <c r="S213" i="2"/>
  <c r="T212" i="2"/>
  <c r="S212" i="2"/>
  <c r="T211" i="2"/>
  <c r="S211" i="2"/>
  <c r="T210" i="2"/>
  <c r="S210" i="2"/>
  <c r="T209" i="2"/>
  <c r="S209" i="2"/>
  <c r="T208" i="2"/>
  <c r="S208" i="2"/>
  <c r="T207" i="2"/>
  <c r="S207" i="2"/>
  <c r="T206" i="2"/>
  <c r="S206" i="2"/>
  <c r="T205" i="2"/>
  <c r="S205" i="2"/>
  <c r="T204" i="2"/>
  <c r="S204" i="2"/>
  <c r="T203" i="2"/>
  <c r="S203" i="2"/>
  <c r="T202" i="2"/>
  <c r="S202" i="2"/>
  <c r="T201" i="2"/>
  <c r="S201" i="2"/>
  <c r="T200" i="2"/>
  <c r="S200" i="2"/>
  <c r="T199" i="2"/>
  <c r="S199" i="2"/>
  <c r="T198" i="2"/>
  <c r="S198" i="2"/>
  <c r="T197" i="2"/>
  <c r="S197" i="2"/>
  <c r="T196" i="2"/>
  <c r="S196" i="2"/>
  <c r="T195" i="2"/>
  <c r="S195" i="2"/>
  <c r="T194" i="2"/>
  <c r="S194" i="2"/>
  <c r="T193" i="2"/>
  <c r="S193" i="2"/>
  <c r="T192" i="2"/>
  <c r="S192" i="2"/>
  <c r="T191" i="2"/>
  <c r="S191" i="2"/>
  <c r="T190" i="2"/>
  <c r="S190" i="2"/>
  <c r="T189" i="2"/>
  <c r="S189" i="2"/>
  <c r="T188" i="2"/>
  <c r="S188" i="2"/>
  <c r="T187" i="2"/>
  <c r="T186" i="2"/>
  <c r="S186" i="2"/>
  <c r="T185" i="2"/>
  <c r="S185" i="2"/>
  <c r="T184" i="2"/>
  <c r="S184" i="2"/>
  <c r="T183" i="2"/>
  <c r="S183" i="2"/>
  <c r="T182" i="2"/>
  <c r="S182" i="2"/>
  <c r="T181" i="2"/>
  <c r="S181" i="2"/>
  <c r="T180" i="2"/>
  <c r="S180" i="2"/>
  <c r="T179" i="2"/>
  <c r="S179" i="2"/>
  <c r="T178" i="2"/>
  <c r="S178" i="2"/>
  <c r="T177" i="2"/>
  <c r="S177" i="2"/>
  <c r="T176" i="2"/>
  <c r="S176" i="2"/>
  <c r="T175" i="2"/>
  <c r="S175" i="2"/>
  <c r="T174" i="2"/>
  <c r="S174" i="2"/>
  <c r="T173" i="2"/>
  <c r="S173" i="2"/>
  <c r="T172" i="2"/>
  <c r="S172" i="2"/>
  <c r="T171" i="2"/>
  <c r="S171" i="2"/>
  <c r="T170" i="2"/>
  <c r="S170" i="2"/>
  <c r="T169" i="2"/>
  <c r="S169" i="2"/>
  <c r="T168" i="2"/>
  <c r="S168" i="2"/>
  <c r="T167" i="2"/>
  <c r="S167" i="2"/>
  <c r="T166" i="2"/>
  <c r="S166" i="2"/>
  <c r="T165" i="2"/>
  <c r="S165" i="2"/>
  <c r="T164" i="2"/>
  <c r="S164" i="2"/>
  <c r="T163" i="2"/>
  <c r="S163" i="2"/>
  <c r="T162" i="2"/>
  <c r="S162" i="2"/>
  <c r="T161" i="2"/>
  <c r="T160" i="2"/>
  <c r="S160" i="2"/>
  <c r="T159" i="2"/>
  <c r="S159" i="2"/>
  <c r="T158" i="2"/>
  <c r="S158" i="2"/>
  <c r="T157" i="2"/>
  <c r="S157" i="2"/>
  <c r="T156" i="2"/>
  <c r="S156" i="2"/>
  <c r="T155" i="2"/>
  <c r="S155" i="2"/>
  <c r="T154" i="2"/>
  <c r="S154" i="2"/>
  <c r="T153" i="2"/>
  <c r="S153" i="2"/>
  <c r="T152" i="2"/>
  <c r="S152" i="2"/>
  <c r="T151" i="2"/>
  <c r="S151" i="2"/>
  <c r="T150" i="2"/>
  <c r="S150" i="2"/>
  <c r="T149" i="2"/>
  <c r="S149" i="2"/>
  <c r="T148" i="2"/>
  <c r="S148" i="2"/>
  <c r="T147" i="2"/>
  <c r="S147" i="2"/>
  <c r="T146" i="2"/>
  <c r="S146" i="2"/>
  <c r="T145" i="2"/>
  <c r="S145" i="2"/>
  <c r="T144" i="2"/>
  <c r="S144" i="2"/>
  <c r="T143" i="2"/>
  <c r="S143" i="2"/>
  <c r="T142" i="2"/>
  <c r="S142" i="2"/>
  <c r="T141" i="2"/>
  <c r="S141" i="2"/>
  <c r="T140" i="2"/>
  <c r="S140" i="2"/>
  <c r="T139" i="2"/>
  <c r="S139" i="2"/>
  <c r="T138" i="2"/>
  <c r="S138" i="2"/>
  <c r="T137" i="2"/>
  <c r="S137" i="2"/>
  <c r="T136" i="2"/>
  <c r="S136" i="2"/>
  <c r="T135" i="2"/>
  <c r="S135" i="2"/>
  <c r="T134" i="2"/>
  <c r="S134" i="2"/>
  <c r="T133" i="2"/>
  <c r="S133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6" i="2"/>
  <c r="S126" i="2"/>
  <c r="T125" i="2"/>
  <c r="S125" i="2"/>
  <c r="T124" i="2"/>
  <c r="S124" i="2"/>
  <c r="T123" i="2"/>
  <c r="S123" i="2"/>
  <c r="T122" i="2"/>
  <c r="S122" i="2"/>
  <c r="T121" i="2"/>
  <c r="S121" i="2"/>
  <c r="T120" i="2"/>
  <c r="S120" i="2"/>
  <c r="T119" i="2"/>
  <c r="S119" i="2"/>
  <c r="T118" i="2"/>
  <c r="S118" i="2"/>
  <c r="T117" i="2"/>
  <c r="S117" i="2"/>
  <c r="T116" i="2"/>
  <c r="S116" i="2"/>
  <c r="T115" i="2"/>
  <c r="S115" i="2"/>
  <c r="T114" i="2"/>
  <c r="S114" i="2"/>
  <c r="T113" i="2"/>
  <c r="S113" i="2"/>
  <c r="T112" i="2"/>
  <c r="S112" i="2"/>
  <c r="T111" i="2"/>
  <c r="S111" i="2"/>
  <c r="T110" i="2"/>
  <c r="S110" i="2"/>
  <c r="T109" i="2"/>
  <c r="S109" i="2"/>
  <c r="T108" i="2"/>
  <c r="S108" i="2"/>
  <c r="T107" i="2"/>
  <c r="S107" i="2"/>
  <c r="T106" i="2"/>
  <c r="S106" i="2"/>
  <c r="T105" i="2"/>
  <c r="S105" i="2"/>
  <c r="T104" i="2"/>
  <c r="S104" i="2"/>
  <c r="T103" i="2"/>
  <c r="S103" i="2"/>
  <c r="T102" i="2"/>
  <c r="S102" i="2"/>
  <c r="T101" i="2"/>
  <c r="S101" i="2"/>
  <c r="T100" i="2"/>
  <c r="S100" i="2"/>
  <c r="T99" i="2"/>
  <c r="S99" i="2"/>
  <c r="T98" i="2"/>
  <c r="S98" i="2"/>
  <c r="T97" i="2"/>
  <c r="S97" i="2"/>
  <c r="T96" i="2"/>
  <c r="S96" i="2"/>
  <c r="T95" i="2"/>
  <c r="S95" i="2"/>
  <c r="T94" i="2"/>
  <c r="S94" i="2"/>
  <c r="T93" i="2"/>
  <c r="S93" i="2"/>
  <c r="T92" i="2"/>
  <c r="S92" i="2"/>
  <c r="T91" i="2"/>
  <c r="S91" i="2"/>
  <c r="T90" i="2"/>
  <c r="S90" i="2"/>
  <c r="T89" i="2"/>
  <c r="S89" i="2"/>
  <c r="T88" i="2"/>
  <c r="S88" i="2"/>
  <c r="T87" i="2"/>
  <c r="S87" i="2"/>
  <c r="T86" i="2"/>
  <c r="S86" i="2"/>
  <c r="T85" i="2"/>
  <c r="S85" i="2"/>
  <c r="T84" i="2"/>
  <c r="S84" i="2"/>
  <c r="T83" i="2"/>
  <c r="S83" i="2"/>
  <c r="T82" i="2"/>
  <c r="S82" i="2"/>
  <c r="T81" i="2"/>
  <c r="S81" i="2"/>
  <c r="T80" i="2"/>
  <c r="S80" i="2"/>
  <c r="T79" i="2"/>
  <c r="T78" i="2"/>
  <c r="T77" i="2"/>
  <c r="S77" i="2"/>
  <c r="T76" i="2"/>
  <c r="S76" i="2"/>
  <c r="T75" i="2"/>
  <c r="S75" i="2"/>
  <c r="T74" i="2"/>
  <c r="S74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T52" i="2"/>
  <c r="S52" i="2"/>
  <c r="T51" i="2"/>
  <c r="T50" i="2"/>
  <c r="S50" i="2"/>
  <c r="T49" i="2"/>
  <c r="S49" i="2"/>
  <c r="S48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T6" i="2"/>
  <c r="S6" i="2"/>
  <c r="T5" i="2"/>
  <c r="S5" i="2"/>
  <c r="T4" i="2"/>
  <c r="S4" i="2"/>
  <c r="T3" i="2"/>
  <c r="S3" i="2"/>
  <c r="K66" i="2"/>
  <c r="K130" i="2"/>
  <c r="K194" i="2"/>
  <c r="K258" i="2"/>
  <c r="K322" i="2"/>
  <c r="K386" i="2"/>
  <c r="K450" i="2"/>
  <c r="K514" i="2"/>
  <c r="K578" i="2"/>
  <c r="K626" i="2"/>
  <c r="K658" i="2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4" i="2"/>
  <c r="K244" i="2" s="1"/>
  <c r="J245" i="2"/>
  <c r="K245" i="2" s="1"/>
  <c r="J246" i="2"/>
  <c r="K246" i="2" s="1"/>
  <c r="J247" i="2"/>
  <c r="K247" i="2" s="1"/>
  <c r="J248" i="2"/>
  <c r="K248" i="2" s="1"/>
  <c r="J249" i="2"/>
  <c r="K249" i="2" s="1"/>
  <c r="J250" i="2"/>
  <c r="K250" i="2" s="1"/>
  <c r="J251" i="2"/>
  <c r="K251" i="2" s="1"/>
  <c r="J252" i="2"/>
  <c r="K252" i="2" s="1"/>
  <c r="J253" i="2"/>
  <c r="K253" i="2" s="1"/>
  <c r="J254" i="2"/>
  <c r="K254" i="2" s="1"/>
  <c r="J255" i="2"/>
  <c r="K255" i="2" s="1"/>
  <c r="J256" i="2"/>
  <c r="K256" i="2" s="1"/>
  <c r="J257" i="2"/>
  <c r="K257" i="2" s="1"/>
  <c r="J258" i="2"/>
  <c r="J259" i="2"/>
  <c r="K259" i="2" s="1"/>
  <c r="J260" i="2"/>
  <c r="K260" i="2" s="1"/>
  <c r="J261" i="2"/>
  <c r="K261" i="2" s="1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1" i="2"/>
  <c r="K271" i="2" s="1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0" i="2"/>
  <c r="K290" i="2" s="1"/>
  <c r="J291" i="2"/>
  <c r="K291" i="2" s="1"/>
  <c r="J292" i="2"/>
  <c r="K292" i="2" s="1"/>
  <c r="J293" i="2"/>
  <c r="K293" i="2" s="1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2" i="2"/>
  <c r="K312" i="2" s="1"/>
  <c r="J313" i="2"/>
  <c r="K313" i="2" s="1"/>
  <c r="J314" i="2"/>
  <c r="K314" i="2" s="1"/>
  <c r="J315" i="2"/>
  <c r="K315" i="2" s="1"/>
  <c r="J316" i="2"/>
  <c r="K316" i="2" s="1"/>
  <c r="J317" i="2"/>
  <c r="K317" i="2" s="1"/>
  <c r="J318" i="2"/>
  <c r="K318" i="2" s="1"/>
  <c r="J319" i="2"/>
  <c r="K319" i="2" s="1"/>
  <c r="J320" i="2"/>
  <c r="K320" i="2" s="1"/>
  <c r="J321" i="2"/>
  <c r="K321" i="2" s="1"/>
  <c r="J322" i="2"/>
  <c r="J323" i="2"/>
  <c r="K323" i="2" s="1"/>
  <c r="J324" i="2"/>
  <c r="K324" i="2" s="1"/>
  <c r="J325" i="2"/>
  <c r="K325" i="2" s="1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K335" i="2" s="1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K349" i="2" s="1"/>
  <c r="J350" i="2"/>
  <c r="K350" i="2" s="1"/>
  <c r="J351" i="2"/>
  <c r="K351" i="2" s="1"/>
  <c r="J352" i="2"/>
  <c r="K352" i="2" s="1"/>
  <c r="J353" i="2"/>
  <c r="K353" i="2" s="1"/>
  <c r="J354" i="2"/>
  <c r="K354" i="2" s="1"/>
  <c r="J355" i="2"/>
  <c r="K355" i="2" s="1"/>
  <c r="J356" i="2"/>
  <c r="K356" i="2" s="1"/>
  <c r="J357" i="2"/>
  <c r="K357" i="2" s="1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K365" i="2" s="1"/>
  <c r="J366" i="2"/>
  <c r="K366" i="2" s="1"/>
  <c r="J367" i="2"/>
  <c r="K367" i="2" s="1"/>
  <c r="J368" i="2"/>
  <c r="K368" i="2" s="1"/>
  <c r="J369" i="2"/>
  <c r="K369" i="2" s="1"/>
  <c r="J370" i="2"/>
  <c r="K370" i="2" s="1"/>
  <c r="J371" i="2"/>
  <c r="K371" i="2" s="1"/>
  <c r="J372" i="2"/>
  <c r="K372" i="2" s="1"/>
  <c r="J373" i="2"/>
  <c r="K373" i="2" s="1"/>
  <c r="J374" i="2"/>
  <c r="K374" i="2" s="1"/>
  <c r="J375" i="2"/>
  <c r="K375" i="2" s="1"/>
  <c r="J376" i="2"/>
  <c r="K376" i="2" s="1"/>
  <c r="J377" i="2"/>
  <c r="K377" i="2" s="1"/>
  <c r="J378" i="2"/>
  <c r="K378" i="2" s="1"/>
  <c r="J379" i="2"/>
  <c r="K379" i="2" s="1"/>
  <c r="J380" i="2"/>
  <c r="K380" i="2" s="1"/>
  <c r="J381" i="2"/>
  <c r="K381" i="2" s="1"/>
  <c r="J382" i="2"/>
  <c r="K382" i="2" s="1"/>
  <c r="J383" i="2"/>
  <c r="K383" i="2" s="1"/>
  <c r="J384" i="2"/>
  <c r="K384" i="2" s="1"/>
  <c r="J385" i="2"/>
  <c r="K385" i="2" s="1"/>
  <c r="J386" i="2"/>
  <c r="J387" i="2"/>
  <c r="K387" i="2" s="1"/>
  <c r="J388" i="2"/>
  <c r="K388" i="2" s="1"/>
  <c r="J389" i="2"/>
  <c r="K389" i="2" s="1"/>
  <c r="J390" i="2"/>
  <c r="K390" i="2" s="1"/>
  <c r="J391" i="2"/>
  <c r="K391" i="2" s="1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K397" i="2" s="1"/>
  <c r="J398" i="2"/>
  <c r="K398" i="2" s="1"/>
  <c r="J399" i="2"/>
  <c r="K399" i="2" s="1"/>
  <c r="J400" i="2"/>
  <c r="K400" i="2" s="1"/>
  <c r="J401" i="2"/>
  <c r="K401" i="2" s="1"/>
  <c r="J402" i="2"/>
  <c r="K402" i="2" s="1"/>
  <c r="J403" i="2"/>
  <c r="K403" i="2" s="1"/>
  <c r="J404" i="2"/>
  <c r="K404" i="2" s="1"/>
  <c r="J405" i="2"/>
  <c r="K405" i="2" s="1"/>
  <c r="J406" i="2"/>
  <c r="K406" i="2" s="1"/>
  <c r="J407" i="2"/>
  <c r="K407" i="2" s="1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K413" i="2" s="1"/>
  <c r="J414" i="2"/>
  <c r="K414" i="2" s="1"/>
  <c r="J415" i="2"/>
  <c r="K415" i="2" s="1"/>
  <c r="J416" i="2"/>
  <c r="K416" i="2" s="1"/>
  <c r="J417" i="2"/>
  <c r="K417" i="2" s="1"/>
  <c r="J418" i="2"/>
  <c r="K418" i="2" s="1"/>
  <c r="J419" i="2"/>
  <c r="K419" i="2" s="1"/>
  <c r="J420" i="2"/>
  <c r="K420" i="2" s="1"/>
  <c r="J421" i="2"/>
  <c r="K421" i="2" s="1"/>
  <c r="J422" i="2"/>
  <c r="K422" i="2" s="1"/>
  <c r="J423" i="2"/>
  <c r="K423" i="2" s="1"/>
  <c r="J424" i="2"/>
  <c r="K424" i="2" s="1"/>
  <c r="J425" i="2"/>
  <c r="K425" i="2" s="1"/>
  <c r="J426" i="2"/>
  <c r="K426" i="2" s="1"/>
  <c r="J427" i="2"/>
  <c r="K427" i="2" s="1"/>
  <c r="J428" i="2"/>
  <c r="K428" i="2" s="1"/>
  <c r="J429" i="2"/>
  <c r="K429" i="2" s="1"/>
  <c r="J430" i="2"/>
  <c r="K430" i="2" s="1"/>
  <c r="J431" i="2"/>
  <c r="K431" i="2" s="1"/>
  <c r="J432" i="2"/>
  <c r="K432" i="2" s="1"/>
  <c r="J433" i="2"/>
  <c r="K433" i="2" s="1"/>
  <c r="J434" i="2"/>
  <c r="K434" i="2" s="1"/>
  <c r="J435" i="2"/>
  <c r="K435" i="2" s="1"/>
  <c r="J436" i="2"/>
  <c r="K436" i="2" s="1"/>
  <c r="J437" i="2"/>
  <c r="K437" i="2" s="1"/>
  <c r="J438" i="2"/>
  <c r="K438" i="2" s="1"/>
  <c r="J439" i="2"/>
  <c r="K439" i="2" s="1"/>
  <c r="J440" i="2"/>
  <c r="K440" i="2" s="1"/>
  <c r="J441" i="2"/>
  <c r="K441" i="2" s="1"/>
  <c r="J442" i="2"/>
  <c r="K442" i="2" s="1"/>
  <c r="J443" i="2"/>
  <c r="K443" i="2" s="1"/>
  <c r="J444" i="2"/>
  <c r="K444" i="2" s="1"/>
  <c r="J445" i="2"/>
  <c r="K445" i="2" s="1"/>
  <c r="J446" i="2"/>
  <c r="K446" i="2" s="1"/>
  <c r="J447" i="2"/>
  <c r="K447" i="2" s="1"/>
  <c r="J448" i="2"/>
  <c r="K448" i="2" s="1"/>
  <c r="J449" i="2"/>
  <c r="K449" i="2" s="1"/>
  <c r="J450" i="2"/>
  <c r="J451" i="2"/>
  <c r="K451" i="2" s="1"/>
  <c r="J452" i="2"/>
  <c r="K452" i="2" s="1"/>
  <c r="J453" i="2"/>
  <c r="K453" i="2" s="1"/>
  <c r="J454" i="2"/>
  <c r="K454" i="2" s="1"/>
  <c r="J455" i="2"/>
  <c r="K455" i="2" s="1"/>
  <c r="J456" i="2"/>
  <c r="K456" i="2" s="1"/>
  <c r="J457" i="2"/>
  <c r="K457" i="2" s="1"/>
  <c r="J458" i="2"/>
  <c r="K458" i="2" s="1"/>
  <c r="J459" i="2"/>
  <c r="K459" i="2" s="1"/>
  <c r="J460" i="2"/>
  <c r="K460" i="2" s="1"/>
  <c r="J461" i="2"/>
  <c r="K461" i="2" s="1"/>
  <c r="J462" i="2"/>
  <c r="K462" i="2" s="1"/>
  <c r="J463" i="2"/>
  <c r="K463" i="2" s="1"/>
  <c r="J464" i="2"/>
  <c r="K464" i="2" s="1"/>
  <c r="J465" i="2"/>
  <c r="K465" i="2" s="1"/>
  <c r="J466" i="2"/>
  <c r="K466" i="2" s="1"/>
  <c r="J467" i="2"/>
  <c r="K467" i="2" s="1"/>
  <c r="J468" i="2"/>
  <c r="K468" i="2" s="1"/>
  <c r="J469" i="2"/>
  <c r="K469" i="2" s="1"/>
  <c r="J470" i="2"/>
  <c r="K470" i="2" s="1"/>
  <c r="J471" i="2"/>
  <c r="K471" i="2" s="1"/>
  <c r="J472" i="2"/>
  <c r="K472" i="2" s="1"/>
  <c r="J473" i="2"/>
  <c r="K473" i="2" s="1"/>
  <c r="J474" i="2"/>
  <c r="K474" i="2" s="1"/>
  <c r="J475" i="2"/>
  <c r="K475" i="2" s="1"/>
  <c r="J476" i="2"/>
  <c r="K476" i="2" s="1"/>
  <c r="J477" i="2"/>
  <c r="K477" i="2" s="1"/>
  <c r="J478" i="2"/>
  <c r="K478" i="2" s="1"/>
  <c r="J479" i="2"/>
  <c r="K479" i="2" s="1"/>
  <c r="J480" i="2"/>
  <c r="K480" i="2" s="1"/>
  <c r="J481" i="2"/>
  <c r="K481" i="2" s="1"/>
  <c r="J482" i="2"/>
  <c r="K482" i="2" s="1"/>
  <c r="J483" i="2"/>
  <c r="K483" i="2" s="1"/>
  <c r="J484" i="2"/>
  <c r="K484" i="2" s="1"/>
  <c r="J485" i="2"/>
  <c r="K485" i="2" s="1"/>
  <c r="J486" i="2"/>
  <c r="K486" i="2" s="1"/>
  <c r="J487" i="2"/>
  <c r="K487" i="2" s="1"/>
  <c r="J488" i="2"/>
  <c r="K488" i="2" s="1"/>
  <c r="J489" i="2"/>
  <c r="K489" i="2" s="1"/>
  <c r="J490" i="2"/>
  <c r="K490" i="2" s="1"/>
  <c r="J491" i="2"/>
  <c r="K491" i="2" s="1"/>
  <c r="J492" i="2"/>
  <c r="K492" i="2" s="1"/>
  <c r="J493" i="2"/>
  <c r="K493" i="2" s="1"/>
  <c r="J494" i="2"/>
  <c r="K494" i="2" s="1"/>
  <c r="J495" i="2"/>
  <c r="K495" i="2" s="1"/>
  <c r="J496" i="2"/>
  <c r="K496" i="2" s="1"/>
  <c r="J497" i="2"/>
  <c r="K497" i="2" s="1"/>
  <c r="J498" i="2"/>
  <c r="K498" i="2" s="1"/>
  <c r="J499" i="2"/>
  <c r="K499" i="2" s="1"/>
  <c r="J500" i="2"/>
  <c r="K500" i="2" s="1"/>
  <c r="J501" i="2"/>
  <c r="K501" i="2" s="1"/>
  <c r="J502" i="2"/>
  <c r="K502" i="2" s="1"/>
  <c r="J503" i="2"/>
  <c r="K503" i="2" s="1"/>
  <c r="J504" i="2"/>
  <c r="K504" i="2" s="1"/>
  <c r="J505" i="2"/>
  <c r="K505" i="2" s="1"/>
  <c r="J506" i="2"/>
  <c r="K506" i="2" s="1"/>
  <c r="J507" i="2"/>
  <c r="K507" i="2" s="1"/>
  <c r="J508" i="2"/>
  <c r="K508" i="2" s="1"/>
  <c r="J509" i="2"/>
  <c r="K509" i="2" s="1"/>
  <c r="J510" i="2"/>
  <c r="K510" i="2" s="1"/>
  <c r="J511" i="2"/>
  <c r="K511" i="2" s="1"/>
  <c r="J512" i="2"/>
  <c r="K512" i="2" s="1"/>
  <c r="J513" i="2"/>
  <c r="K513" i="2" s="1"/>
  <c r="J514" i="2"/>
  <c r="J515" i="2"/>
  <c r="K515" i="2" s="1"/>
  <c r="J516" i="2"/>
  <c r="K516" i="2" s="1"/>
  <c r="J517" i="2"/>
  <c r="K517" i="2" s="1"/>
  <c r="J518" i="2"/>
  <c r="K518" i="2" s="1"/>
  <c r="J519" i="2"/>
  <c r="K519" i="2" s="1"/>
  <c r="J520" i="2"/>
  <c r="K520" i="2" s="1"/>
  <c r="J521" i="2"/>
  <c r="K521" i="2" s="1"/>
  <c r="J522" i="2"/>
  <c r="K522" i="2" s="1"/>
  <c r="J523" i="2"/>
  <c r="K523" i="2" s="1"/>
  <c r="J524" i="2"/>
  <c r="K524" i="2" s="1"/>
  <c r="J525" i="2"/>
  <c r="K525" i="2" s="1"/>
  <c r="J526" i="2"/>
  <c r="K526" i="2" s="1"/>
  <c r="J527" i="2"/>
  <c r="K527" i="2" s="1"/>
  <c r="J528" i="2"/>
  <c r="K528" i="2" s="1"/>
  <c r="J529" i="2"/>
  <c r="K529" i="2" s="1"/>
  <c r="J530" i="2"/>
  <c r="K530" i="2" s="1"/>
  <c r="J531" i="2"/>
  <c r="K531" i="2" s="1"/>
  <c r="J532" i="2"/>
  <c r="K532" i="2" s="1"/>
  <c r="J533" i="2"/>
  <c r="K533" i="2" s="1"/>
  <c r="J534" i="2"/>
  <c r="K534" i="2" s="1"/>
  <c r="J535" i="2"/>
  <c r="K535" i="2" s="1"/>
  <c r="J536" i="2"/>
  <c r="K536" i="2" s="1"/>
  <c r="J537" i="2"/>
  <c r="K537" i="2" s="1"/>
  <c r="J538" i="2"/>
  <c r="K538" i="2" s="1"/>
  <c r="J539" i="2"/>
  <c r="K539" i="2" s="1"/>
  <c r="J540" i="2"/>
  <c r="K540" i="2" s="1"/>
  <c r="J541" i="2"/>
  <c r="K541" i="2" s="1"/>
  <c r="J542" i="2"/>
  <c r="K542" i="2" s="1"/>
  <c r="J543" i="2"/>
  <c r="K543" i="2" s="1"/>
  <c r="J544" i="2"/>
  <c r="K544" i="2" s="1"/>
  <c r="J545" i="2"/>
  <c r="K545" i="2" s="1"/>
  <c r="J546" i="2"/>
  <c r="K546" i="2" s="1"/>
  <c r="J547" i="2"/>
  <c r="K547" i="2" s="1"/>
  <c r="J548" i="2"/>
  <c r="K548" i="2" s="1"/>
  <c r="J549" i="2"/>
  <c r="K549" i="2" s="1"/>
  <c r="J550" i="2"/>
  <c r="K550" i="2" s="1"/>
  <c r="J551" i="2"/>
  <c r="K551" i="2" s="1"/>
  <c r="J552" i="2"/>
  <c r="K552" i="2" s="1"/>
  <c r="J553" i="2"/>
  <c r="K553" i="2" s="1"/>
  <c r="J554" i="2"/>
  <c r="K554" i="2" s="1"/>
  <c r="J555" i="2"/>
  <c r="K555" i="2" s="1"/>
  <c r="J556" i="2"/>
  <c r="K556" i="2" s="1"/>
  <c r="J557" i="2"/>
  <c r="K557" i="2" s="1"/>
  <c r="J558" i="2"/>
  <c r="K558" i="2" s="1"/>
  <c r="J559" i="2"/>
  <c r="K559" i="2" s="1"/>
  <c r="J560" i="2"/>
  <c r="K560" i="2" s="1"/>
  <c r="J561" i="2"/>
  <c r="K561" i="2" s="1"/>
  <c r="J562" i="2"/>
  <c r="K562" i="2" s="1"/>
  <c r="J563" i="2"/>
  <c r="K563" i="2" s="1"/>
  <c r="J564" i="2"/>
  <c r="K564" i="2" s="1"/>
  <c r="J565" i="2"/>
  <c r="K565" i="2" s="1"/>
  <c r="J566" i="2"/>
  <c r="K566" i="2" s="1"/>
  <c r="J567" i="2"/>
  <c r="K567" i="2" s="1"/>
  <c r="J568" i="2"/>
  <c r="K568" i="2" s="1"/>
  <c r="J569" i="2"/>
  <c r="K569" i="2" s="1"/>
  <c r="J570" i="2"/>
  <c r="K570" i="2" s="1"/>
  <c r="J571" i="2"/>
  <c r="K571" i="2" s="1"/>
  <c r="J572" i="2"/>
  <c r="K572" i="2" s="1"/>
  <c r="J573" i="2"/>
  <c r="K573" i="2" s="1"/>
  <c r="J574" i="2"/>
  <c r="K574" i="2" s="1"/>
  <c r="J575" i="2"/>
  <c r="K575" i="2" s="1"/>
  <c r="J576" i="2"/>
  <c r="K576" i="2" s="1"/>
  <c r="J577" i="2"/>
  <c r="K577" i="2" s="1"/>
  <c r="J578" i="2"/>
  <c r="J579" i="2"/>
  <c r="K579" i="2" s="1"/>
  <c r="J580" i="2"/>
  <c r="K580" i="2" s="1"/>
  <c r="J581" i="2"/>
  <c r="K581" i="2" s="1"/>
  <c r="J582" i="2"/>
  <c r="K582" i="2" s="1"/>
  <c r="J583" i="2"/>
  <c r="K583" i="2" s="1"/>
  <c r="J584" i="2"/>
  <c r="K584" i="2" s="1"/>
  <c r="J585" i="2"/>
  <c r="K585" i="2" s="1"/>
  <c r="J586" i="2"/>
  <c r="K586" i="2" s="1"/>
  <c r="J587" i="2"/>
  <c r="K587" i="2" s="1"/>
  <c r="J588" i="2"/>
  <c r="K588" i="2" s="1"/>
  <c r="J589" i="2"/>
  <c r="K589" i="2" s="1"/>
  <c r="J590" i="2"/>
  <c r="K590" i="2" s="1"/>
  <c r="J591" i="2"/>
  <c r="K591" i="2" s="1"/>
  <c r="J592" i="2"/>
  <c r="K592" i="2" s="1"/>
  <c r="J593" i="2"/>
  <c r="K593" i="2" s="1"/>
  <c r="J594" i="2"/>
  <c r="K594" i="2" s="1"/>
  <c r="J595" i="2"/>
  <c r="K595" i="2" s="1"/>
  <c r="J596" i="2"/>
  <c r="K596" i="2" s="1"/>
  <c r="J597" i="2"/>
  <c r="K597" i="2" s="1"/>
  <c r="J598" i="2"/>
  <c r="K598" i="2" s="1"/>
  <c r="J599" i="2"/>
  <c r="K599" i="2" s="1"/>
  <c r="J600" i="2"/>
  <c r="K600" i="2" s="1"/>
  <c r="J601" i="2"/>
  <c r="K601" i="2" s="1"/>
  <c r="J602" i="2"/>
  <c r="K602" i="2" s="1"/>
  <c r="J603" i="2"/>
  <c r="K603" i="2" s="1"/>
  <c r="J604" i="2"/>
  <c r="K604" i="2" s="1"/>
  <c r="J605" i="2"/>
  <c r="K605" i="2" s="1"/>
  <c r="J606" i="2"/>
  <c r="K606" i="2" s="1"/>
  <c r="J607" i="2"/>
  <c r="K607" i="2" s="1"/>
  <c r="J608" i="2"/>
  <c r="K608" i="2" s="1"/>
  <c r="J609" i="2"/>
  <c r="K609" i="2" s="1"/>
  <c r="J610" i="2"/>
  <c r="K610" i="2" s="1"/>
  <c r="J611" i="2"/>
  <c r="K611" i="2" s="1"/>
  <c r="J612" i="2"/>
  <c r="K612" i="2" s="1"/>
  <c r="J613" i="2"/>
  <c r="K613" i="2" s="1"/>
  <c r="J614" i="2"/>
  <c r="K614" i="2" s="1"/>
  <c r="J615" i="2"/>
  <c r="K615" i="2" s="1"/>
  <c r="J616" i="2"/>
  <c r="K616" i="2" s="1"/>
  <c r="J617" i="2"/>
  <c r="K617" i="2" s="1"/>
  <c r="J618" i="2"/>
  <c r="K618" i="2" s="1"/>
  <c r="J619" i="2"/>
  <c r="K619" i="2" s="1"/>
  <c r="J620" i="2"/>
  <c r="K620" i="2" s="1"/>
  <c r="J621" i="2"/>
  <c r="K621" i="2" s="1"/>
  <c r="J622" i="2"/>
  <c r="K622" i="2" s="1"/>
  <c r="J623" i="2"/>
  <c r="K623" i="2" s="1"/>
  <c r="J624" i="2"/>
  <c r="K624" i="2" s="1"/>
  <c r="J625" i="2"/>
  <c r="K625" i="2" s="1"/>
  <c r="J626" i="2"/>
  <c r="J627" i="2"/>
  <c r="K627" i="2" s="1"/>
  <c r="J628" i="2"/>
  <c r="K628" i="2" s="1"/>
  <c r="J629" i="2"/>
  <c r="K629" i="2" s="1"/>
  <c r="J630" i="2"/>
  <c r="K630" i="2" s="1"/>
  <c r="J631" i="2"/>
  <c r="K631" i="2" s="1"/>
  <c r="J632" i="2"/>
  <c r="K632" i="2" s="1"/>
  <c r="J633" i="2"/>
  <c r="K633" i="2" s="1"/>
  <c r="J634" i="2"/>
  <c r="K634" i="2" s="1"/>
  <c r="J635" i="2"/>
  <c r="K635" i="2" s="1"/>
  <c r="J636" i="2"/>
  <c r="K636" i="2" s="1"/>
  <c r="J637" i="2"/>
  <c r="K637" i="2" s="1"/>
  <c r="J638" i="2"/>
  <c r="K638" i="2" s="1"/>
  <c r="J639" i="2"/>
  <c r="K639" i="2" s="1"/>
  <c r="J640" i="2"/>
  <c r="K640" i="2" s="1"/>
  <c r="J641" i="2"/>
  <c r="K641" i="2" s="1"/>
  <c r="J642" i="2"/>
  <c r="K642" i="2" s="1"/>
  <c r="J643" i="2"/>
  <c r="K643" i="2" s="1"/>
  <c r="J644" i="2"/>
  <c r="K644" i="2" s="1"/>
  <c r="J645" i="2"/>
  <c r="K645" i="2" s="1"/>
  <c r="J646" i="2"/>
  <c r="K646" i="2" s="1"/>
  <c r="J647" i="2"/>
  <c r="K647" i="2" s="1"/>
  <c r="J648" i="2"/>
  <c r="K648" i="2" s="1"/>
  <c r="J649" i="2"/>
  <c r="K649" i="2" s="1"/>
  <c r="J650" i="2"/>
  <c r="K650" i="2" s="1"/>
  <c r="J651" i="2"/>
  <c r="K651" i="2" s="1"/>
  <c r="J652" i="2"/>
  <c r="K652" i="2" s="1"/>
  <c r="J653" i="2"/>
  <c r="K653" i="2" s="1"/>
  <c r="J654" i="2"/>
  <c r="K654" i="2" s="1"/>
  <c r="J655" i="2"/>
  <c r="K655" i="2" s="1"/>
  <c r="J656" i="2"/>
  <c r="K656" i="2" s="1"/>
  <c r="J657" i="2"/>
  <c r="K657" i="2" s="1"/>
  <c r="J658" i="2"/>
  <c r="J659" i="2"/>
  <c r="K659" i="2" s="1"/>
  <c r="J660" i="2"/>
  <c r="K660" i="2" s="1"/>
  <c r="J661" i="2"/>
  <c r="K661" i="2" s="1"/>
  <c r="J662" i="2"/>
  <c r="K662" i="2" s="1"/>
  <c r="J663" i="2"/>
  <c r="K663" i="2" s="1"/>
  <c r="J664" i="2"/>
  <c r="K664" i="2" s="1"/>
  <c r="J665" i="2"/>
  <c r="K665" i="2" s="1"/>
  <c r="J666" i="2"/>
  <c r="K666" i="2" s="1"/>
  <c r="J667" i="2"/>
  <c r="K667" i="2" s="1"/>
  <c r="J668" i="2"/>
  <c r="K668" i="2" s="1"/>
  <c r="J669" i="2"/>
  <c r="K669" i="2" s="1"/>
  <c r="J670" i="2"/>
  <c r="K670" i="2" s="1"/>
  <c r="J671" i="2"/>
  <c r="K671" i="2" s="1"/>
  <c r="J672" i="2"/>
  <c r="K672" i="2" s="1"/>
  <c r="J673" i="2"/>
  <c r="K673" i="2" s="1"/>
  <c r="J674" i="2"/>
  <c r="K674" i="2" s="1"/>
  <c r="J675" i="2"/>
  <c r="K675" i="2" s="1"/>
  <c r="J676" i="2"/>
  <c r="K676" i="2" s="1"/>
  <c r="J677" i="2"/>
  <c r="K677" i="2" s="1"/>
  <c r="J678" i="2"/>
  <c r="K678" i="2" s="1"/>
  <c r="J679" i="2"/>
  <c r="K679" i="2" s="1"/>
  <c r="J680" i="2"/>
  <c r="K680" i="2" s="1"/>
  <c r="J681" i="2"/>
  <c r="K681" i="2" s="1"/>
  <c r="J682" i="2"/>
  <c r="K682" i="2" s="1"/>
  <c r="J683" i="2"/>
  <c r="K683" i="2" s="1"/>
  <c r="J684" i="2"/>
  <c r="K684" i="2" s="1"/>
  <c r="J685" i="2"/>
  <c r="K685" i="2" s="1"/>
  <c r="J686" i="2"/>
  <c r="K686" i="2" s="1"/>
  <c r="J687" i="2"/>
  <c r="K687" i="2" s="1"/>
  <c r="J688" i="2"/>
  <c r="K688" i="2" s="1"/>
  <c r="J689" i="2"/>
  <c r="K689" i="2" s="1"/>
  <c r="J690" i="2"/>
  <c r="K690" i="2" s="1"/>
  <c r="J691" i="2"/>
  <c r="K691" i="2" s="1"/>
  <c r="J692" i="2"/>
  <c r="K692" i="2" s="1"/>
  <c r="J693" i="2"/>
  <c r="K693" i="2" s="1"/>
  <c r="J694" i="2"/>
  <c r="K694" i="2" s="1"/>
  <c r="J695" i="2"/>
  <c r="K695" i="2" s="1"/>
  <c r="J696" i="2"/>
  <c r="K696" i="2" s="1"/>
  <c r="J697" i="2"/>
  <c r="K697" i="2" s="1"/>
  <c r="J698" i="2"/>
  <c r="K698" i="2" s="1"/>
  <c r="J699" i="2"/>
  <c r="K699" i="2" s="1"/>
  <c r="J700" i="2"/>
  <c r="K700" i="2" s="1"/>
  <c r="J701" i="2"/>
  <c r="K701" i="2" s="1"/>
  <c r="J702" i="2"/>
  <c r="K702" i="2" s="1"/>
  <c r="J703" i="2"/>
  <c r="K703" i="2" s="1"/>
  <c r="J704" i="2"/>
  <c r="K704" i="2" s="1"/>
  <c r="J705" i="2"/>
  <c r="K705" i="2" s="1"/>
  <c r="J706" i="2"/>
  <c r="K706" i="2" s="1"/>
  <c r="J707" i="2"/>
  <c r="K707" i="2" s="1"/>
  <c r="J708" i="2"/>
  <c r="K708" i="2" s="1"/>
  <c r="J709" i="2"/>
  <c r="K709" i="2" s="1"/>
  <c r="J710" i="2"/>
  <c r="K710" i="2" s="1"/>
  <c r="J711" i="2"/>
  <c r="K711" i="2" s="1"/>
  <c r="J712" i="2"/>
  <c r="K712" i="2" s="1"/>
  <c r="J713" i="2"/>
  <c r="K713" i="2" s="1"/>
  <c r="J714" i="2"/>
  <c r="K714" i="2" s="1"/>
  <c r="J715" i="2"/>
  <c r="K715" i="2" s="1"/>
  <c r="J716" i="2"/>
  <c r="K716" i="2" s="1"/>
  <c r="J717" i="2"/>
  <c r="K717" i="2" s="1"/>
  <c r="J718" i="2"/>
  <c r="K718" i="2" s="1"/>
  <c r="J719" i="2"/>
  <c r="K719" i="2" s="1"/>
  <c r="J720" i="2"/>
  <c r="K720" i="2" s="1"/>
  <c r="J721" i="2"/>
  <c r="K721" i="2" s="1"/>
  <c r="J722" i="2"/>
  <c r="K722" i="2" s="1"/>
  <c r="J723" i="2"/>
  <c r="K723" i="2" s="1"/>
  <c r="J724" i="2"/>
  <c r="K724" i="2" s="1"/>
  <c r="J725" i="2"/>
  <c r="K725" i="2" s="1"/>
  <c r="J726" i="2"/>
  <c r="K726" i="2" s="1"/>
  <c r="J727" i="2"/>
  <c r="K727" i="2" s="1"/>
  <c r="J728" i="2"/>
  <c r="K728" i="2" s="1"/>
  <c r="J729" i="2"/>
  <c r="K729" i="2" s="1"/>
  <c r="J730" i="2"/>
  <c r="K730" i="2" s="1"/>
  <c r="J731" i="2"/>
  <c r="K731" i="2" s="1"/>
  <c r="J732" i="2"/>
  <c r="K732" i="2" s="1"/>
  <c r="J733" i="2"/>
  <c r="K733" i="2" s="1"/>
  <c r="J734" i="2"/>
  <c r="K734" i="2" s="1"/>
  <c r="J735" i="2"/>
  <c r="K735" i="2" s="1"/>
  <c r="J736" i="2"/>
  <c r="K736" i="2" s="1"/>
  <c r="J737" i="2"/>
  <c r="K737" i="2" s="1"/>
  <c r="J738" i="2"/>
  <c r="K738" i="2" s="1"/>
  <c r="J739" i="2"/>
  <c r="K739" i="2" s="1"/>
  <c r="J740" i="2"/>
  <c r="K740" i="2" s="1"/>
  <c r="J741" i="2"/>
  <c r="K741" i="2" s="1"/>
  <c r="J742" i="2"/>
  <c r="K742" i="2" s="1"/>
  <c r="J743" i="2"/>
  <c r="K743" i="2" s="1"/>
  <c r="J744" i="2"/>
  <c r="K744" i="2" s="1"/>
  <c r="J745" i="2"/>
  <c r="K745" i="2" s="1"/>
  <c r="J746" i="2"/>
  <c r="K746" i="2" s="1"/>
  <c r="J747" i="2"/>
  <c r="K747" i="2" s="1"/>
  <c r="J748" i="2"/>
  <c r="K748" i="2" s="1"/>
  <c r="J749" i="2"/>
  <c r="K749" i="2" s="1"/>
  <c r="J750" i="2"/>
  <c r="K750" i="2" s="1"/>
  <c r="J751" i="2"/>
  <c r="K751" i="2" s="1"/>
  <c r="J752" i="2"/>
  <c r="K752" i="2" s="1"/>
  <c r="J753" i="2"/>
  <c r="K753" i="2" s="1"/>
  <c r="J754" i="2"/>
  <c r="K754" i="2" s="1"/>
  <c r="J755" i="2"/>
  <c r="K755" i="2" s="1"/>
  <c r="J756" i="2"/>
  <c r="K756" i="2" s="1"/>
  <c r="J757" i="2"/>
  <c r="K757" i="2" s="1"/>
  <c r="J758" i="2"/>
  <c r="K758" i="2" s="1"/>
  <c r="J759" i="2"/>
  <c r="K759" i="2" s="1"/>
  <c r="J760" i="2"/>
  <c r="K760" i="2" s="1"/>
  <c r="J761" i="2"/>
  <c r="K761" i="2" s="1"/>
  <c r="J762" i="2"/>
  <c r="K762" i="2" s="1"/>
  <c r="J763" i="2"/>
  <c r="K763" i="2" s="1"/>
  <c r="J764" i="2"/>
  <c r="K764" i="2" s="1"/>
  <c r="J765" i="2"/>
  <c r="K765" i="2" s="1"/>
  <c r="J766" i="2"/>
  <c r="K766" i="2" s="1"/>
  <c r="J767" i="2"/>
  <c r="K767" i="2" s="1"/>
  <c r="J768" i="2"/>
  <c r="K768" i="2" s="1"/>
  <c r="J769" i="2"/>
  <c r="K769" i="2" s="1"/>
  <c r="J770" i="2"/>
  <c r="K770" i="2" s="1"/>
  <c r="J771" i="2"/>
  <c r="K771" i="2" s="1"/>
  <c r="J772" i="2"/>
  <c r="K772" i="2" s="1"/>
  <c r="J773" i="2"/>
  <c r="K773" i="2" s="1"/>
  <c r="J774" i="2"/>
  <c r="K774" i="2" s="1"/>
  <c r="J775" i="2"/>
  <c r="K775" i="2" s="1"/>
  <c r="J776" i="2"/>
  <c r="K776" i="2" s="1"/>
  <c r="J777" i="2"/>
  <c r="K777" i="2" s="1"/>
  <c r="J778" i="2"/>
  <c r="K778" i="2" s="1"/>
  <c r="J779" i="2"/>
  <c r="K779" i="2" s="1"/>
  <c r="J780" i="2"/>
  <c r="K780" i="2" s="1"/>
  <c r="J781" i="2"/>
  <c r="K781" i="2" s="1"/>
  <c r="J782" i="2"/>
  <c r="K782" i="2" s="1"/>
  <c r="J783" i="2"/>
  <c r="K783" i="2" s="1"/>
  <c r="J784" i="2"/>
  <c r="K784" i="2" s="1"/>
  <c r="J785" i="2"/>
  <c r="K785" i="2" s="1"/>
  <c r="J786" i="2"/>
  <c r="K786" i="2" s="1"/>
  <c r="J787" i="2"/>
  <c r="K787" i="2" s="1"/>
  <c r="J788" i="2"/>
  <c r="K788" i="2" s="1"/>
  <c r="J789" i="2"/>
  <c r="K789" i="2" s="1"/>
  <c r="J790" i="2"/>
  <c r="K790" i="2" s="1"/>
  <c r="J791" i="2"/>
  <c r="K791" i="2" s="1"/>
  <c r="J792" i="2"/>
  <c r="K792" i="2" s="1"/>
  <c r="J793" i="2"/>
  <c r="K793" i="2" s="1"/>
  <c r="J794" i="2"/>
  <c r="K794" i="2" s="1"/>
  <c r="J795" i="2"/>
  <c r="K795" i="2" s="1"/>
  <c r="J796" i="2"/>
  <c r="K796" i="2" s="1"/>
  <c r="J797" i="2"/>
  <c r="K797" i="2" s="1"/>
  <c r="J798" i="2"/>
  <c r="K798" i="2" s="1"/>
  <c r="J799" i="2"/>
  <c r="K799" i="2" s="1"/>
  <c r="J800" i="2"/>
  <c r="K800" i="2" s="1"/>
  <c r="J801" i="2"/>
  <c r="K801" i="2" s="1"/>
  <c r="J802" i="2"/>
  <c r="K802" i="2" s="1"/>
  <c r="J803" i="2"/>
  <c r="K803" i="2" s="1"/>
  <c r="J804" i="2"/>
  <c r="K804" i="2" s="1"/>
  <c r="J805" i="2"/>
  <c r="K805" i="2" s="1"/>
  <c r="J806" i="2"/>
  <c r="K806" i="2" s="1"/>
  <c r="J807" i="2"/>
  <c r="K807" i="2" s="1"/>
  <c r="J808" i="2"/>
  <c r="K808" i="2" s="1"/>
  <c r="J809" i="2"/>
  <c r="K809" i="2" s="1"/>
  <c r="J810" i="2"/>
  <c r="K810" i="2" s="1"/>
  <c r="J811" i="2"/>
  <c r="K811" i="2" s="1"/>
  <c r="J812" i="2"/>
  <c r="K812" i="2" s="1"/>
  <c r="J813" i="2"/>
  <c r="K813" i="2" s="1"/>
  <c r="J814" i="2"/>
  <c r="K814" i="2" s="1"/>
  <c r="J815" i="2"/>
  <c r="K815" i="2" s="1"/>
  <c r="J816" i="2"/>
  <c r="K816" i="2" s="1"/>
  <c r="J817" i="2"/>
  <c r="K817" i="2" s="1"/>
  <c r="J818" i="2"/>
  <c r="K818" i="2" s="1"/>
  <c r="J819" i="2"/>
  <c r="K819" i="2" s="1"/>
  <c r="J820" i="2"/>
  <c r="K820" i="2" s="1"/>
  <c r="J821" i="2"/>
  <c r="K821" i="2" s="1"/>
  <c r="J822" i="2"/>
  <c r="K822" i="2" s="1"/>
  <c r="J823" i="2"/>
  <c r="K823" i="2" s="1"/>
  <c r="J824" i="2"/>
  <c r="K824" i="2" s="1"/>
  <c r="J825" i="2"/>
  <c r="K825" i="2" s="1"/>
  <c r="J826" i="2"/>
  <c r="K826" i="2" s="1"/>
  <c r="J827" i="2"/>
  <c r="K827" i="2" s="1"/>
  <c r="J828" i="2"/>
  <c r="K828" i="2" s="1"/>
  <c r="J829" i="2"/>
  <c r="K829" i="2" s="1"/>
  <c r="J830" i="2"/>
  <c r="K830" i="2" s="1"/>
  <c r="J831" i="2"/>
  <c r="K831" i="2" s="1"/>
  <c r="J832" i="2"/>
  <c r="K832" i="2" s="1"/>
  <c r="J833" i="2"/>
  <c r="K833" i="2" s="1"/>
  <c r="J834" i="2"/>
  <c r="K834" i="2" s="1"/>
  <c r="J835" i="2"/>
  <c r="K835" i="2" s="1"/>
  <c r="J836" i="2"/>
  <c r="K836" i="2" s="1"/>
  <c r="J837" i="2"/>
  <c r="K837" i="2" s="1"/>
  <c r="J838" i="2"/>
  <c r="K838" i="2" s="1"/>
  <c r="J839" i="2"/>
  <c r="K839" i="2" s="1"/>
  <c r="J840" i="2"/>
  <c r="K840" i="2" s="1"/>
  <c r="J841" i="2"/>
  <c r="K841" i="2" s="1"/>
  <c r="J842" i="2"/>
  <c r="K842" i="2" s="1"/>
  <c r="J843" i="2"/>
  <c r="K843" i="2" s="1"/>
  <c r="J844" i="2"/>
  <c r="K844" i="2" s="1"/>
  <c r="J845" i="2"/>
  <c r="K845" i="2" s="1"/>
  <c r="J846" i="2"/>
  <c r="K846" i="2" s="1"/>
  <c r="J847" i="2"/>
  <c r="K847" i="2" s="1"/>
  <c r="J848" i="2"/>
  <c r="K848" i="2" s="1"/>
  <c r="J849" i="2"/>
  <c r="K849" i="2" s="1"/>
  <c r="J850" i="2"/>
  <c r="K850" i="2" s="1"/>
  <c r="J851" i="2"/>
  <c r="K851" i="2" s="1"/>
  <c r="J852" i="2"/>
  <c r="K852" i="2" s="1"/>
  <c r="J853" i="2"/>
  <c r="K853" i="2" s="1"/>
  <c r="J854" i="2"/>
  <c r="K854" i="2" s="1"/>
  <c r="J855" i="2"/>
  <c r="K855" i="2" s="1"/>
  <c r="J856" i="2"/>
  <c r="K856" i="2" s="1"/>
  <c r="J857" i="2"/>
  <c r="K857" i="2" s="1"/>
  <c r="J858" i="2"/>
  <c r="K858" i="2" s="1"/>
  <c r="J859" i="2"/>
  <c r="K859" i="2" s="1"/>
  <c r="J860" i="2"/>
  <c r="K860" i="2" s="1"/>
  <c r="J861" i="2"/>
  <c r="K861" i="2" s="1"/>
  <c r="J862" i="2"/>
  <c r="K862" i="2" s="1"/>
  <c r="J863" i="2"/>
  <c r="K863" i="2" s="1"/>
  <c r="J864" i="2"/>
  <c r="K864" i="2" s="1"/>
  <c r="J865" i="2"/>
  <c r="K865" i="2" s="1"/>
  <c r="J866" i="2"/>
  <c r="K866" i="2" s="1"/>
  <c r="J867" i="2"/>
  <c r="K867" i="2" s="1"/>
  <c r="J868" i="2"/>
  <c r="K868" i="2" s="1"/>
  <c r="J869" i="2"/>
  <c r="K869" i="2" s="1"/>
  <c r="J870" i="2"/>
  <c r="K870" i="2" s="1"/>
  <c r="J871" i="2"/>
  <c r="K871" i="2" s="1"/>
  <c r="J872" i="2"/>
  <c r="K872" i="2" s="1"/>
  <c r="J873" i="2"/>
  <c r="K873" i="2" s="1"/>
  <c r="J874" i="2"/>
  <c r="K874" i="2" s="1"/>
  <c r="J875" i="2"/>
  <c r="K875" i="2" s="1"/>
  <c r="J876" i="2"/>
  <c r="K876" i="2" s="1"/>
  <c r="J877" i="2"/>
  <c r="K877" i="2" s="1"/>
  <c r="J878" i="2"/>
  <c r="K878" i="2" s="1"/>
  <c r="J879" i="2"/>
  <c r="K879" i="2" s="1"/>
  <c r="J880" i="2"/>
  <c r="K880" i="2" s="1"/>
  <c r="J881" i="2"/>
  <c r="K881" i="2" s="1"/>
  <c r="J882" i="2"/>
  <c r="K882" i="2" s="1"/>
  <c r="J883" i="2"/>
  <c r="K883" i="2" s="1"/>
  <c r="J884" i="2"/>
  <c r="K884" i="2" s="1"/>
  <c r="C1" i="2" l="1"/>
</calcChain>
</file>

<file path=xl/sharedStrings.xml><?xml version="1.0" encoding="utf-8"?>
<sst xmlns="http://schemas.openxmlformats.org/spreadsheetml/2006/main" count="11235" uniqueCount="2813">
  <si>
    <t>01KI TASMY</t>
  </si>
  <si>
    <t>02KI L OPR</t>
  </si>
  <si>
    <t>02KI DELFI</t>
  </si>
  <si>
    <t>02KI TECHN</t>
  </si>
  <si>
    <t>03KI BIURK</t>
  </si>
  <si>
    <t>03KI L MEB</t>
  </si>
  <si>
    <t>03KI DOGRU</t>
  </si>
  <si>
    <t>03KI OGRÓD</t>
  </si>
  <si>
    <t>03KI CHOIN</t>
  </si>
  <si>
    <t>04KI AKCES</t>
  </si>
  <si>
    <t>04KI L AKC</t>
  </si>
  <si>
    <t>BDO: 000003217</t>
  </si>
  <si>
    <t>www.kobi.pl</t>
  </si>
  <si>
    <t>EEI</t>
  </si>
  <si>
    <t/>
  </si>
  <si>
    <t>.</t>
  </si>
  <si>
    <t>BASIC PRICE LIST</t>
  </si>
  <si>
    <t>shall apply from</t>
  </si>
  <si>
    <r>
      <t>PLN/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Calibri"/>
        <family val="2"/>
        <charset val="238"/>
        <scheme val="minor"/>
      </rPr>
      <t xml:space="preserve"> exchange rate</t>
    </r>
  </si>
  <si>
    <t>GROUP</t>
  </si>
  <si>
    <t>DISCOUNT %</t>
  </si>
  <si>
    <t>LIGHT SOURCES</t>
  </si>
  <si>
    <t>INDUSTRIAL FIXTURES</t>
  </si>
  <si>
    <t>DOMESTIC LIGHTING</t>
  </si>
  <si>
    <t>ACCESSORIES</t>
  </si>
  <si>
    <t>ELECTRICAL DEVICES</t>
  </si>
  <si>
    <t>the prices include KGO (waste management costs)</t>
  </si>
  <si>
    <t>the prices do not include tax (net prices)</t>
  </si>
  <si>
    <t xml:space="preserve">shall apply from: </t>
  </si>
  <si>
    <t>CATEGORY</t>
  </si>
  <si>
    <t>SUB-CATEGORY</t>
  </si>
  <si>
    <t>TYPE</t>
  </si>
  <si>
    <t>PSC ON A PALLET</t>
  </si>
  <si>
    <t>EXPIRY DATE/WARRANTY</t>
  </si>
  <si>
    <t>NET WEIGHT [KG]</t>
  </si>
  <si>
    <t>GROSS WEIGHT [KG]</t>
  </si>
  <si>
    <t>LENGTH [MM]</t>
  </si>
  <si>
    <t>WIDTH [MM]</t>
  </si>
  <si>
    <t>HEIGHT [MM]</t>
  </si>
  <si>
    <t>RECESSED</t>
  </si>
  <si>
    <t>DESK LAMPS</t>
  </si>
  <si>
    <t>MOTION SENSORS</t>
  </si>
  <si>
    <t>PROGRAMMERS</t>
  </si>
  <si>
    <t>LED LAMPS</t>
  </si>
  <si>
    <t xml:space="preserve">GS E27                                            </t>
  </si>
  <si>
    <t xml:space="preserve">SW E14                                            </t>
  </si>
  <si>
    <t xml:space="preserve">SW E27                                            </t>
  </si>
  <si>
    <t xml:space="preserve">GU10                                              </t>
  </si>
  <si>
    <t>MOVABLE</t>
  </si>
  <si>
    <t>LED DRIVERS</t>
  </si>
  <si>
    <t xml:space="preserve">INSTALLATION </t>
  </si>
  <si>
    <t>GARDEN</t>
  </si>
  <si>
    <t>ASSEMBLY TYPE</t>
  </si>
  <si>
    <t>CERAMIC HOLDERS</t>
  </si>
  <si>
    <t>LED ACCESSORIES</t>
  </si>
  <si>
    <t>DIMMERS</t>
  </si>
  <si>
    <t>RGB CONTROLLERS</t>
  </si>
  <si>
    <t>SIGNAL AMPLIFIERS</t>
  </si>
  <si>
    <t>CEILING LAMPS</t>
  </si>
  <si>
    <t>BUILT-IN LIGHT SOURCE</t>
  </si>
  <si>
    <t>CEILING LAMPS WITH SENSOR</t>
  </si>
  <si>
    <t>WALL LAMP - DOUBLE</t>
  </si>
  <si>
    <t xml:space="preserve">MB E14                                            </t>
  </si>
  <si>
    <t xml:space="preserve">MB E27                                            </t>
  </si>
  <si>
    <t xml:space="preserve">FILAMENT E14                                      </t>
  </si>
  <si>
    <t xml:space="preserve">R E27                                             </t>
  </si>
  <si>
    <t>DESK</t>
  </si>
  <si>
    <t xml:space="preserve">R E14                                             </t>
  </si>
  <si>
    <t xml:space="preserve">G9                                                </t>
  </si>
  <si>
    <t>FURNITURE-TYPE</t>
  </si>
  <si>
    <t>IN-GROUND TYPE</t>
  </si>
  <si>
    <t>HERMETIC</t>
  </si>
  <si>
    <t>SPARE PARTS  FOR FIXTURES</t>
  </si>
  <si>
    <t>LED STRIPS</t>
  </si>
  <si>
    <t>SURFACED</t>
  </si>
  <si>
    <t>WALL LAMP Q7 - DOUBLE</t>
  </si>
  <si>
    <t>WALL LAMP Q10 - DOUBLE</t>
  </si>
  <si>
    <t>PANELS</t>
  </si>
  <si>
    <t>WALL LAMP Q7 - DOWN</t>
  </si>
  <si>
    <t>STANDING LANTERN Q7</t>
  </si>
  <si>
    <t xml:space="preserve">ES GU10                                           </t>
  </si>
  <si>
    <t>NON-HERMETIC</t>
  </si>
  <si>
    <t>ACCESSORIES FOR PANELS</t>
  </si>
  <si>
    <t xml:space="preserve">G4                                                </t>
  </si>
  <si>
    <t xml:space="preserve">J118 R7S                                          </t>
  </si>
  <si>
    <t xml:space="preserve">FILAMENT E27                                      </t>
  </si>
  <si>
    <t>LED INSERTS</t>
  </si>
  <si>
    <t>WALL LAMP Q15 - DOWN</t>
  </si>
  <si>
    <t>GARDEN BALLS</t>
  </si>
  <si>
    <t>FLOODLIGHTS WITH SENSOR</t>
  </si>
  <si>
    <t>WALL LAMP WITH SENSOR Q15 - DOWN</t>
  </si>
  <si>
    <t>STANDING LANTERN Q15</t>
  </si>
  <si>
    <t>SOLAR FLOODLIGHTS</t>
  </si>
  <si>
    <t>RGB</t>
  </si>
  <si>
    <t>SUREFACE HERMETIC FIXTURES</t>
  </si>
  <si>
    <t>HERMETIC COLORED</t>
  </si>
  <si>
    <t>COLORED</t>
  </si>
  <si>
    <t xml:space="preserve">MR11 GU10                                         </t>
  </si>
  <si>
    <t xml:space="preserve">GLOB E27                                          </t>
  </si>
  <si>
    <t xml:space="preserve">T8 G13                                            </t>
  </si>
  <si>
    <t>FLOODLIGHTS</t>
  </si>
  <si>
    <t>PANELS WITH LOW UGR</t>
  </si>
  <si>
    <t>SMART SOCKET</t>
  </si>
  <si>
    <t>WIFI</t>
  </si>
  <si>
    <t>FANS</t>
  </si>
  <si>
    <t xml:space="preserve">GS E27 WIFI                                       </t>
  </si>
  <si>
    <t xml:space="preserve">T E14                                             </t>
  </si>
  <si>
    <t>HIGH BAY</t>
  </si>
  <si>
    <t>RECESSED CEILING LAMPS</t>
  </si>
  <si>
    <t xml:space="preserve">GS E27 LX                                         </t>
  </si>
  <si>
    <t xml:space="preserve">J78 R7S                                           </t>
  </si>
  <si>
    <t>KOBI</t>
  </si>
  <si>
    <t>LED2B</t>
  </si>
  <si>
    <t>PREMIUM</t>
  </si>
  <si>
    <t>SMARTHOME</t>
  </si>
  <si>
    <t>WINDSTAR</t>
  </si>
  <si>
    <t>ARTOFLIGHT</t>
  </si>
  <si>
    <t>KAES15WNB</t>
  </si>
  <si>
    <t>KAFDEE144WCB</t>
  </si>
  <si>
    <t>KAFMBE144WCB</t>
  </si>
  <si>
    <t>KAFSWE144WCB</t>
  </si>
  <si>
    <t>KAFG125E277C</t>
  </si>
  <si>
    <t>KAFGSE277WCB</t>
  </si>
  <si>
    <t>KAFGSE277WNB</t>
  </si>
  <si>
    <t>KAFGSE27115C</t>
  </si>
  <si>
    <t>KAFGSE27115N</t>
  </si>
  <si>
    <t>KAFMBE271WCB</t>
  </si>
  <si>
    <t>KAFMBE274WCB</t>
  </si>
  <si>
    <t>KAFST64E277C</t>
  </si>
  <si>
    <t>KAG94WCB360</t>
  </si>
  <si>
    <t>KAG94WNB360</t>
  </si>
  <si>
    <t>KAG94WZB360</t>
  </si>
  <si>
    <t>KAG96WCB2</t>
  </si>
  <si>
    <t>KAG96WNB2</t>
  </si>
  <si>
    <t>KAG96WZB2</t>
  </si>
  <si>
    <t>KAG120E2724C</t>
  </si>
  <si>
    <t>KAG120E2724N</t>
  </si>
  <si>
    <t>KAGSE277CB24</t>
  </si>
  <si>
    <t>KALGSE277C2</t>
  </si>
  <si>
    <t>KAGSE277NB24</t>
  </si>
  <si>
    <t>KALGSE277N2</t>
  </si>
  <si>
    <t>KAGSE277ZB24</t>
  </si>
  <si>
    <t>KALGSE277Z2</t>
  </si>
  <si>
    <t>KAGSE279WCPX</t>
  </si>
  <si>
    <t>KAGSE279WNPX</t>
  </si>
  <si>
    <t>KAGSE279WZPX</t>
  </si>
  <si>
    <t>KAGSE2710WCB</t>
  </si>
  <si>
    <t>KAGSE2710WNB</t>
  </si>
  <si>
    <t>KAGSE2710WZB</t>
  </si>
  <si>
    <t>KAGSE2711CBP</t>
  </si>
  <si>
    <t>KAGSE2713CB2</t>
  </si>
  <si>
    <t>KAGSE2713NB2</t>
  </si>
  <si>
    <t>KAGSE2713ZB2</t>
  </si>
  <si>
    <t>KAGSE2715CB</t>
  </si>
  <si>
    <t>KAGSE2715NB</t>
  </si>
  <si>
    <t>KAGSE2715ZB</t>
  </si>
  <si>
    <t>KAGSE2718CB2</t>
  </si>
  <si>
    <t>KAGSE2718NB2</t>
  </si>
  <si>
    <t>KAGSE2718ZB2</t>
  </si>
  <si>
    <t>KAGU1,0CB</t>
  </si>
  <si>
    <t>KAGU1,0NB</t>
  </si>
  <si>
    <t>KAGU1,0ZB</t>
  </si>
  <si>
    <t>KAGU3,0CBPRE</t>
  </si>
  <si>
    <t>KAGU3,0NBPRE</t>
  </si>
  <si>
    <t>KAGU3,0ZBPRE</t>
  </si>
  <si>
    <t>KAGU5,0CB</t>
  </si>
  <si>
    <t>KAGU5,0CBPRE</t>
  </si>
  <si>
    <t>KAGU5,0NB</t>
  </si>
  <si>
    <t>KAGU5,0NBPRE</t>
  </si>
  <si>
    <t>KAGU5,0ZB</t>
  </si>
  <si>
    <t>KAGU5,0ZBPRE</t>
  </si>
  <si>
    <t>KAGU7,0CBPOM</t>
  </si>
  <si>
    <t>KAGU7,0CBPRE</t>
  </si>
  <si>
    <t>KAGU7,0NB</t>
  </si>
  <si>
    <t>KAGU7,0NBPRE</t>
  </si>
  <si>
    <t>KAGU7,0ZBPOM</t>
  </si>
  <si>
    <t>KAGU7,0ZBPRE</t>
  </si>
  <si>
    <t>KAMBE1445WCB</t>
  </si>
  <si>
    <t>KAMBE1445WNB</t>
  </si>
  <si>
    <t>KAMBE1445WZB</t>
  </si>
  <si>
    <t>KAMBE146WCB</t>
  </si>
  <si>
    <t>KAMBE146WNB</t>
  </si>
  <si>
    <t>KAMBE146WZB</t>
  </si>
  <si>
    <t>KALMBE147CB</t>
  </si>
  <si>
    <t>KALMBE147NB</t>
  </si>
  <si>
    <t>KALMBE147ZB</t>
  </si>
  <si>
    <t>KAMBE149WCB</t>
  </si>
  <si>
    <t>KAMBE149WNB</t>
  </si>
  <si>
    <t>KAMBE149WZB</t>
  </si>
  <si>
    <t>KAMBE2745WCB</t>
  </si>
  <si>
    <t>KAMBE2745WNB</t>
  </si>
  <si>
    <t>KAMBE2745WZB</t>
  </si>
  <si>
    <t>KAMBE276WCB2</t>
  </si>
  <si>
    <t>KAMBE276WNB</t>
  </si>
  <si>
    <t>KAMBE276WZB</t>
  </si>
  <si>
    <t>KALMBE277CB</t>
  </si>
  <si>
    <t>KALMBE277NB</t>
  </si>
  <si>
    <t>KALMBE277ZB</t>
  </si>
  <si>
    <t>KAMBE279WCB</t>
  </si>
  <si>
    <t>KAMBE279WNB</t>
  </si>
  <si>
    <t>KAMBE279WZB</t>
  </si>
  <si>
    <t>KAM1GU4WCB</t>
  </si>
  <si>
    <t>KAM1GU4WNB</t>
  </si>
  <si>
    <t>KAM1GU4WZB</t>
  </si>
  <si>
    <t>KAR50E145WCB</t>
  </si>
  <si>
    <t>KAR50E145WNB</t>
  </si>
  <si>
    <t>KAR63E278WCB</t>
  </si>
  <si>
    <t>KAR63E278WNB</t>
  </si>
  <si>
    <t>KAR63E278WZB</t>
  </si>
  <si>
    <t>KASWE1415NB</t>
  </si>
  <si>
    <t>KASWE1415ZB</t>
  </si>
  <si>
    <t>KASWE143WCB2</t>
  </si>
  <si>
    <t>KASWE1445CB2</t>
  </si>
  <si>
    <t>KASWE1445NB</t>
  </si>
  <si>
    <t>KASWE1445ZB</t>
  </si>
  <si>
    <t>KASWE146WCB2</t>
  </si>
  <si>
    <t>KASWE146WNB</t>
  </si>
  <si>
    <t>KASWE146WZB</t>
  </si>
  <si>
    <t>KALSWE147CB</t>
  </si>
  <si>
    <t>KALSWE147NB</t>
  </si>
  <si>
    <t>KALSWE147ZB</t>
  </si>
  <si>
    <t>KASWE149WCB</t>
  </si>
  <si>
    <t>KASWE149WNB</t>
  </si>
  <si>
    <t>KASWE149WZB</t>
  </si>
  <si>
    <t>KASWE2745WCB</t>
  </si>
  <si>
    <t>KASWE276WCB2</t>
  </si>
  <si>
    <t>KASWE276WNB</t>
  </si>
  <si>
    <t>KASWE276WZB</t>
  </si>
  <si>
    <t>KALSWE277CB</t>
  </si>
  <si>
    <t>KALSWE277NB</t>
  </si>
  <si>
    <t>KALSWE277ZB</t>
  </si>
  <si>
    <t>KASWE279WCB</t>
  </si>
  <si>
    <t>KASWE279WNB</t>
  </si>
  <si>
    <t>KASWE279WZB</t>
  </si>
  <si>
    <t>KATE1442WNB</t>
  </si>
  <si>
    <t>KALT88WZB</t>
  </si>
  <si>
    <t>KAT89WNBP</t>
  </si>
  <si>
    <t>KAT89WZBP</t>
  </si>
  <si>
    <t>KAT818WNBP</t>
  </si>
  <si>
    <t>KAT818WZBP</t>
  </si>
  <si>
    <t>KALT822WNB</t>
  </si>
  <si>
    <t>KAT822WNBP</t>
  </si>
  <si>
    <t>KALT822WZB</t>
  </si>
  <si>
    <t>KAT822WZBP</t>
  </si>
  <si>
    <t>KAIS5WCBML</t>
  </si>
  <si>
    <t>KAIS5WNBML</t>
  </si>
  <si>
    <t>KAIS5WZBML</t>
  </si>
  <si>
    <t>KAIS7WCBML</t>
  </si>
  <si>
    <t>KAIS7WNBML</t>
  </si>
  <si>
    <t>KAIS7WZBML</t>
  </si>
  <si>
    <t>KB2835CBBIA</t>
  </si>
  <si>
    <t>KB2835HCBPRE</t>
  </si>
  <si>
    <t>KB2835HG</t>
  </si>
  <si>
    <t>KB2835HR</t>
  </si>
  <si>
    <t>KB2835HY</t>
  </si>
  <si>
    <t>KB2835NG</t>
  </si>
  <si>
    <t>KB2835NR</t>
  </si>
  <si>
    <t>KB2835NY</t>
  </si>
  <si>
    <t>KB50501NRGB</t>
  </si>
  <si>
    <t>KB50503NRGB</t>
  </si>
  <si>
    <t>KZWVOP45WB</t>
  </si>
  <si>
    <t>KZWVOP45WC</t>
  </si>
  <si>
    <t>KZWVOP100WH</t>
  </si>
  <si>
    <t>KKWA75WPC</t>
  </si>
  <si>
    <t>KKROB</t>
  </si>
  <si>
    <t>KKRO</t>
  </si>
  <si>
    <t>KKROCZ</t>
  </si>
  <si>
    <t>KKSAS</t>
  </si>
  <si>
    <t>KKSASCZ</t>
  </si>
  <si>
    <t>KFNOLA1</t>
  </si>
  <si>
    <t>KFNORK30120</t>
  </si>
  <si>
    <t>KFNORK3060</t>
  </si>
  <si>
    <t>KFNORK6060</t>
  </si>
  <si>
    <t>KFNORC30120</t>
  </si>
  <si>
    <t>KFNORC6060</t>
  </si>
  <si>
    <t>KFNOUKG</t>
  </si>
  <si>
    <t>KFNOUKG30</t>
  </si>
  <si>
    <t>KFHCE160</t>
  </si>
  <si>
    <t>KFHCE1120</t>
  </si>
  <si>
    <t>KFHCE1150</t>
  </si>
  <si>
    <t>KFHCE2120</t>
  </si>
  <si>
    <t>KFHCE2150</t>
  </si>
  <si>
    <t>KFHCE260</t>
  </si>
  <si>
    <t>KFHCL1120</t>
  </si>
  <si>
    <t>KFHCL2120</t>
  </si>
  <si>
    <t>KFCZ260WNB</t>
  </si>
  <si>
    <t>KFCZ318WNB</t>
  </si>
  <si>
    <t>KFCZ336WNB</t>
  </si>
  <si>
    <t>KFNR36NB</t>
  </si>
  <si>
    <t>KFNR36ZB</t>
  </si>
  <si>
    <t>KFRO150NB</t>
  </si>
  <si>
    <t>KFLNL100NBCZ</t>
  </si>
  <si>
    <t>KFLNL100ZBCZ</t>
  </si>
  <si>
    <t>KFLNL10NBCZ</t>
  </si>
  <si>
    <t>KFLNL10ZBCZ</t>
  </si>
  <si>
    <t>KFLNL20ZBCZ</t>
  </si>
  <si>
    <t>KFLNL30NBCZ</t>
  </si>
  <si>
    <t>KFLNL30ZBCZ</t>
  </si>
  <si>
    <t>KFLNL50NBCZ</t>
  </si>
  <si>
    <t>KFLNL50ZBCZ</t>
  </si>
  <si>
    <t>KFNLN10NB2</t>
  </si>
  <si>
    <t>KFNLN10ZB2</t>
  </si>
  <si>
    <t>KFNLN20ZB2</t>
  </si>
  <si>
    <t>KFNLN30ZB2</t>
  </si>
  <si>
    <t>KFNSC5NB</t>
  </si>
  <si>
    <t>KFNSC10NB</t>
  </si>
  <si>
    <t>KFLNCS10ZB</t>
  </si>
  <si>
    <t>KFLNCS20ZB</t>
  </si>
  <si>
    <t>KFLNCS30ZB</t>
  </si>
  <si>
    <t>KFNSU15NB</t>
  </si>
  <si>
    <t>KFLNLC10NBCZ</t>
  </si>
  <si>
    <t>KFLNLC10ZBCZ</t>
  </si>
  <si>
    <t>KFLNLC20NBCZ</t>
  </si>
  <si>
    <t>KFLNLC20ZBCZ</t>
  </si>
  <si>
    <t>KFLNLC30CBCZ</t>
  </si>
  <si>
    <t>KFLNLC30NBCZ</t>
  </si>
  <si>
    <t>KFLNLC30ZBCZ</t>
  </si>
  <si>
    <t>KFLNLC50NBCZ</t>
  </si>
  <si>
    <t>KFLNLC50ZBCZ</t>
  </si>
  <si>
    <t>KFNLNC20NB2</t>
  </si>
  <si>
    <t>KFDA2120</t>
  </si>
  <si>
    <t>KFZA1120</t>
  </si>
  <si>
    <t>KFZA2120</t>
  </si>
  <si>
    <t>KFVA100NBAS</t>
  </si>
  <si>
    <t>KFVA200NBAS</t>
  </si>
  <si>
    <t>KFLCO40NB</t>
  </si>
  <si>
    <t>KFNOP3060NB</t>
  </si>
  <si>
    <t>KFNO2PT40NB</t>
  </si>
  <si>
    <t>KFNOP66N48</t>
  </si>
  <si>
    <t>KFNO3PT312NB</t>
  </si>
  <si>
    <t>LED CAPRI PREMIUM 40W120X30 4000K UGR&lt;19</t>
  </si>
  <si>
    <t>KFCP312NBU</t>
  </si>
  <si>
    <t>KFSCNP18NB</t>
  </si>
  <si>
    <t>KFSCNP24NB</t>
  </si>
  <si>
    <t>KFSSNP18NB</t>
  </si>
  <si>
    <t>KFSSNP24NB</t>
  </si>
  <si>
    <t>KFZE12WNBBI</t>
  </si>
  <si>
    <t>KFZE24WNBBI</t>
  </si>
  <si>
    <t>KFSCPP6NB</t>
  </si>
  <si>
    <t>KFSCPP12NB</t>
  </si>
  <si>
    <t>KFSCPP18NB</t>
  </si>
  <si>
    <t>KFSCPP24NB</t>
  </si>
  <si>
    <t>KFZX24WNBCZ</t>
  </si>
  <si>
    <t>KLKXSMIBIA</t>
  </si>
  <si>
    <t>KLKXSMICZA</t>
  </si>
  <si>
    <t>KLKXSMICZE</t>
  </si>
  <si>
    <t>KLKXSMINIE</t>
  </si>
  <si>
    <t>KLKXSMIZIE</t>
  </si>
  <si>
    <t>KLKXSMIZOL</t>
  </si>
  <si>
    <t>KOWL4W</t>
  </si>
  <si>
    <t>KOWL8W</t>
  </si>
  <si>
    <t>KOWL10W</t>
  </si>
  <si>
    <t>KOWL14W</t>
  </si>
  <si>
    <t>KPOH36BI</t>
  </si>
  <si>
    <t>KPOH36CZ</t>
  </si>
  <si>
    <t>KPOH36LBI</t>
  </si>
  <si>
    <t>KPOH36LCZ</t>
  </si>
  <si>
    <t>KPOH36SBI</t>
  </si>
  <si>
    <t>KPOH36SCZ</t>
  </si>
  <si>
    <t>KPOH37BI</t>
  </si>
  <si>
    <t>KPOH37CH</t>
  </si>
  <si>
    <t>KPOH37CZ</t>
  </si>
  <si>
    <t>KPOH37SBI</t>
  </si>
  <si>
    <t>KPOH37SCH</t>
  </si>
  <si>
    <t>KPOH37SCZ</t>
  </si>
  <si>
    <t>KFMS10CBC</t>
  </si>
  <si>
    <t>KFMS20CBC</t>
  </si>
  <si>
    <t>KPARCZ</t>
  </si>
  <si>
    <t>KPARCH</t>
  </si>
  <si>
    <t>KPARBI</t>
  </si>
  <si>
    <t>KPASCZ</t>
  </si>
  <si>
    <t>KPASBI</t>
  </si>
  <si>
    <t>KTLOBE2CZ</t>
  </si>
  <si>
    <t>KUEA1</t>
  </si>
  <si>
    <t>KUEA2</t>
  </si>
  <si>
    <t>KTLOQZ15CZ</t>
  </si>
  <si>
    <t>KTLOQZ15SZ</t>
  </si>
  <si>
    <t>KTLOQZ11CZ</t>
  </si>
  <si>
    <t>KTLOQZ11SZ</t>
  </si>
  <si>
    <t>KTLOQZ15LXCZ</t>
  </si>
  <si>
    <t>KTLOQZ15LXSZ</t>
  </si>
  <si>
    <t>KTLOQZ4</t>
  </si>
  <si>
    <t>KTLOQZ5</t>
  </si>
  <si>
    <t>KTLOQZ10ST</t>
  </si>
  <si>
    <t>KTLOQZ7CZ</t>
  </si>
  <si>
    <t>KTLOQZ7SZ</t>
  </si>
  <si>
    <t>KTGBL</t>
  </si>
  <si>
    <t>KTGBM</t>
  </si>
  <si>
    <t>KTGBS</t>
  </si>
  <si>
    <t>KTLOQZ17CZ</t>
  </si>
  <si>
    <t>KTLOQZ17SZ</t>
  </si>
  <si>
    <t>KTLOQZ18CZ</t>
  </si>
  <si>
    <t>KTLOQZ18SZ</t>
  </si>
  <si>
    <t>KTLOQZ15SCZ</t>
  </si>
  <si>
    <t>KTLOQZ15SSZ</t>
  </si>
  <si>
    <t>KTLOQZ12CZ</t>
  </si>
  <si>
    <t>KTLOQZ12SZ</t>
  </si>
  <si>
    <t>KPOH14BI</t>
  </si>
  <si>
    <t>KPOH14CH</t>
  </si>
  <si>
    <t>KPOH14MCH</t>
  </si>
  <si>
    <t>KPOH14PA</t>
  </si>
  <si>
    <t>KPOH21CH</t>
  </si>
  <si>
    <t>KPOH21CZ</t>
  </si>
  <si>
    <t>KPOH26CZ</t>
  </si>
  <si>
    <t>KPOH26NCZ</t>
  </si>
  <si>
    <t>KPOH26NCL</t>
  </si>
  <si>
    <t>KPOH27CZ</t>
  </si>
  <si>
    <t>KPOH27NCZ</t>
  </si>
  <si>
    <t>KPOH27NCL</t>
  </si>
  <si>
    <t>KPOH34CH</t>
  </si>
  <si>
    <t>KPOH34MC</t>
  </si>
  <si>
    <t>KPOH35BI</t>
  </si>
  <si>
    <t>KPOH35MC</t>
  </si>
  <si>
    <t>KPOH49CZ</t>
  </si>
  <si>
    <t>KPOH49CL</t>
  </si>
  <si>
    <t>KPOH51CZ</t>
  </si>
  <si>
    <t>KPOH51CL</t>
  </si>
  <si>
    <t>KPOH15BI</t>
  </si>
  <si>
    <t>KPOH15CH</t>
  </si>
  <si>
    <t>KPOH15GR</t>
  </si>
  <si>
    <t>KPOH15MCH</t>
  </si>
  <si>
    <t>KPOH15PA</t>
  </si>
  <si>
    <t>KPOH228CZ</t>
  </si>
  <si>
    <t>KPOH28CH</t>
  </si>
  <si>
    <t>KPOH28CZ</t>
  </si>
  <si>
    <t>KPOH28MCZ</t>
  </si>
  <si>
    <t>KPOH29CH</t>
  </si>
  <si>
    <t>KPOH29CZ</t>
  </si>
  <si>
    <t>KQOO10W</t>
  </si>
  <si>
    <t>KQOO14W</t>
  </si>
  <si>
    <t>KVLX70360ST</t>
  </si>
  <si>
    <t>KVLX01140ST</t>
  </si>
  <si>
    <t>KVLX06360ST</t>
  </si>
  <si>
    <t>KVLX39180SBI</t>
  </si>
  <si>
    <t>KVLX39180SCZ</t>
  </si>
  <si>
    <t>KVLX40BIA</t>
  </si>
  <si>
    <t>KVLX40CZA</t>
  </si>
  <si>
    <t>KVLX41360STB</t>
  </si>
  <si>
    <t>KVLX42360STB</t>
  </si>
  <si>
    <t>KFKLHCE2150</t>
  </si>
  <si>
    <t>KKHCL2120PR</t>
  </si>
  <si>
    <t>KWSSW</t>
  </si>
  <si>
    <t>KXK001</t>
  </si>
  <si>
    <t>KXK002*</t>
  </si>
  <si>
    <t>KXK003</t>
  </si>
  <si>
    <t>KFNSC5BAT</t>
  </si>
  <si>
    <t>KFNSC10BAT</t>
  </si>
  <si>
    <t>KFNSU15BAT</t>
  </si>
  <si>
    <t>KFROU</t>
  </si>
  <si>
    <t>KYST06FP</t>
  </si>
  <si>
    <t>KYST07F</t>
  </si>
  <si>
    <t>KYSC02DP</t>
  </si>
  <si>
    <t>KWPC24</t>
  </si>
  <si>
    <t>KYZD24</t>
  </si>
  <si>
    <t>KYZD30W</t>
  </si>
  <si>
    <t>KYZD36W</t>
  </si>
  <si>
    <t>KYZD42W</t>
  </si>
  <si>
    <t>KYZD60W</t>
  </si>
  <si>
    <t>KYSDK72W</t>
  </si>
  <si>
    <t>KYSDK90WDESK</t>
  </si>
  <si>
    <t>KYSDK120WDES</t>
  </si>
  <si>
    <t>KYKBS12-1671</t>
  </si>
  <si>
    <t>KYKBA12-2501</t>
  </si>
  <si>
    <t>KYCP12050A67</t>
  </si>
  <si>
    <t>KYCP12080A67</t>
  </si>
  <si>
    <t>KYSDKH100W</t>
  </si>
  <si>
    <t>KYCP12120A67</t>
  </si>
  <si>
    <t>KYKBA12-1252</t>
  </si>
  <si>
    <t>KBA12-1672</t>
  </si>
  <si>
    <t>KYSDK6W</t>
  </si>
  <si>
    <t>KYSDK25WMONT</t>
  </si>
  <si>
    <t>KYSDK35WMONT</t>
  </si>
  <si>
    <t>KYSDK60WMONT</t>
  </si>
  <si>
    <t>KYSDK100WMOD</t>
  </si>
  <si>
    <t>KYSDK150WMON</t>
  </si>
  <si>
    <t>KYKBI16,6A</t>
  </si>
  <si>
    <t>KYSDK250WMON</t>
  </si>
  <si>
    <t>KYSDK350WMON</t>
  </si>
  <si>
    <t xml:space="preserve">          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</si>
  <si>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</si>
  <si>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</si>
  <si>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</si>
  <si>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</si>
  <si>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</si>
  <si>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</si>
  <si>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</si>
  <si>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</si>
  <si>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</si>
  <si>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>5902201300338</t>
  </si>
  <si>
    <t>5902846010586</t>
  </si>
  <si>
    <t>5902846011965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</si>
  <si>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</si>
  <si>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</si>
  <si>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</si>
  <si>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</si>
  <si>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</si>
  <si>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</si>
  <si>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</si>
  <si>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</si>
  <si>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</si>
  <si>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5902846017424</t>
  </si>
  <si>
    <t>5900605095294</t>
  </si>
  <si>
    <t>5902846017455</t>
  </si>
  <si>
    <t>5900605095300</t>
  </si>
  <si>
    <t>5902846018766</t>
  </si>
  <si>
    <t>5902201302349</t>
  </si>
  <si>
    <t>5902201304503</t>
  </si>
  <si>
    <t>5902201304510</t>
  </si>
  <si>
    <t>5900605094471</t>
  </si>
  <si>
    <t>5900605094488</t>
  </si>
  <si>
    <t>5900605094495</t>
  </si>
  <si>
    <t>5902201302004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</si>
  <si>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</si>
  <si>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</si>
  <si>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</si>
  <si>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</si>
  <si>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</si>
  <si>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</si>
  <si>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</si>
  <si>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</si>
  <si>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</si>
  <si>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</si>
  <si>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</si>
  <si>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</si>
  <si>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</si>
  <si>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</si>
  <si>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</si>
  <si>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</si>
  <si>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5902201300727</t>
  </si>
  <si>
    <t>5900605098301</t>
  </si>
  <si>
    <t>5902201300734</t>
  </si>
  <si>
    <t>5900605098318</t>
  </si>
  <si>
    <t>5902201300741</t>
  </si>
  <si>
    <t>5900605093467</t>
  </si>
  <si>
    <t>5902846019107</t>
  </si>
  <si>
    <t>5900605097717</t>
  </si>
  <si>
    <t>5902846019114</t>
  </si>
  <si>
    <t>5900605093474</t>
  </si>
  <si>
    <t>5902846019121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</si>
  <si>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</si>
  <si>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</si>
  <si>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</si>
  <si>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</si>
  <si>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</si>
  <si>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</si>
  <si>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</si>
  <si>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</si>
  <si>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</si>
  <si>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</si>
  <si>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</si>
  <si>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</si>
  <si>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</si>
  <si>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</si>
  <si>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</si>
  <si>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</si>
  <si>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</si>
  <si>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</si>
  <si>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</si>
  <si>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</si>
  <si>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</si>
  <si>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</si>
  <si>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</si>
  <si>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</si>
  <si>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</si>
  <si>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</si>
  <si>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</si>
  <si>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</si>
  <si>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</si>
  <si>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</si>
  <si>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</si>
  <si>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</si>
  <si>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</si>
  <si>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</si>
  <si>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</si>
  <si>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</si>
  <si>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</si>
  <si>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</si>
  <si>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</si>
  <si>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</si>
  <si>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</si>
  <si>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</si>
  <si>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5902846017509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</si>
  <si>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</si>
  <si>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</si>
  <si>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</si>
  <si>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</si>
  <si>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</si>
  <si>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</si>
  <si>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</si>
  <si>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</si>
  <si>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</si>
  <si>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</si>
  <si>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</si>
  <si>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</si>
  <si>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</si>
  <si>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</si>
  <si>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5902201301632</t>
  </si>
  <si>
    <t>5902846016267</t>
  </si>
  <si>
    <t>5902846016199</t>
  </si>
  <si>
    <t>5902846016205</t>
  </si>
  <si>
    <t>5902846016212</t>
  </si>
  <si>
    <t>5902846016229</t>
  </si>
  <si>
    <t>5902846016298</t>
  </si>
  <si>
    <t>5902846016236</t>
  </si>
  <si>
    <t>5902846016304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</si>
  <si>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</si>
  <si>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</si>
  <si>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</si>
  <si>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</si>
  <si>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</si>
  <si>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</si>
  <si>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</si>
  <si>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5900605096963</t>
  </si>
  <si>
    <t>5902846010784</t>
  </si>
  <si>
    <t>5902201301151</t>
  </si>
  <si>
    <t>5902846019459</t>
  </si>
  <si>
    <t>5902201301175</t>
  </si>
  <si>
    <t>5902201301144</t>
  </si>
  <si>
    <t>5902201301083</t>
  </si>
  <si>
    <t>5902201301168</t>
  </si>
  <si>
    <t>5902846014461</t>
  </si>
  <si>
    <t>5902846014485</t>
  </si>
  <si>
    <t>8414 51 00</t>
  </si>
  <si>
    <t>5902201301731</t>
  </si>
  <si>
    <t>5902201301748</t>
  </si>
  <si>
    <t>5902201301779</t>
  </si>
  <si>
    <t>5900605092569</t>
  </si>
  <si>
    <t>5906340215225</t>
  </si>
  <si>
    <t>5900605098813</t>
  </si>
  <si>
    <t>5902201301649</t>
  </si>
  <si>
    <t>5900605098790</t>
  </si>
  <si>
    <t>5902201301656</t>
  </si>
  <si>
    <t>5902846018872</t>
  </si>
  <si>
    <t>9405 99 00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</si>
  <si>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</si>
  <si>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</si>
  <si>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</si>
  <si>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</si>
  <si>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</si>
  <si>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</si>
  <si>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</si>
  <si>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</si>
  <si>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</si>
  <si>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</si>
  <si>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</si>
  <si>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</si>
  <si>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</si>
  <si>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</si>
  <si>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</si>
  <si>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</si>
  <si>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5902201303360</t>
  </si>
  <si>
    <t>5902201303377</t>
  </si>
  <si>
    <t>5902846016854</t>
  </si>
  <si>
    <t>5902846016861</t>
  </si>
  <si>
    <t>5902201301601</t>
  </si>
  <si>
    <t>5902201304251</t>
  </si>
  <si>
    <t>5902846018209</t>
  </si>
  <si>
    <t>5902201300468</t>
  </si>
  <si>
    <t>5902846018131</t>
  </si>
  <si>
    <t>5902846018155</t>
  </si>
  <si>
    <t>5902201300482</t>
  </si>
  <si>
    <t>5902846018179</t>
  </si>
  <si>
    <t>5902201300499</t>
  </si>
  <si>
    <t>5902846018193</t>
  </si>
  <si>
    <t>5902201303551</t>
  </si>
  <si>
    <t>5902201303568</t>
  </si>
  <si>
    <t>5902201303599</t>
  </si>
  <si>
    <t>5902201303629</t>
  </si>
  <si>
    <t>5902846013815</t>
  </si>
  <si>
    <t>5902846013822</t>
  </si>
  <si>
    <t>5902201302127</t>
  </si>
  <si>
    <t>5902201302134</t>
  </si>
  <si>
    <t>5902201302141</t>
  </si>
  <si>
    <t>5902846015697</t>
  </si>
  <si>
    <t>5902201300505</t>
  </si>
  <si>
    <t>5902846018223</t>
  </si>
  <si>
    <t>5902201300512</t>
  </si>
  <si>
    <t>5902846018247</t>
  </si>
  <si>
    <t>5902846018254</t>
  </si>
  <si>
    <t>5902201300529</t>
  </si>
  <si>
    <t>5902846018261</t>
  </si>
  <si>
    <t>5902201300536</t>
  </si>
  <si>
    <t>5902846018285</t>
  </si>
  <si>
    <t>5902201303704</t>
  </si>
  <si>
    <t>5902846010289</t>
  </si>
  <si>
    <t>5902846010555</t>
  </si>
  <si>
    <t>5902846010562</t>
  </si>
  <si>
    <t>5902201304145</t>
  </si>
  <si>
    <t>5902201304169</t>
  </si>
  <si>
    <t>5902201300628</t>
  </si>
  <si>
    <t>5902846015352</t>
  </si>
  <si>
    <t>5900605098028</t>
  </si>
  <si>
    <t>5902846016014</t>
  </si>
  <si>
    <t>5902846011750</t>
  </si>
  <si>
    <t>5902846019060</t>
  </si>
  <si>
    <t>5902201301250</t>
  </si>
  <si>
    <t>5902201301267</t>
  </si>
  <si>
    <t>5902201301274</t>
  </si>
  <si>
    <t>5902201301281</t>
  </si>
  <si>
    <t>9405 91 90</t>
  </si>
  <si>
    <t>5902201303872</t>
  </si>
  <si>
    <t>5902201303896</t>
  </si>
  <si>
    <t>5902201301212</t>
  </si>
  <si>
    <t>5902201301229</t>
  </si>
  <si>
    <t>5902201301236</t>
  </si>
  <si>
    <t>5902201301243</t>
  </si>
  <si>
    <t>5902201303988</t>
  </si>
  <si>
    <t>5900605097892</t>
  </si>
  <si>
    <t>5906340216987</t>
  </si>
  <si>
    <t>5906340218882</t>
  </si>
  <si>
    <t>5906340219599</t>
  </si>
  <si>
    <t>5906340219131</t>
  </si>
  <si>
    <t>5906340218875</t>
  </si>
  <si>
    <t>5902846016045</t>
  </si>
  <si>
    <t>5900605096314</t>
  </si>
  <si>
    <t>5900605096321</t>
  </si>
  <si>
    <t>5902846019244</t>
  </si>
  <si>
    <t>5900605096758</t>
  </si>
  <si>
    <t>5900605097670</t>
  </si>
  <si>
    <t>5900605098684</t>
  </si>
  <si>
    <t>5900605098714</t>
  </si>
  <si>
    <t>5902846014362</t>
  </si>
  <si>
    <t>5902846014379</t>
  </si>
  <si>
    <t>5900605096765</t>
  </si>
  <si>
    <t>5900605097700</t>
  </si>
  <si>
    <t>5900605097694</t>
  </si>
  <si>
    <t>5902846014393</t>
  </si>
  <si>
    <t>5902846014416</t>
  </si>
  <si>
    <t>5902846014409</t>
  </si>
  <si>
    <t>5902201304329</t>
  </si>
  <si>
    <t>5902201304336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</si>
  <si>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</si>
  <si>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</si>
  <si>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</si>
  <si>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</si>
  <si>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</si>
  <si>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</si>
  <si>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</si>
  <si>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</si>
  <si>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5902846011149</t>
  </si>
  <si>
    <t>5902846011156</t>
  </si>
  <si>
    <t>5900605098325</t>
  </si>
  <si>
    <t>5900605098363</t>
  </si>
  <si>
    <t>5902846013174</t>
  </si>
  <si>
    <t>5902846013181</t>
  </si>
  <si>
    <t>5900605094648</t>
  </si>
  <si>
    <t>5900605095249</t>
  </si>
  <si>
    <t>5900605097427</t>
  </si>
  <si>
    <t>5900605097366</t>
  </si>
  <si>
    <t>5900605097373</t>
  </si>
  <si>
    <t>5902846011446</t>
  </si>
  <si>
    <t>5902846011439</t>
  </si>
  <si>
    <t>5902846011422</t>
  </si>
  <si>
    <t>5902201300420</t>
  </si>
  <si>
    <t>5902201300437</t>
  </si>
  <si>
    <t>5902201300444</t>
  </si>
  <si>
    <t>5902201300451</t>
  </si>
  <si>
    <t>5902846013198</t>
  </si>
  <si>
    <t>5902846013204</t>
  </si>
  <si>
    <t>5900605098332</t>
  </si>
  <si>
    <t>5900605098370</t>
  </si>
  <si>
    <t>5906340210879</t>
  </si>
  <si>
    <t>5906340210824</t>
  </si>
  <si>
    <t>5906340210862</t>
  </si>
  <si>
    <t>5906340216185</t>
  </si>
  <si>
    <t>5900605092965</t>
  </si>
  <si>
    <t>5900605093641</t>
  </si>
  <si>
    <t>5900605093443</t>
  </si>
  <si>
    <t>5902846011279</t>
  </si>
  <si>
    <t>5902846011262</t>
  </si>
  <si>
    <t>5900605093429</t>
  </si>
  <si>
    <t>5902846011293</t>
  </si>
  <si>
    <t>5902846011286</t>
  </si>
  <si>
    <t>5900605097830</t>
  </si>
  <si>
    <t>5900605096734</t>
  </si>
  <si>
    <t>5900605097793</t>
  </si>
  <si>
    <t>5900605096741</t>
  </si>
  <si>
    <t>5900605099155</t>
  </si>
  <si>
    <t>5900605099148</t>
  </si>
  <si>
    <t>5902846011392</t>
  </si>
  <si>
    <t>5902846011354</t>
  </si>
  <si>
    <t>5906340210947</t>
  </si>
  <si>
    <t>5906340210893</t>
  </si>
  <si>
    <t>5906340210916</t>
  </si>
  <si>
    <t>5906340210930</t>
  </si>
  <si>
    <t>5906340217977</t>
  </si>
  <si>
    <t>5900605094785</t>
  </si>
  <si>
    <t>5900605093573</t>
  </si>
  <si>
    <t>5900605093580</t>
  </si>
  <si>
    <t>5900605097809</t>
  </si>
  <si>
    <t>5900605093597</t>
  </si>
  <si>
    <t>5900605093603</t>
  </si>
  <si>
    <t>5902846011507</t>
  </si>
  <si>
    <t>5902846011460</t>
  </si>
  <si>
    <t>5900605092347</t>
  </si>
  <si>
    <t>8536 50 80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</si>
  <si>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</si>
  <si>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</si>
  <si>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</si>
  <si>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</si>
  <si>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</si>
  <si>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</si>
  <si>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</si>
  <si>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</si>
  <si>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 xml:space="preserve">             </t>
  </si>
  <si>
    <t>9405 92 00</t>
  </si>
  <si>
    <t>5902201300390</t>
  </si>
  <si>
    <t>8536 69 90</t>
  </si>
  <si>
    <t>5906340210091</t>
  </si>
  <si>
    <t>8536 61 10</t>
  </si>
  <si>
    <t>8536 61 90</t>
  </si>
  <si>
    <t>5906340210107</t>
  </si>
  <si>
    <t>5906340213719</t>
  </si>
  <si>
    <t>5902201302257</t>
  </si>
  <si>
    <t>8507 60 00</t>
  </si>
  <si>
    <t>5902201302264</t>
  </si>
  <si>
    <t>5902201302271</t>
  </si>
  <si>
    <t>5902201302103</t>
  </si>
  <si>
    <t>5900605092828</t>
  </si>
  <si>
    <t>8537 10 98</t>
  </si>
  <si>
    <t>5900605092835</t>
  </si>
  <si>
    <t>5900605092804</t>
  </si>
  <si>
    <t>8543 70 90</t>
  </si>
  <si>
    <t>5906340211883</t>
  </si>
  <si>
    <t>9107 00 00</t>
  </si>
  <si>
    <t>5902201304589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</si>
  <si>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</si>
  <si>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</si>
  <si>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</si>
  <si>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</si>
  <si>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</si>
  <si>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</si>
  <si>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</si>
  <si>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5900605096420</t>
  </si>
  <si>
    <t>5900605093351</t>
  </si>
  <si>
    <t>5900605096482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</si>
  <si>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</si>
  <si>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</si>
  <si>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</si>
  <si>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</si>
  <si>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</si>
  <si>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</si>
  <si>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</si>
  <si>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</si>
  <si>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</si>
  <si>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</si>
  <si>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</si>
  <si>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</si>
  <si>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</si>
  <si>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</si>
  <si>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KFNSU40NB</t>
  </si>
  <si>
    <t>5902201304541</t>
  </si>
  <si>
    <t>04KI LATAR</t>
  </si>
  <si>
    <t>KRNKPTBI</t>
  </si>
  <si>
    <t>KRNKPTCZ</t>
  </si>
  <si>
    <t>5902201304602</t>
  </si>
  <si>
    <t>5902201304619</t>
  </si>
  <si>
    <t>EPREL</t>
  </si>
  <si>
    <t xml:space="preserve">F         </t>
  </si>
  <si>
    <t xml:space="preserve">E         </t>
  </si>
  <si>
    <t xml:space="preserve">G         </t>
  </si>
  <si>
    <t>LINK</t>
  </si>
  <si>
    <t>OPRAWA OŚWIETLENIOWA RUTO 100W E27 WHITE</t>
  </si>
  <si>
    <t>CEILING LAMP SAMIRA S 2XE27 SQUARE BLACK</t>
  </si>
  <si>
    <t>LED MH FLOODLIGHT 100W BLACK 4000K LED2B</t>
  </si>
  <si>
    <t>LED MH FLOODLIGHT 100W BLACK 6000K LED2B</t>
  </si>
  <si>
    <t>LED MHC FLOODLIGHT 10W BLACK 4000K LED2B</t>
  </si>
  <si>
    <t>LED MHC FLOODLIGHT 10W BLACK 6000K LED2B</t>
  </si>
  <si>
    <t>LED MHC FLOODLIGHT 20W BLACK 4000K LED2B</t>
  </si>
  <si>
    <t>LED MHC FLOODLIGHT 20W BLACK 6000K LED2B</t>
  </si>
  <si>
    <t>LED MHC FLOODLIGHT 30W BLACK 3000K LED2B</t>
  </si>
  <si>
    <t>LED MHC FLOODLIGHT 30W BLACK 4000K LED2B</t>
  </si>
  <si>
    <t>LED MHC FLOODLIGHT 30W BLACK 6000K LED2B</t>
  </si>
  <si>
    <t>LED MHC FLOODLIGHT 50W BLACK 4000K LED2B</t>
  </si>
  <si>
    <t>LED MHC FLOODLIGHT 50W BLACK 6000K LED2B</t>
  </si>
  <si>
    <t>MOTION SENSOR LX41 360ST FOR BUILDING-IN</t>
  </si>
  <si>
    <t>MOTION SENSOR LX42 360ST FOR BUILDING-IN</t>
  </si>
  <si>
    <t>LED CONTROLLER ST06FP 5-24V 12A + REMOTE</t>
  </si>
  <si>
    <t>LED POWER SUPPLY 150W 12,5A 12V IP67 PRO</t>
  </si>
  <si>
    <t>01KI LŻAR</t>
  </si>
  <si>
    <t>01KI SMD</t>
  </si>
  <si>
    <t>05KI WENT</t>
  </si>
  <si>
    <t>02KI HERM</t>
  </si>
  <si>
    <t>03KI ART</t>
  </si>
  <si>
    <t>03KI OH</t>
  </si>
  <si>
    <t>03KI OH L</t>
  </si>
  <si>
    <t>04KI LX</t>
  </si>
  <si>
    <t>04KICZZAM</t>
  </si>
  <si>
    <t>04KI PC</t>
  </si>
  <si>
    <t>KYSLT8</t>
  </si>
  <si>
    <t>5902846018889</t>
  </si>
  <si>
    <t>KGYO</t>
  </si>
  <si>
    <t>5902201304824</t>
  </si>
  <si>
    <t>8516 29 10</t>
  </si>
  <si>
    <t>KFHCL260</t>
  </si>
  <si>
    <t>5902201305593</t>
  </si>
  <si>
    <t>KYZI12V10W</t>
  </si>
  <si>
    <t>5902479642857</t>
  </si>
  <si>
    <t>KYZI12V60W</t>
  </si>
  <si>
    <t>5902479642864</t>
  </si>
  <si>
    <t>KPOH14MCZ</t>
  </si>
  <si>
    <t>5902201304879</t>
  </si>
  <si>
    <t>KPOH15MCZ</t>
  </si>
  <si>
    <t>5902201304886</t>
  </si>
  <si>
    <t>KPOH28MBI</t>
  </si>
  <si>
    <t>5902201304916</t>
  </si>
  <si>
    <t>KPOH29MBI</t>
  </si>
  <si>
    <t>5902201304923</t>
  </si>
  <si>
    <t>KFHC218NB1</t>
  </si>
  <si>
    <t>5902201305739</t>
  </si>
  <si>
    <t>KFHC218ZB1</t>
  </si>
  <si>
    <t>5902201305746</t>
  </si>
  <si>
    <t>KFNLN100ZB</t>
  </si>
  <si>
    <t>5902846013921</t>
  </si>
  <si>
    <t>KPOH22MCZ</t>
  </si>
  <si>
    <t>5902201304893</t>
  </si>
  <si>
    <t>KPOH34MCZ</t>
  </si>
  <si>
    <t>5902201305470</t>
  </si>
  <si>
    <t>KPOH29MCZ</t>
  </si>
  <si>
    <t>5902201305463</t>
  </si>
  <si>
    <t>KQHO5NB</t>
  </si>
  <si>
    <t>5902201305708</t>
  </si>
  <si>
    <t>KFNO3PT606NB</t>
  </si>
  <si>
    <t>5902846011743</t>
  </si>
  <si>
    <t>KAGU9NB</t>
  </si>
  <si>
    <t>5902201305883</t>
  </si>
  <si>
    <t>8539 52 00</t>
  </si>
  <si>
    <t>9405 42 31</t>
  </si>
  <si>
    <t>9405 49 40</t>
  </si>
  <si>
    <t>9405 19 40</t>
  </si>
  <si>
    <t>9405 49 90</t>
  </si>
  <si>
    <t>9405 11 40</t>
  </si>
  <si>
    <t>9405 42 39</t>
  </si>
  <si>
    <t>9405 41 39</t>
  </si>
  <si>
    <t>9405 41 31</t>
  </si>
  <si>
    <t>9405 19 90</t>
  </si>
  <si>
    <t>9405 11 90</t>
  </si>
  <si>
    <t>9405 29 90</t>
  </si>
  <si>
    <t>KAGU9CB</t>
  </si>
  <si>
    <t>5902201305876</t>
  </si>
  <si>
    <t>KALGSE2711ZB</t>
  </si>
  <si>
    <t>5902201305579</t>
  </si>
  <si>
    <t>KALT818ZB</t>
  </si>
  <si>
    <t>5902201305760</t>
  </si>
  <si>
    <t>02NSNSX7WNB</t>
  </si>
  <si>
    <t>NEXUS</t>
  </si>
  <si>
    <t>5902201305678</t>
  </si>
  <si>
    <t>02NSOSX10WNB</t>
  </si>
  <si>
    <t>5902201305661</t>
  </si>
  <si>
    <t>KGST</t>
  </si>
  <si>
    <t>5902201308068</t>
  </si>
  <si>
    <t>8516 29 50</t>
  </si>
  <si>
    <t>KQHO5CB</t>
  </si>
  <si>
    <t>5902201305999</t>
  </si>
  <si>
    <t>8536 90 10</t>
  </si>
  <si>
    <t>KFCP312NB</t>
  </si>
  <si>
    <t>5902201307955</t>
  </si>
  <si>
    <t>KAGU9ZB</t>
  </si>
  <si>
    <t>5902201305890</t>
  </si>
  <si>
    <t>KATE142WNB</t>
  </si>
  <si>
    <t>5900605097564</t>
  </si>
  <si>
    <t>KOBI PROFESSIONAL</t>
  </si>
  <si>
    <t>01NST818WNB</t>
  </si>
  <si>
    <t xml:space="preserve">D         </t>
  </si>
  <si>
    <t>5902201304176</t>
  </si>
  <si>
    <t>01NST824WNB</t>
  </si>
  <si>
    <t>5902201304183</t>
  </si>
  <si>
    <t xml:space="preserve">C         </t>
  </si>
  <si>
    <t>02NSNO15114</t>
  </si>
  <si>
    <t>5902846019503</t>
  </si>
  <si>
    <t>02NSNO20114</t>
  </si>
  <si>
    <t>5902846019510</t>
  </si>
  <si>
    <t>02NSNNP15NBT</t>
  </si>
  <si>
    <t>5902201300796</t>
  </si>
  <si>
    <t>02NSNNP15NBD</t>
  </si>
  <si>
    <t>5902201305340</t>
  </si>
  <si>
    <t>02NSNNP20NBT</t>
  </si>
  <si>
    <t>5902201300802</t>
  </si>
  <si>
    <t>02NSNNP20NBD</t>
  </si>
  <si>
    <t>5902201305357</t>
  </si>
  <si>
    <t>02NSNNP30NBT</t>
  </si>
  <si>
    <t>5902201300819</t>
  </si>
  <si>
    <t>02NSNNP30NBD</t>
  </si>
  <si>
    <t>5902201305364</t>
  </si>
  <si>
    <t>02NSNF140NB</t>
  </si>
  <si>
    <t>5902201301427</t>
  </si>
  <si>
    <t>02NSNF160NB</t>
  </si>
  <si>
    <t>5902201301434</t>
  </si>
  <si>
    <t>02NSNX15484</t>
  </si>
  <si>
    <t>5902201300642</t>
  </si>
  <si>
    <t>NNOO20</t>
  </si>
  <si>
    <t>5902201305722</t>
  </si>
  <si>
    <t>NNOU100</t>
  </si>
  <si>
    <t>5902846019527</t>
  </si>
  <si>
    <t>NNOU150</t>
  </si>
  <si>
    <t>5902846019534</t>
  </si>
  <si>
    <t>HERMETIC FIXTURES</t>
  </si>
  <si>
    <t>KFDR18WNBBI</t>
  </si>
  <si>
    <t>5902201303780</t>
  </si>
  <si>
    <t>KFDR24WNBBI</t>
  </si>
  <si>
    <t>5902201303803</t>
  </si>
  <si>
    <t>HERMETIC FIXTURES WITH SENSOR</t>
  </si>
  <si>
    <t>KFDX18WNBBI</t>
  </si>
  <si>
    <t>5902201303797</t>
  </si>
  <si>
    <t>KFDX24WNBBI</t>
  </si>
  <si>
    <t>5902201303810</t>
  </si>
  <si>
    <t>FIXTURES FOR PARKS</t>
  </si>
  <si>
    <t>9405 42 10</t>
  </si>
  <si>
    <t>OFFICE LIGHTING</t>
  </si>
  <si>
    <t>02NSAL40NB</t>
  </si>
  <si>
    <t>5902201300789</t>
  </si>
  <si>
    <t>KGLAZ3G1,5M</t>
  </si>
  <si>
    <t>5902201308075</t>
  </si>
  <si>
    <t>8544 42 90</t>
  </si>
  <si>
    <t>KGLAZ3G3M</t>
  </si>
  <si>
    <t>5902201308082</t>
  </si>
  <si>
    <t>KGLAZW3G3M</t>
  </si>
  <si>
    <t>5902201308167</t>
  </si>
  <si>
    <t>KGLAZ3G5M</t>
  </si>
  <si>
    <t>5902201308099</t>
  </si>
  <si>
    <t>KGLAZW3G5M</t>
  </si>
  <si>
    <t>5902201308174</t>
  </si>
  <si>
    <t>KGLAZ4G1,5M</t>
  </si>
  <si>
    <t>5902201308105</t>
  </si>
  <si>
    <t>KGLAZ4G3M</t>
  </si>
  <si>
    <t>5902201308112</t>
  </si>
  <si>
    <t>KGLAZ4G5M</t>
  </si>
  <si>
    <t>5902201308129</t>
  </si>
  <si>
    <t>KGLAZ5G1,5M</t>
  </si>
  <si>
    <t>5902201308136</t>
  </si>
  <si>
    <t>KGLAZ5G3M</t>
  </si>
  <si>
    <t>5902201308143</t>
  </si>
  <si>
    <t>KGLAZW5G3M</t>
  </si>
  <si>
    <t>5902201308181</t>
  </si>
  <si>
    <t>KGLAZ5G5M</t>
  </si>
  <si>
    <t>5902201308150</t>
  </si>
  <si>
    <t>KGLAZW5G5M</t>
  </si>
  <si>
    <t>5902201308198</t>
  </si>
  <si>
    <t>KFNLP100NB</t>
  </si>
  <si>
    <t>5902201307986</t>
  </si>
  <si>
    <t>KFNLP50NB</t>
  </si>
  <si>
    <t>5902201307979</t>
  </si>
  <si>
    <t>KFNLS2X30NB</t>
  </si>
  <si>
    <t>5902201307993</t>
  </si>
  <si>
    <t>KFNLS2X50NB</t>
  </si>
  <si>
    <t>5902201308006</t>
  </si>
  <si>
    <t>KAG42WCB</t>
  </si>
  <si>
    <t>5902201305951</t>
  </si>
  <si>
    <t>KAG42WNB</t>
  </si>
  <si>
    <t>5902201305968</t>
  </si>
  <si>
    <t>KAJ788WCB</t>
  </si>
  <si>
    <t>5902201308334</t>
  </si>
  <si>
    <t>KAJ788WNB</t>
  </si>
  <si>
    <t>5902201308341</t>
  </si>
  <si>
    <t>KAJ11815WCB</t>
  </si>
  <si>
    <t>5902201308228</t>
  </si>
  <si>
    <t>KAJ11815WNB</t>
  </si>
  <si>
    <t>5902201308235</t>
  </si>
  <si>
    <t>STREET LIGHTS</t>
  </si>
  <si>
    <t>LED FIXTURES FOR SHOPS AND ACCESSORIES</t>
  </si>
  <si>
    <t>LINEAR FIXTURES</t>
  </si>
  <si>
    <t>NEXTRACK ACCESSORIES</t>
  </si>
  <si>
    <t>NEXPULLOUT NP2 40W 36° 3000K CRI90 BLACK</t>
  </si>
  <si>
    <t>02NSTP25FA0C</t>
  </si>
  <si>
    <t>5902846013440</t>
  </si>
  <si>
    <t>NEXTRACK NT3 35W 25ST 3000K CRI 90 BLACK</t>
  </si>
  <si>
    <t>02NSTT33DA0C</t>
  </si>
  <si>
    <t>5902846012573</t>
  </si>
  <si>
    <t>NEXTRACK NT4 38W 36° 4000K CRI90 BLACK P</t>
  </si>
  <si>
    <t>ONNSTT4HG0BP</t>
  </si>
  <si>
    <t>5902201305258</t>
  </si>
  <si>
    <t>NEXTRACK NT4 38W 60° 4000K CRI90 BLACK P</t>
  </si>
  <si>
    <t>02NSTT4HG0CP</t>
  </si>
  <si>
    <t>5902846019022</t>
  </si>
  <si>
    <t>NEXTRACK NT4 MINI 10W 36° 4000K CRI90 WH</t>
  </si>
  <si>
    <t>02NSTM46FG0B</t>
  </si>
  <si>
    <t>5902846019381</t>
  </si>
  <si>
    <t>NEXTRACK NT4 MINI 10W 36° 4000K CRI90 BL</t>
  </si>
  <si>
    <t>02NSTM46FG0C</t>
  </si>
  <si>
    <t>5902846019428</t>
  </si>
  <si>
    <t>NEXTRACK NT4 MINI 20W 60° 4000K CRI90 WH</t>
  </si>
  <si>
    <t>02NSTM47HG0B</t>
  </si>
  <si>
    <t>5902201301199</t>
  </si>
  <si>
    <t>NEXTRACK NT5 28W 15ST 3000K CRI 90 WHITE</t>
  </si>
  <si>
    <t>02NSTT51BA0B</t>
  </si>
  <si>
    <t>5902846013358</t>
  </si>
  <si>
    <t>NEXTRACK NT5 28W 45ST 3000K CRI 90 BLACK</t>
  </si>
  <si>
    <t>02NSTT51GA0C</t>
  </si>
  <si>
    <t>5902846013402</t>
  </si>
  <si>
    <t>02NSI040MP</t>
  </si>
  <si>
    <t>5902201305197</t>
  </si>
  <si>
    <t>02NSIPT40NB</t>
  </si>
  <si>
    <t>5902201305203</t>
  </si>
  <si>
    <t>02NSISM20NB</t>
  </si>
  <si>
    <t>5902201305159</t>
  </si>
  <si>
    <t>02NSISM40NB</t>
  </si>
  <si>
    <t>5902201305173</t>
  </si>
  <si>
    <t>02NSIST20NB</t>
  </si>
  <si>
    <t>5902201305166</t>
  </si>
  <si>
    <t>02NSIST40NB</t>
  </si>
  <si>
    <t>5902201305180</t>
  </si>
  <si>
    <t>02NSHL1301DP</t>
  </si>
  <si>
    <t>5902201304992</t>
  </si>
  <si>
    <t>02NSHL1301P</t>
  </si>
  <si>
    <t>5900605098837</t>
  </si>
  <si>
    <t>02NSHL1309PD</t>
  </si>
  <si>
    <t>5902201305005</t>
  </si>
  <si>
    <t>02NSHL1309P</t>
  </si>
  <si>
    <t>5902846011774</t>
  </si>
  <si>
    <t>02NSHL1451PD</t>
  </si>
  <si>
    <t>5902201305012</t>
  </si>
  <si>
    <t>02NSHL1451P</t>
  </si>
  <si>
    <t>5900605098486</t>
  </si>
  <si>
    <t>02NSHL1459PD</t>
  </si>
  <si>
    <t>5902201305029</t>
  </si>
  <si>
    <t>02NSHL1459P</t>
  </si>
  <si>
    <t>5900605098493</t>
  </si>
  <si>
    <t>02NSHL1601PD</t>
  </si>
  <si>
    <t>5902201305036</t>
  </si>
  <si>
    <t>02NSHL2601P</t>
  </si>
  <si>
    <t>5900605098462</t>
  </si>
  <si>
    <t>02NSHL1609PD</t>
  </si>
  <si>
    <t>5902201305043</t>
  </si>
  <si>
    <t>02NSHL1609P</t>
  </si>
  <si>
    <t>5900605098080</t>
  </si>
  <si>
    <t>02NSHL1751DP</t>
  </si>
  <si>
    <t>5902201305050</t>
  </si>
  <si>
    <t>02NSHL1751P</t>
  </si>
  <si>
    <t>5902846010357</t>
  </si>
  <si>
    <t>02NSHL1759PD</t>
  </si>
  <si>
    <t>5902201305067</t>
  </si>
  <si>
    <t>02NSHL1759P</t>
  </si>
  <si>
    <t>5900605098097</t>
  </si>
  <si>
    <t>02NSHL2601PD</t>
  </si>
  <si>
    <t>5902201305074</t>
  </si>
  <si>
    <t>02NSHL1601P</t>
  </si>
  <si>
    <t>5902846011699</t>
  </si>
  <si>
    <t>02NSHL2609PD</t>
  </si>
  <si>
    <t>5902201305081</t>
  </si>
  <si>
    <t>02NSHL2609P</t>
  </si>
  <si>
    <t>5902846012238</t>
  </si>
  <si>
    <t>02NSHL2901PD</t>
  </si>
  <si>
    <t>5902201305098</t>
  </si>
  <si>
    <t>02NSHL2901P</t>
  </si>
  <si>
    <t>5900605098479</t>
  </si>
  <si>
    <t>02NSHL2909PD</t>
  </si>
  <si>
    <t>5902201305104</t>
  </si>
  <si>
    <t>02NSHL2909P</t>
  </si>
  <si>
    <t>5902846010388</t>
  </si>
  <si>
    <t>02NSHL2121PD</t>
  </si>
  <si>
    <t>5902201305111</t>
  </si>
  <si>
    <t>02NSHL2121P</t>
  </si>
  <si>
    <t>5900605098011</t>
  </si>
  <si>
    <t>02NSHL2129PD</t>
  </si>
  <si>
    <t>5902201305128</t>
  </si>
  <si>
    <t>02NSHL2129P</t>
  </si>
  <si>
    <t>5902846010371</t>
  </si>
  <si>
    <t>02NSHL2151PD</t>
  </si>
  <si>
    <t>5902201305135</t>
  </si>
  <si>
    <t>02NSHL2150P</t>
  </si>
  <si>
    <t>5900605099278</t>
  </si>
  <si>
    <t>02NSHL2159PD</t>
  </si>
  <si>
    <t>5902201305142</t>
  </si>
  <si>
    <t>02NSHL2159P</t>
  </si>
  <si>
    <t>5900605098004</t>
  </si>
  <si>
    <t>02NSNE15P</t>
  </si>
  <si>
    <t>5902846010265</t>
  </si>
  <si>
    <t>02NSNE15PC</t>
  </si>
  <si>
    <t>5902201305210</t>
  </si>
  <si>
    <t>02NSNE15PD</t>
  </si>
  <si>
    <t>5902201305234</t>
  </si>
  <si>
    <t>02NSNE30P</t>
  </si>
  <si>
    <t>5902846010487</t>
  </si>
  <si>
    <t>02NSNE30PC</t>
  </si>
  <si>
    <t>5902201305227</t>
  </si>
  <si>
    <t>02NSNE30PD</t>
  </si>
  <si>
    <t>5902201305241</t>
  </si>
  <si>
    <t>NTTS2B1</t>
  </si>
  <si>
    <t>5902201301076</t>
  </si>
  <si>
    <t>8544 49 95</t>
  </si>
  <si>
    <t>NTTS2C</t>
  </si>
  <si>
    <t>5902846012801</t>
  </si>
  <si>
    <t>POWER SUPPLY LEFT, WHITE FOR NEXTRACK NT</t>
  </si>
  <si>
    <t>NTTZLB</t>
  </si>
  <si>
    <t>5902846012634</t>
  </si>
  <si>
    <t>3925 90 80</t>
  </si>
  <si>
    <t>POWER SUPPLY LEFT, BLACK FOR NEXTRACK NT</t>
  </si>
  <si>
    <t>NTTZLC</t>
  </si>
  <si>
    <t>5902846012641</t>
  </si>
  <si>
    <t>NTTZPB</t>
  </si>
  <si>
    <t>5902846012658</t>
  </si>
  <si>
    <t>NTTZPC</t>
  </si>
  <si>
    <t>5902846012665</t>
  </si>
  <si>
    <t>NTTZB</t>
  </si>
  <si>
    <t>5902846012672</t>
  </si>
  <si>
    <t>NTTZC</t>
  </si>
  <si>
    <t>5902846012689</t>
  </si>
  <si>
    <t>NTTZS2B</t>
  </si>
  <si>
    <t>5902846012795</t>
  </si>
  <si>
    <t>7326 90 98</t>
  </si>
  <si>
    <t>NTTZS2C</t>
  </si>
  <si>
    <t>5902846018865</t>
  </si>
  <si>
    <t>NTTLIWB</t>
  </si>
  <si>
    <t>5902846012696</t>
  </si>
  <si>
    <t>NTTLIWC</t>
  </si>
  <si>
    <t>5902846012702</t>
  </si>
  <si>
    <t>NTTLIZB</t>
  </si>
  <si>
    <t>5902846012719</t>
  </si>
  <si>
    <t>NTTLIZC</t>
  </si>
  <si>
    <t>5902846012726</t>
  </si>
  <si>
    <t>NTTLZB</t>
  </si>
  <si>
    <t>5902846012771</t>
  </si>
  <si>
    <t>NTTLZC</t>
  </si>
  <si>
    <t>5902846012788</t>
  </si>
  <si>
    <t>NTTPZB</t>
  </si>
  <si>
    <t>5902201301694</t>
  </si>
  <si>
    <t>NTTPZC</t>
  </si>
  <si>
    <t>5902201301182</t>
  </si>
  <si>
    <t>NTTLTZB</t>
  </si>
  <si>
    <t>5902846012757</t>
  </si>
  <si>
    <t>NTTLTZC</t>
  </si>
  <si>
    <t>5902846012764</t>
  </si>
  <si>
    <t>NTTLXZB</t>
  </si>
  <si>
    <t>5902846012733</t>
  </si>
  <si>
    <t>NTTLXZC</t>
  </si>
  <si>
    <t>5902846012740</t>
  </si>
  <si>
    <t>KFNO2PT312NB</t>
  </si>
  <si>
    <t>5900605099414</t>
  </si>
  <si>
    <t>KFNAU150</t>
  </si>
  <si>
    <t>5902201308433</t>
  </si>
  <si>
    <t>KFNAU200</t>
  </si>
  <si>
    <t>5902201308440</t>
  </si>
  <si>
    <t>KFNA15114</t>
  </si>
  <si>
    <t>5902201308365</t>
  </si>
  <si>
    <t>KFNA20114</t>
  </si>
  <si>
    <t>5902201308372</t>
  </si>
  <si>
    <t>KAGS14RGBCTW</t>
  </si>
  <si>
    <t>5902201305425</t>
  </si>
  <si>
    <t>KALGSE2711NB</t>
  </si>
  <si>
    <t>5902201305562</t>
  </si>
  <si>
    <t>KALT818NB</t>
  </si>
  <si>
    <t>5902201305753</t>
  </si>
  <si>
    <t>KFNAO150</t>
  </si>
  <si>
    <t>5906340214594</t>
  </si>
  <si>
    <t>KFNAO200</t>
  </si>
  <si>
    <t>5906340215997</t>
  </si>
  <si>
    <t>KFNAU100</t>
  </si>
  <si>
    <t>5906340210008</t>
  </si>
  <si>
    <t>KAG41,5WNB</t>
  </si>
  <si>
    <t>5902201307443</t>
  </si>
  <si>
    <t>KFSX13WNB</t>
  </si>
  <si>
    <t>5900605090626</t>
  </si>
  <si>
    <t>NEXPULLOUT NP2 40W 24° 3000K CRI90 BLACK</t>
  </si>
  <si>
    <t>02NSTP25CA0C</t>
  </si>
  <si>
    <t xml:space="preserve">A+        </t>
  </si>
  <si>
    <t>5902846013433</t>
  </si>
  <si>
    <t>8504 40 95</t>
  </si>
  <si>
    <t>KALGSE2711CB</t>
  </si>
  <si>
    <t>5902201305555</t>
  </si>
  <si>
    <t>KAG41,5WCB</t>
  </si>
  <si>
    <t>5902201307436</t>
  </si>
  <si>
    <t>KALT89WNBS</t>
  </si>
  <si>
    <t>5902846012825</t>
  </si>
  <si>
    <t>KALT89WZBS</t>
  </si>
  <si>
    <t>5902846012832</t>
  </si>
  <si>
    <t>NTTLFZB</t>
  </si>
  <si>
    <t>5902846015246</t>
  </si>
  <si>
    <t>NTTLFZC</t>
  </si>
  <si>
    <t>5902846015239</t>
  </si>
  <si>
    <t>KHPB1000W</t>
  </si>
  <si>
    <t>05KI BANKI</t>
  </si>
  <si>
    <t>5902201359404</t>
  </si>
  <si>
    <t>KHPB600W</t>
  </si>
  <si>
    <t>5902201359398</t>
  </si>
  <si>
    <t>KHSH100W</t>
  </si>
  <si>
    <t>5902201359428</t>
  </si>
  <si>
    <t>8541 43 00</t>
  </si>
  <si>
    <t>KHSH300W</t>
  </si>
  <si>
    <t>5902201359435</t>
  </si>
  <si>
    <t>KFNSP50NB</t>
  </si>
  <si>
    <t>5902201359312</t>
  </si>
  <si>
    <t>KFVP40NBAS</t>
  </si>
  <si>
    <t>5902201359343</t>
  </si>
  <si>
    <t>KFVP60NBAS</t>
  </si>
  <si>
    <t>5902201359350</t>
  </si>
  <si>
    <t>KFVP100NBAS</t>
  </si>
  <si>
    <t>5902201359367</t>
  </si>
  <si>
    <t>KFVP150NBAS</t>
  </si>
  <si>
    <t>5902201359374</t>
  </si>
  <si>
    <t>KFVP200NBAS</t>
  </si>
  <si>
    <t>5902201359381</t>
  </si>
  <si>
    <t>KKSA100SP</t>
  </si>
  <si>
    <t>5902846015741</t>
  </si>
  <si>
    <t>KLKXSMIROZ</t>
  </si>
  <si>
    <t>5902201359190</t>
  </si>
  <si>
    <t>KFNSR10NB</t>
  </si>
  <si>
    <t>5902201359503</t>
  </si>
  <si>
    <t>KFNSCS30NB</t>
  </si>
  <si>
    <t>5902201359510</t>
  </si>
  <si>
    <t>KFNKSBI</t>
  </si>
  <si>
    <t>5902201359251</t>
  </si>
  <si>
    <t>KFNKSCZ</t>
  </si>
  <si>
    <t>5902201359244</t>
  </si>
  <si>
    <t>KKSA100SM</t>
  </si>
  <si>
    <t>5902846015758</t>
  </si>
  <si>
    <t>KKSA60SM</t>
  </si>
  <si>
    <t>5902846015734</t>
  </si>
  <si>
    <t>KKSA60SP</t>
  </si>
  <si>
    <t>5902846015727</t>
  </si>
  <si>
    <t>02NSNF120NB</t>
  </si>
  <si>
    <t>5902846015475</t>
  </si>
  <si>
    <t>KKSAB</t>
  </si>
  <si>
    <t>5900605098806</t>
  </si>
  <si>
    <t>KKSABCZ</t>
  </si>
  <si>
    <t>5902201301663</t>
  </si>
  <si>
    <t>KFCZ345WNB</t>
  </si>
  <si>
    <t>5902846015970</t>
  </si>
  <si>
    <t>KFHC118NB</t>
  </si>
  <si>
    <t>5902846015505</t>
  </si>
  <si>
    <t>KFHC29NB</t>
  </si>
  <si>
    <t>5902846015680</t>
  </si>
  <si>
    <t>KOCP1,5W</t>
  </si>
  <si>
    <t>5902846015444</t>
  </si>
  <si>
    <t>KFCP40CB</t>
  </si>
  <si>
    <t>5902846015284</t>
  </si>
  <si>
    <t>KFMP36NB</t>
  </si>
  <si>
    <t>5902846015499</t>
  </si>
  <si>
    <t>KOWL10WCB</t>
  </si>
  <si>
    <t>5902846015338</t>
  </si>
  <si>
    <t>KOWL14WCB</t>
  </si>
  <si>
    <t>5902846015345</t>
  </si>
  <si>
    <t>KOBI LIGHT SP. Z O.O.</t>
  </si>
  <si>
    <t>KAG93WCB</t>
  </si>
  <si>
    <t>5902201364972</t>
  </si>
  <si>
    <t>KAG93WNB</t>
  </si>
  <si>
    <t>5902201364989</t>
  </si>
  <si>
    <t>KAG93WZB</t>
  </si>
  <si>
    <t>5902201364996</t>
  </si>
  <si>
    <t>KBLSTN3MCB</t>
  </si>
  <si>
    <t>5902201359558</t>
  </si>
  <si>
    <t>KBLSTN3MNB</t>
  </si>
  <si>
    <t>5902201359565</t>
  </si>
  <si>
    <t>KFUS50605SC</t>
  </si>
  <si>
    <t>5902201359589</t>
  </si>
  <si>
    <t>KFNA0100</t>
  </si>
  <si>
    <t>KFNA10904</t>
  </si>
  <si>
    <t>5902846015925</t>
  </si>
  <si>
    <t>KFNA15904</t>
  </si>
  <si>
    <t>5902846015932</t>
  </si>
  <si>
    <t>KFNA20904</t>
  </si>
  <si>
    <t>5902846015949</t>
  </si>
  <si>
    <t>KFLNL10CBCZ</t>
  </si>
  <si>
    <t>5902846018124</t>
  </si>
  <si>
    <t>KFLNL20CBCZ</t>
  </si>
  <si>
    <t>5902846018148</t>
  </si>
  <si>
    <t>KFLNL30CBCZ</t>
  </si>
  <si>
    <t>5902846018162</t>
  </si>
  <si>
    <t>KFLNL50CBCZ</t>
  </si>
  <si>
    <t>5902846018186</t>
  </si>
  <si>
    <t>LED MHC FLOODLIGHT 10W BLACK 3000K LED2B</t>
  </si>
  <si>
    <t>KFLNLC10CBCZ</t>
  </si>
  <si>
    <t>5902846018216</t>
  </si>
  <si>
    <t>LED MHC FLOODLIGHT 20W BLACK 3000K LED2B</t>
  </si>
  <si>
    <t>KFLNLC20CBCZ</t>
  </si>
  <si>
    <t>5902846018230</t>
  </si>
  <si>
    <t>LED MHC FLOODLIGHT 50W BLACK 3000K LED2B</t>
  </si>
  <si>
    <t>KFLNLC50CBCZ</t>
  </si>
  <si>
    <t>5902846018278</t>
  </si>
  <si>
    <t>KOCA</t>
  </si>
  <si>
    <t>5902846013723</t>
  </si>
  <si>
    <t>KALGSE2785CB</t>
  </si>
  <si>
    <t>5902846015864</t>
  </si>
  <si>
    <t>KALGSE2785NB</t>
  </si>
  <si>
    <t>5902846015871</t>
  </si>
  <si>
    <t>KALGSE2785ZB</t>
  </si>
  <si>
    <t>5902846015987</t>
  </si>
  <si>
    <t>KFSL100NB</t>
  </si>
  <si>
    <t>5902201365016</t>
  </si>
  <si>
    <t>KFSL150NB</t>
  </si>
  <si>
    <t>5902201365023</t>
  </si>
  <si>
    <t>KFSL200NB</t>
  </si>
  <si>
    <t>5902201365030</t>
  </si>
  <si>
    <t>KFSL50NB</t>
  </si>
  <si>
    <t>5902201365009</t>
  </si>
  <si>
    <t>KFUS30905SC</t>
  </si>
  <si>
    <t>5902201364194</t>
  </si>
  <si>
    <t>KFNORC6060C</t>
  </si>
  <si>
    <t>5902201364200</t>
  </si>
  <si>
    <t>KFNOR76060</t>
  </si>
  <si>
    <t>5902201364613</t>
  </si>
  <si>
    <t>KFCP28NB44</t>
  </si>
  <si>
    <t>5902201364590</t>
  </si>
  <si>
    <t>KFCP36PNBU</t>
  </si>
  <si>
    <t>5902201364569</t>
  </si>
  <si>
    <t>KFCP36NB</t>
  </si>
  <si>
    <t>5902201364576</t>
  </si>
  <si>
    <t>KFCP36NBU</t>
  </si>
  <si>
    <t>5902201364583</t>
  </si>
  <si>
    <t>KFCP40NB65</t>
  </si>
  <si>
    <t>5902201364552</t>
  </si>
  <si>
    <t>KFCP50NB</t>
  </si>
  <si>
    <t>5902201364545</t>
  </si>
  <si>
    <t>KALT818WNBR</t>
  </si>
  <si>
    <t>5902201365153</t>
  </si>
  <si>
    <t>KFHS2120</t>
  </si>
  <si>
    <t>5902846017790</t>
  </si>
  <si>
    <t>02NSNF180NB</t>
  </si>
  <si>
    <t>5902201364538</t>
  </si>
  <si>
    <t>KALGU7CB</t>
  </si>
  <si>
    <t>5902846017523</t>
  </si>
  <si>
    <t>KALGU7NB</t>
  </si>
  <si>
    <t>5902846017516</t>
  </si>
  <si>
    <t>KALT818WZBR</t>
  </si>
  <si>
    <t>5902201365160</t>
  </si>
  <si>
    <t>KALT822WNBR</t>
  </si>
  <si>
    <t>5902201365177</t>
  </si>
  <si>
    <t>KALT822WZBR</t>
  </si>
  <si>
    <t>5902201365184</t>
  </si>
  <si>
    <t>KALT89WNBR</t>
  </si>
  <si>
    <t>5902201365139</t>
  </si>
  <si>
    <t>KALT89WZBR</t>
  </si>
  <si>
    <t>5902201365146</t>
  </si>
  <si>
    <t>KFKE20WNBBI</t>
  </si>
  <si>
    <t>5902201368673</t>
  </si>
  <si>
    <t>KFKE20WNBCZ</t>
  </si>
  <si>
    <t>5902201368680</t>
  </si>
  <si>
    <t>KFKE40WNBBI</t>
  </si>
  <si>
    <t>5902201368697</t>
  </si>
  <si>
    <t>KFKE40WNBCZ</t>
  </si>
  <si>
    <t>5902201368703</t>
  </si>
  <si>
    <t>GARLANDS</t>
  </si>
  <si>
    <t>KTMA10M20G</t>
  </si>
  <si>
    <t>5902846019350</t>
  </si>
  <si>
    <t>KTMA20M20G</t>
  </si>
  <si>
    <t>5902846019367</t>
  </si>
  <si>
    <t>KLLABIA</t>
  </si>
  <si>
    <t>5902201368253</t>
  </si>
  <si>
    <t>KLLACZA</t>
  </si>
  <si>
    <t>5902201368246</t>
  </si>
  <si>
    <t>5902201364620</t>
  </si>
  <si>
    <t>KFRP100NB</t>
  </si>
  <si>
    <t>5902201369700</t>
  </si>
  <si>
    <t>KFMS120MBNB</t>
  </si>
  <si>
    <t>5902201371246</t>
  </si>
  <si>
    <t>KFMS120WBNB</t>
  </si>
  <si>
    <t>5902201371253</t>
  </si>
  <si>
    <t>KFMS35MBNB</t>
  </si>
  <si>
    <t>5902201371208</t>
  </si>
  <si>
    <t>KFMS35WBNB</t>
  </si>
  <si>
    <t>5902201371215</t>
  </si>
  <si>
    <t>KFMS80MBNB</t>
  </si>
  <si>
    <t>5902201371222</t>
  </si>
  <si>
    <t>KFMS80WBNB</t>
  </si>
  <si>
    <t>5902201371239</t>
  </si>
  <si>
    <t>9405 21 40</t>
  </si>
  <si>
    <t>KFRPU100</t>
  </si>
  <si>
    <t>5902201369731</t>
  </si>
  <si>
    <t>KFNS12WBI</t>
  </si>
  <si>
    <t>5902201368543</t>
  </si>
  <si>
    <t>KFNS12WCZ</t>
  </si>
  <si>
    <t>5902201368550</t>
  </si>
  <si>
    <t>KFNS18WBI</t>
  </si>
  <si>
    <t>5902201368581</t>
  </si>
  <si>
    <t>KFNS18WCZ</t>
  </si>
  <si>
    <t>5902201368598</t>
  </si>
  <si>
    <t>KFNS24WBI</t>
  </si>
  <si>
    <t>5902201368628</t>
  </si>
  <si>
    <t>KFNS36WBI</t>
  </si>
  <si>
    <t>5902201368666</t>
  </si>
  <si>
    <t>KFNX12WBI</t>
  </si>
  <si>
    <t>5902201368567</t>
  </si>
  <si>
    <t>KFNX12WCZ</t>
  </si>
  <si>
    <t>5902201368574</t>
  </si>
  <si>
    <t>KBCOB320NCB</t>
  </si>
  <si>
    <t>5902201371147</t>
  </si>
  <si>
    <t>KBCOB320NNB</t>
  </si>
  <si>
    <t>5902201371154</t>
  </si>
  <si>
    <t>KBCOB320NZB</t>
  </si>
  <si>
    <t>5902201371161</t>
  </si>
  <si>
    <t>KBCOB320HCB</t>
  </si>
  <si>
    <t>5902201371178</t>
  </si>
  <si>
    <t>KBCOB320HNB</t>
  </si>
  <si>
    <t>5902201371185</t>
  </si>
  <si>
    <t>KBCOB320HZB</t>
  </si>
  <si>
    <t>5902201371192</t>
  </si>
  <si>
    <t>LED KOLINE K1 20W 4000K WHITE PROFESSION</t>
  </si>
  <si>
    <t>LED KOLINE K1 40W 4000K WHITE PROFESSION</t>
  </si>
  <si>
    <t>KTLIORD</t>
  </si>
  <si>
    <t>5902201373752</t>
  </si>
  <si>
    <t>KTLIOSE</t>
  </si>
  <si>
    <t>5902201373769</t>
  </si>
  <si>
    <t>WALL LAMP - DOWN</t>
  </si>
  <si>
    <t>KTLO4102CZAL</t>
  </si>
  <si>
    <t>5906340214853</t>
  </si>
  <si>
    <t>KTLO4102ZLAL</t>
  </si>
  <si>
    <t>5906340214860</t>
  </si>
  <si>
    <t>WALL LAMP - UP</t>
  </si>
  <si>
    <t>KTLO4101CZAL</t>
  </si>
  <si>
    <t>5906340214914</t>
  </si>
  <si>
    <t>KTLO4101ZLAL</t>
  </si>
  <si>
    <t>5906340214921</t>
  </si>
  <si>
    <t>HANGING</t>
  </si>
  <si>
    <t>KTLO4105CZAL</t>
  </si>
  <si>
    <t>5906340215034</t>
  </si>
  <si>
    <t>KTLO4105ZLAL</t>
  </si>
  <si>
    <t>5906340215041</t>
  </si>
  <si>
    <t>KTLQK01CZ</t>
  </si>
  <si>
    <t>5902201373707</t>
  </si>
  <si>
    <t>KTLQK02CZ</t>
  </si>
  <si>
    <t>5902201373714</t>
  </si>
  <si>
    <t>KTLQK03CZ</t>
  </si>
  <si>
    <t>5902201373721</t>
  </si>
  <si>
    <t>KTLQK04CZ</t>
  </si>
  <si>
    <t>5902201373738</t>
  </si>
  <si>
    <t>KTLQK05CZ</t>
  </si>
  <si>
    <t>5902201373745</t>
  </si>
  <si>
    <t>KTLAA30CB</t>
  </si>
  <si>
    <t>5902201370973</t>
  </si>
  <si>
    <t>KTLLE50RGB</t>
  </si>
  <si>
    <t>5902201370997</t>
  </si>
  <si>
    <t>KTLAAZB4</t>
  </si>
  <si>
    <t>5902201370904</t>
  </si>
  <si>
    <t>KTLAAZB6</t>
  </si>
  <si>
    <t>5902201370911</t>
  </si>
  <si>
    <t>KTLEEZB10</t>
  </si>
  <si>
    <t>5902201370898</t>
  </si>
  <si>
    <t>KTLFNZB12</t>
  </si>
  <si>
    <t>5902201370935</t>
  </si>
  <si>
    <t>KTLGMCB5</t>
  </si>
  <si>
    <t>5902201371017</t>
  </si>
  <si>
    <t>KTLGECB5</t>
  </si>
  <si>
    <t>5902201371024</t>
  </si>
  <si>
    <t>KTLGWZB</t>
  </si>
  <si>
    <t>5902201371048</t>
  </si>
  <si>
    <t>KTLHYCB</t>
  </si>
  <si>
    <t>5902201371079</t>
  </si>
  <si>
    <t>KTLLEZB</t>
  </si>
  <si>
    <t>5902201371116</t>
  </si>
  <si>
    <t>KTLLAZB</t>
  </si>
  <si>
    <t>5902201371031</t>
  </si>
  <si>
    <t>KTLPNCB8</t>
  </si>
  <si>
    <t>5902201370928</t>
  </si>
  <si>
    <t>KTLPMZB</t>
  </si>
  <si>
    <t>5902201371055</t>
  </si>
  <si>
    <t>KTLSACB</t>
  </si>
  <si>
    <t>5902201371062</t>
  </si>
  <si>
    <t>KTLSEZB10</t>
  </si>
  <si>
    <t>5902201371000</t>
  </si>
  <si>
    <t>KTLSEZB</t>
  </si>
  <si>
    <t>5902201371093</t>
  </si>
  <si>
    <t>KTLST10ZB</t>
  </si>
  <si>
    <t>5902201370942</t>
  </si>
  <si>
    <t>KTLST20CB</t>
  </si>
  <si>
    <t>5902201370959</t>
  </si>
  <si>
    <t>KTLST30CB</t>
  </si>
  <si>
    <t>5902201370966</t>
  </si>
  <si>
    <t>KTLSK300CB</t>
  </si>
  <si>
    <t>5902201370980</t>
  </si>
  <si>
    <t>KTLSEZB4</t>
  </si>
  <si>
    <t>5902201371109</t>
  </si>
  <si>
    <t>KTLSYZB</t>
  </si>
  <si>
    <t>5902201371086</t>
  </si>
  <si>
    <t>LUMOS</t>
  </si>
  <si>
    <t>POWER BANKS</t>
  </si>
  <si>
    <t>FAN HEATERS</t>
  </si>
  <si>
    <t>STREET LIGHTING</t>
  </si>
  <si>
    <t>LIGHTING FOR SHOPS AND ACCESSORIES</t>
  </si>
  <si>
    <t>LINEAR LIGHTING</t>
  </si>
  <si>
    <t>TECHNICAL LIGHTING</t>
  </si>
  <si>
    <t>ACCESSORIES FOR NEXTRACK</t>
  </si>
  <si>
    <t>EXTENSION CORDS</t>
  </si>
  <si>
    <t>STARTERS</t>
  </si>
  <si>
    <t>KALFSTE271CB</t>
  </si>
  <si>
    <t>5902201369892</t>
  </si>
  <si>
    <t>KAT818WCBP</t>
  </si>
  <si>
    <t>5902201359442</t>
  </si>
  <si>
    <t>KFAA10124</t>
  </si>
  <si>
    <t>5902201375961</t>
  </si>
  <si>
    <t>KFAA10904</t>
  </si>
  <si>
    <t>5902201375954</t>
  </si>
  <si>
    <t>KFNO12694</t>
  </si>
  <si>
    <t>5902201375978</t>
  </si>
  <si>
    <t>KFCO50NB</t>
  </si>
  <si>
    <t>5902201375947</t>
  </si>
  <si>
    <t>KTMA20M20X1W</t>
  </si>
  <si>
    <t>5902201374308</t>
  </si>
  <si>
    <t>KTMA210M10G</t>
  </si>
  <si>
    <t>5902201378177</t>
  </si>
  <si>
    <t>KDSN00000004</t>
  </si>
  <si>
    <t>5902201373639</t>
  </si>
  <si>
    <t>KDSN00000006</t>
  </si>
  <si>
    <t>5902201373653</t>
  </si>
  <si>
    <t>KDSN00000005</t>
  </si>
  <si>
    <t>5902201373646</t>
  </si>
  <si>
    <t>WALL LAMP Q8 - DOUBLE</t>
  </si>
  <si>
    <t>KTLOQZ9CZ</t>
  </si>
  <si>
    <t>5900605097403</t>
  </si>
  <si>
    <t>KTLOQZ9SZ</t>
  </si>
  <si>
    <t>5900605097410</t>
  </si>
  <si>
    <t>KTLZNZB10</t>
  </si>
  <si>
    <t>5902201370881</t>
  </si>
  <si>
    <t>KVLXRZH</t>
  </si>
  <si>
    <t>5902201375992</t>
  </si>
  <si>
    <t>KVLXZH</t>
  </si>
  <si>
    <t>5902201375985</t>
  </si>
  <si>
    <t>KVLXRC</t>
  </si>
  <si>
    <t>KFAAU100</t>
  </si>
  <si>
    <t>5902201376005</t>
  </si>
  <si>
    <t>KDSN00000009</t>
  </si>
  <si>
    <t>5902201373578</t>
  </si>
  <si>
    <t>KDSN00000012</t>
  </si>
  <si>
    <t>5902201373608</t>
  </si>
  <si>
    <t>KDSN00000013</t>
  </si>
  <si>
    <t>5902201373615</t>
  </si>
  <si>
    <t>KDSN00000014</t>
  </si>
  <si>
    <t>5902201373622</t>
  </si>
  <si>
    <t>KDSN00000010</t>
  </si>
  <si>
    <t>5902201373585</t>
  </si>
  <si>
    <t>KDSN00000011</t>
  </si>
  <si>
    <t>5902201373592</t>
  </si>
  <si>
    <t>KDSN00000008</t>
  </si>
  <si>
    <t>5902201373561</t>
  </si>
  <si>
    <t>KDSN00000007</t>
  </si>
  <si>
    <t>5902201373554</t>
  </si>
  <si>
    <t>KDSN00000002</t>
  </si>
  <si>
    <t>5902201370737</t>
  </si>
  <si>
    <t>KDSN00000001</t>
  </si>
  <si>
    <t>5902201370720</t>
  </si>
  <si>
    <t>KDSN00000003</t>
  </si>
  <si>
    <t>5902201370744</t>
  </si>
  <si>
    <t>KFZP00000001</t>
  </si>
  <si>
    <t>5902201375596</t>
  </si>
  <si>
    <t>KFZP00000002</t>
  </si>
  <si>
    <t>5902201375602</t>
  </si>
  <si>
    <t>KFZP00000003</t>
  </si>
  <si>
    <t>5902201375619</t>
  </si>
  <si>
    <t>LED NICO HIGH BAY 120W 60X90° 4000K IP65</t>
  </si>
  <si>
    <t>KFHF14NB</t>
  </si>
  <si>
    <t>5902201374414</t>
  </si>
  <si>
    <t>LED BRISBANE 36W 30X120 4000K BLACK PREM</t>
  </si>
  <si>
    <t>KFBEP36NBC</t>
  </si>
  <si>
    <t>5902201375572</t>
  </si>
  <si>
    <t>LED BRISBANE 36W 30X120 4000K WHITE PREM</t>
  </si>
  <si>
    <t>KFBEP36NBB</t>
  </si>
  <si>
    <t>5902201375565</t>
  </si>
  <si>
    <t>LED BRISBANE 36W 60X60 4000K BLACK PREMI</t>
  </si>
  <si>
    <t>KFBE36NBC</t>
  </si>
  <si>
    <t>5902201375558</t>
  </si>
  <si>
    <t>LED BRISBANE 36W 60X60 4000K WHITE PREMI</t>
  </si>
  <si>
    <t>KFBE36NBB</t>
  </si>
  <si>
    <t>5902201375541</t>
  </si>
  <si>
    <t>KTMA10M10X1W</t>
  </si>
  <si>
    <t>5902201374292</t>
  </si>
  <si>
    <t>5902201382907</t>
  </si>
  <si>
    <t>KRBOBUMCZ</t>
  </si>
  <si>
    <t>5902201366280</t>
  </si>
  <si>
    <t>KRBOBUSCZ</t>
  </si>
  <si>
    <t>5902201366273</t>
  </si>
  <si>
    <t>KRBOBTCZ</t>
  </si>
  <si>
    <t>5902201366310</t>
  </si>
  <si>
    <t>KRBOBNCZ</t>
  </si>
  <si>
    <t>5902201366242</t>
  </si>
  <si>
    <t>KRBOBICZ</t>
  </si>
  <si>
    <t>5902201366303</t>
  </si>
  <si>
    <t>KRBOBNNCZ</t>
  </si>
  <si>
    <t>5902201366297</t>
  </si>
  <si>
    <t>KRBOBACZ</t>
  </si>
  <si>
    <t>5902201366235</t>
  </si>
  <si>
    <t>KRBOBIMCZ</t>
  </si>
  <si>
    <t>5902201366266</t>
  </si>
  <si>
    <t>KRBOBISCZ</t>
  </si>
  <si>
    <t>5902201366259</t>
  </si>
  <si>
    <t>KRBOROCZ</t>
  </si>
  <si>
    <t>5902201366334</t>
  </si>
  <si>
    <t>KRBORSCZ</t>
  </si>
  <si>
    <t>5902201366372</t>
  </si>
  <si>
    <t>KRBORACZ</t>
  </si>
  <si>
    <t>5902201366228</t>
  </si>
  <si>
    <t>KRBORDCZ</t>
  </si>
  <si>
    <t>5902201366389</t>
  </si>
  <si>
    <t>KRBOSUCZ</t>
  </si>
  <si>
    <t>5902201366365</t>
  </si>
  <si>
    <t>KRBOSACZ</t>
  </si>
  <si>
    <t>5902201366358</t>
  </si>
  <si>
    <t>KRBOVACZ</t>
  </si>
  <si>
    <t>5902201366327</t>
  </si>
  <si>
    <t>KRBOVNCZ</t>
  </si>
  <si>
    <t>5902201366341</t>
  </si>
  <si>
    <t>KTBA10M10G1W</t>
  </si>
  <si>
    <t>5902201369946</t>
  </si>
  <si>
    <t>KTBA10M20G1W</t>
  </si>
  <si>
    <t>5902201369953</t>
  </si>
  <si>
    <t>KTBA15M15G1W</t>
  </si>
  <si>
    <t>5902201369960</t>
  </si>
  <si>
    <t>KTBA20M20G1W</t>
  </si>
  <si>
    <t>5902201369977</t>
  </si>
  <si>
    <t>LED ES111 GU10 15W 4000K</t>
  </si>
  <si>
    <t>LED FDE E14 4W 3000K</t>
  </si>
  <si>
    <t>LED FMB E14 4W 3000K</t>
  </si>
  <si>
    <t>LED FSW E14 4W 3000K</t>
  </si>
  <si>
    <t>LED FG125 7W E27 2700K</t>
  </si>
  <si>
    <t>LED FGS 7W E27 3000K</t>
  </si>
  <si>
    <t>LED FGS 7W E27 4000K</t>
  </si>
  <si>
    <t>LED FGS 11,5W E27 3000K</t>
  </si>
  <si>
    <t>LED FGS 11,5W E27 4000K</t>
  </si>
  <si>
    <t>LED FMB 1,3W E27 3000K</t>
  </si>
  <si>
    <t>LED FMB E27 4W 3000K</t>
  </si>
  <si>
    <t>LED FST64 7W E27 2700K</t>
  </si>
  <si>
    <t>LED ST45 1W E27 2700K LED2B</t>
  </si>
  <si>
    <t>LED G4 1,5W 3000K</t>
  </si>
  <si>
    <t>LED G4 1,5W 4000K</t>
  </si>
  <si>
    <t>LED G4 2W 3000K</t>
  </si>
  <si>
    <t>LED G4 2W 4000K</t>
  </si>
  <si>
    <t>LED G9 3W 3000K</t>
  </si>
  <si>
    <t>LED G9 3W 6000K</t>
  </si>
  <si>
    <t>LED G9 4W 3000K</t>
  </si>
  <si>
    <t>LED G9 4W 4000K</t>
  </si>
  <si>
    <t>LED G9 4W 6000K</t>
  </si>
  <si>
    <t>LED G9 6W 3000K</t>
  </si>
  <si>
    <t>LED G9 6W 4000K</t>
  </si>
  <si>
    <t>LED G9 6W 6000K</t>
  </si>
  <si>
    <t>LED G120 24W E27 3000K</t>
  </si>
  <si>
    <t>LED G120 24W E27 4000K</t>
  </si>
  <si>
    <t>LED GS 7W E27 3000K</t>
  </si>
  <si>
    <t>LED GS 7W E27 4000K</t>
  </si>
  <si>
    <t>LED GS 7W E27 6000K</t>
  </si>
  <si>
    <t>LED GS 7W E27 3000K LED2B</t>
  </si>
  <si>
    <t>LED GS 7W E27 4000K LED2B</t>
  </si>
  <si>
    <t>LED GS 7W E27 6000K LED2B</t>
  </si>
  <si>
    <t>LED GS 8,5W E27 3000K LED2B</t>
  </si>
  <si>
    <t>LED GS 8,5W E27 4000K LED2B</t>
  </si>
  <si>
    <t>LED GS 8,5W E27 6500K LED2B</t>
  </si>
  <si>
    <t>LED GS 9W E27 3000K LX PREMIUM</t>
  </si>
  <si>
    <t>LED GS 9W E27 4000K LX PREMIUM</t>
  </si>
  <si>
    <t>LED GS 9W E27 6500K LX PREMIUM</t>
  </si>
  <si>
    <t>SMART LED 14W E27 RGB CCT WIFI</t>
  </si>
  <si>
    <t>LED GS 10W E27 3000K</t>
  </si>
  <si>
    <t>LED GS 10W E27 4000K</t>
  </si>
  <si>
    <t>LED GS 10W E27 6000K</t>
  </si>
  <si>
    <t>LED GS 11W E27 3000K LED2B</t>
  </si>
  <si>
    <t>LED GS 11W E27 4000K LED2B</t>
  </si>
  <si>
    <t>LED GS 11W E27 6500K LED2B</t>
  </si>
  <si>
    <t>LED GS 11W E27 3000K PREMIUM</t>
  </si>
  <si>
    <t>LED GS 13W E27 3000K</t>
  </si>
  <si>
    <t>LED GS 13W E27 4000K</t>
  </si>
  <si>
    <t>LED GS 13W E27 6000K</t>
  </si>
  <si>
    <t>LED GS 15W E27 3000K</t>
  </si>
  <si>
    <t>LED GS 15W E27 4000K</t>
  </si>
  <si>
    <t>LED GS 15W E27 6000K</t>
  </si>
  <si>
    <t>LED GS 18W E27 3000K</t>
  </si>
  <si>
    <t>LED GS 18W E27 4000K</t>
  </si>
  <si>
    <t>LED GS 18W E27 6000K</t>
  </si>
  <si>
    <t>LED GU10 1W 3000K</t>
  </si>
  <si>
    <t>LED GU10 1W 4000K</t>
  </si>
  <si>
    <t>LED GU10 1W 6000K</t>
  </si>
  <si>
    <t>LED GU10 3W 3000K PREMIUM</t>
  </si>
  <si>
    <t>LED GU10 3W 4000K PREMIUM</t>
  </si>
  <si>
    <t>LED GU10 3W 6200K PREMIUM</t>
  </si>
  <si>
    <t>LED GU10 5W 3000K</t>
  </si>
  <si>
    <t>LED GU10 5W 4000K</t>
  </si>
  <si>
    <t>LED GU10 5W 6000K</t>
  </si>
  <si>
    <t>LED GU10 5W 3000K PREMIUM</t>
  </si>
  <si>
    <t>LED GU10 5W 4000K PREMIUM</t>
  </si>
  <si>
    <t>LED GU10 5W 6500K PREMIUM</t>
  </si>
  <si>
    <t>LED GU10 7W 3000K</t>
  </si>
  <si>
    <t>LED GU10 7W 4000K</t>
  </si>
  <si>
    <t>LED GU10 7W 6000K</t>
  </si>
  <si>
    <t>LED GU10 7W 3000K LED2B</t>
  </si>
  <si>
    <t>LED GU10 7W 4000K LED2B</t>
  </si>
  <si>
    <t>LED GU10 7W 3000K PREMIUM</t>
  </si>
  <si>
    <t>LED GU10 7W 4000K PREMIUM</t>
  </si>
  <si>
    <t>LED GU10 7W 6500K PREMIUM</t>
  </si>
  <si>
    <t>LED GU10 9W 3000K PREMIUM</t>
  </si>
  <si>
    <t>LED GU10 9W 4000K PREMIUM</t>
  </si>
  <si>
    <t>LED GU10 9W 6000K PREMIUM</t>
  </si>
  <si>
    <t>LED J78 8W R7S 3000K</t>
  </si>
  <si>
    <t>LED J78 8W R7S 4000K</t>
  </si>
  <si>
    <t>LED J118 15W R7S 3000K</t>
  </si>
  <si>
    <t>LED J118 15W R7S 4000K</t>
  </si>
  <si>
    <t>LED MB 4,5W E14 3000K</t>
  </si>
  <si>
    <t>LED MB 4,5W E14 4000K</t>
  </si>
  <si>
    <t>LED MB 4,5W E14 6000K</t>
  </si>
  <si>
    <t>LED MB 6W E14 3000K</t>
  </si>
  <si>
    <t>LED MB 6W E14 4000K</t>
  </si>
  <si>
    <t>LED MB 6W E14 6000K</t>
  </si>
  <si>
    <t>LED MB 7W E14 3000K LED2B</t>
  </si>
  <si>
    <t>LED MB 7W E14 4000K LED2B</t>
  </si>
  <si>
    <t>LED MB 7W E14 6000K LED2B</t>
  </si>
  <si>
    <t>LED MB 9W E14 3000K PREMIUM</t>
  </si>
  <si>
    <t>LED MB 9W E14 4000K PREMIUM</t>
  </si>
  <si>
    <t>LED MB 9W E14 6000K PREMIUM</t>
  </si>
  <si>
    <t>LED MB 4,5W E27 3000K</t>
  </si>
  <si>
    <t>LED MB 4,5W E27 4000K</t>
  </si>
  <si>
    <t>LED MB 4,5W E27 6000K</t>
  </si>
  <si>
    <t>LED MB 6W E27 3000K</t>
  </si>
  <si>
    <t>LED MB 6W E27 4000K</t>
  </si>
  <si>
    <t>LED MB 6W E27 6000K</t>
  </si>
  <si>
    <t>LED MB 7W E27 3000K LED2B</t>
  </si>
  <si>
    <t>LED MB 7W E27 4000K LED2B</t>
  </si>
  <si>
    <t>LED MB 7W E27 6000K LED2B</t>
  </si>
  <si>
    <t>LED MB 9W E27 3000K WW PREMIUM</t>
  </si>
  <si>
    <t>LED MB 9W E27 4000K NW PREMIUM</t>
  </si>
  <si>
    <t>LED MB 9W E27 6000K PREMIUM</t>
  </si>
  <si>
    <t>LED MR11 4W GU10 3000K</t>
  </si>
  <si>
    <t>LED MR11 4W GU10 4000K</t>
  </si>
  <si>
    <t>LED MR11 4W GU10 6000K</t>
  </si>
  <si>
    <t>LED R50 5W E14 3000K</t>
  </si>
  <si>
    <t>LED R50 5W E14 4000K</t>
  </si>
  <si>
    <t>LED R63 8W E27 3000K</t>
  </si>
  <si>
    <t>LED R63 8W E27 4000K</t>
  </si>
  <si>
    <t>LED R63 8W E27 6000K</t>
  </si>
  <si>
    <t>LED SW 1,5W E14 4000K</t>
  </si>
  <si>
    <t>LED SW 1,5W E14 6000K</t>
  </si>
  <si>
    <t>LED SW 3W E14 3000K</t>
  </si>
  <si>
    <t>LED SW 4,5W E14 3000K</t>
  </si>
  <si>
    <t>LED SW 4,5W E14 4000K</t>
  </si>
  <si>
    <t>LED SW 4,5W E14 6000K</t>
  </si>
  <si>
    <t>LED SW 6W E14 3000K</t>
  </si>
  <si>
    <t>LED SW 6W E14 4000K</t>
  </si>
  <si>
    <t>LED SW 6W E14 6000K</t>
  </si>
  <si>
    <t>LED SW 7W E14 3000K LED2B</t>
  </si>
  <si>
    <t>LED SW 7W E14 4000K LED2B</t>
  </si>
  <si>
    <t>LED SW 7W E14 6000K LED2B</t>
  </si>
  <si>
    <t>LED SW 9W E14 3000K PREMIUM</t>
  </si>
  <si>
    <t>LED SW 9W E14 4000K PREMIUM</t>
  </si>
  <si>
    <t>LED SW 9W E14 6000K  PREMIUM</t>
  </si>
  <si>
    <t>LED SW 4,5W E27 3000K</t>
  </si>
  <si>
    <t>LED SW 6W E27 3000K</t>
  </si>
  <si>
    <t>LED SW 6W E27 4000K</t>
  </si>
  <si>
    <t>LED SW 6W E27 6000K</t>
  </si>
  <si>
    <t>LED SW 7W E27 3000K LED2B</t>
  </si>
  <si>
    <t>LED SW 7W E27 4000K LED2B</t>
  </si>
  <si>
    <t>LED SW 7W E27 6000K LED2B</t>
  </si>
  <si>
    <t>LED SW 9W E27 3000K  PREMIUM</t>
  </si>
  <si>
    <t>LED SW 9W E27 4000K  PREMIUM</t>
  </si>
  <si>
    <t>LED SW 9W E27 6000K ZB PREMIUM</t>
  </si>
  <si>
    <t>LED T 2W E14 4000K</t>
  </si>
  <si>
    <t>LED T 4,2W E14 4000K</t>
  </si>
  <si>
    <t>LED T8 8W 60CM 6500K LED2B</t>
  </si>
  <si>
    <t>LED T8 9W 60CM 4000K LED2B</t>
  </si>
  <si>
    <t>LED T8 9W 60CM 6500K LED2B</t>
  </si>
  <si>
    <t>LED T8 9W 60CM 4000K LED2B RED</t>
  </si>
  <si>
    <t>LED T8 9W 60CM 6500K LED2B RED</t>
  </si>
  <si>
    <t>LED T8 9W 60CM 4000K PREMIUM</t>
  </si>
  <si>
    <t>LED T8 9W 60CM 6500K PREMIUM</t>
  </si>
  <si>
    <t>LED T8 18W 120CM 6500K LED2B</t>
  </si>
  <si>
    <t>LED T8 18W 120CM 4000K LED2B</t>
  </si>
  <si>
    <t>LED T8 18W 120CM 4000K LED2B RED</t>
  </si>
  <si>
    <t>LED T8 18W 120CM 6500K LED2B RED</t>
  </si>
  <si>
    <t>LED T8 18W 120CM 4000K PREMIUM</t>
  </si>
  <si>
    <t>LED T8 18W 120CM 6500K PREMIUM</t>
  </si>
  <si>
    <t>LED T8 22W 150CM 4000K LED2B</t>
  </si>
  <si>
    <t>LED T8 22W 150CM 6500K LED2B</t>
  </si>
  <si>
    <t>LED T8 22W 150CM 4000K LED2B RED</t>
  </si>
  <si>
    <t>LED T8 22W 150CM 6500K LED2B RED</t>
  </si>
  <si>
    <t>LED T8 22W 150CM 4000K PREMIUM</t>
  </si>
  <si>
    <t>LED T8 22W 150CM 6500K PREMIUM</t>
  </si>
  <si>
    <t>LED INSERT 5W 3000K MILKY</t>
  </si>
  <si>
    <t>LED INSERT 5W 4000K MILKY</t>
  </si>
  <si>
    <t>LED INSERT 5W 6000K MILKY</t>
  </si>
  <si>
    <t>LED INSERT 6,5W 3000K MILKY</t>
  </si>
  <si>
    <t>LED INSERT 6,5W 4000K MILKY</t>
  </si>
  <si>
    <t>LED INSERT 6,5W 6000K MILKY</t>
  </si>
  <si>
    <t>LED STRIP 300 2835 IP20 WW 5M BIA</t>
  </si>
  <si>
    <t>LED STRIP 300 2835 IP65 WW 5M PREMIUM</t>
  </si>
  <si>
    <t>LED TRAMO 300 2835 IP65 GREEN 5M</t>
  </si>
  <si>
    <t>LED TRAMO 300 2835 IP65 RED 5M</t>
  </si>
  <si>
    <t>LED TRAMO 300 2835 IP65 YELLOW 5M</t>
  </si>
  <si>
    <t>LED TRAMO 300 2835 IP20 GREEN 5M</t>
  </si>
  <si>
    <t>LED TRAMO 300 2835 IP20 RED 5M</t>
  </si>
  <si>
    <t>LED TRAMO 300 2835 IP20 YELLOW 5M</t>
  </si>
  <si>
    <t>LED TRAMO 320 COB IP20 3000K 5M</t>
  </si>
  <si>
    <t>LED TRAMO 320 COB IP20 4000K 5M</t>
  </si>
  <si>
    <t>LED TRAMO 320 COB IP20 6500K 5M</t>
  </si>
  <si>
    <t>LED TRAMO 320 COB IP65 3000K 5M</t>
  </si>
  <si>
    <t>LED TRAMO 320 COB IP65 4000K 5M</t>
  </si>
  <si>
    <t>LED TRAMO 320 COB IP65 6500K 5M</t>
  </si>
  <si>
    <t>LUMOS LED SET 3000K IP20 3M</t>
  </si>
  <si>
    <t>LUMOS LED SET 4000K IP20 3M</t>
  </si>
  <si>
    <t>LED TRAMO 150 5050 IP20 RGB 5M</t>
  </si>
  <si>
    <t>LED TRAMO 300 5050 IP20 RGB 5M</t>
  </si>
  <si>
    <t>LED NEXTUBE T8 18W 120CM 4000K</t>
  </si>
  <si>
    <t>LED NEXTUBE T8 24W 150CM 4000K</t>
  </si>
  <si>
    <t>KOBI POWER BOX 1000W</t>
  </si>
  <si>
    <t>KOBI POWER BOX 600W</t>
  </si>
  <si>
    <t>KOBI SUNFLASH 100W</t>
  </si>
  <si>
    <t>KOBI SUNFLASH 300W</t>
  </si>
  <si>
    <t>CONVECTOR HEATER SONDO 2000W TURBO</t>
  </si>
  <si>
    <t>OIL HEATER YUGO-11</t>
  </si>
  <si>
    <t>FLOOR FAN VIENTO 45W WHITE</t>
  </si>
  <si>
    <t>FLOOR FAN VIENTO 45W BLACK</t>
  </si>
  <si>
    <t>FLOOR FAN VIENTO 100W</t>
  </si>
  <si>
    <t>NEXTRACK S-LINE 1XGU10 WHITE</t>
  </si>
  <si>
    <t>NEXTRACK S-LINE 1XGU10 BLACK</t>
  </si>
  <si>
    <t>IMPA PRO 40W M 4000K P</t>
  </si>
  <si>
    <t>IMPA PRO 40W T 4000K P</t>
  </si>
  <si>
    <t>IMPA STANDARD M 20W 4000K</t>
  </si>
  <si>
    <t>IMPA STANDARD M 40W 4000K</t>
  </si>
  <si>
    <t>IMPA STANDARD T 20W 4000K</t>
  </si>
  <si>
    <t>IMPA STANDARD T 40W 4000K</t>
  </si>
  <si>
    <t>LED NEO HIGH BAY 150W 110° 4000K IP65</t>
  </si>
  <si>
    <t>LED NEO HIGH BAY 200W 110° 4000K IP65</t>
  </si>
  <si>
    <t>LED NEXEYE NE1 PT 15W 4000K IP44</t>
  </si>
  <si>
    <t>LED NEXEYE NE1 PT 15W 4000K IP44 DALI</t>
  </si>
  <si>
    <t>LED NEXEYE NE1 PT 20W 4000K IP44</t>
  </si>
  <si>
    <t>LED NEXEYE NE1 PT 20W 4000K IP44 DALI</t>
  </si>
  <si>
    <t>LED NEXEYE NE1 PT 30W 4000K IP44</t>
  </si>
  <si>
    <t>LED NEXEYE NE1 PT 30W 4000K IP44 DALI</t>
  </si>
  <si>
    <t>LED NEXFORCE1 20W 4000K</t>
  </si>
  <si>
    <t>LED NEXFORCE1 40W 4000K</t>
  </si>
  <si>
    <t>LED NEXFORCE1 60W 4000K</t>
  </si>
  <si>
    <t>LED NEXPRO FL 150W 4000K 45/80ST</t>
  </si>
  <si>
    <t>LED US 300W 5000K 90ST IP65 DIM</t>
  </si>
  <si>
    <t>LED US 500W 5000K 60ST IP66 DIM</t>
  </si>
  <si>
    <t>LIGHTING FIXTURE WEGA 75W/PC E27 WHITE</t>
  </si>
  <si>
    <t>LED HPL1 30W 120 PRO DALI</t>
  </si>
  <si>
    <t>LED HPL1 30W 120 PRO P</t>
  </si>
  <si>
    <t>LED HPL1 30W 90 PRO DALI</t>
  </si>
  <si>
    <t>LED HPL1 30W 90 PRO P</t>
  </si>
  <si>
    <t>LED HPL1 45W 120 PRO DALI</t>
  </si>
  <si>
    <t>LED HPL1 45W 120 PRO P</t>
  </si>
  <si>
    <t>LED HPL1 45W 90 PRO DALI</t>
  </si>
  <si>
    <t>LED HPL1 45W 90 PRO P</t>
  </si>
  <si>
    <t>LED HPL1 60W 120 PRO DALI</t>
  </si>
  <si>
    <t>LED HPL1 60W 120 PRO P</t>
  </si>
  <si>
    <t>LED HPL1 60W 90 PRO DALI</t>
  </si>
  <si>
    <t>LED HPL1 60W 90 PRO P</t>
  </si>
  <si>
    <t>LED HPL1 75W 120 PRO DALI P</t>
  </si>
  <si>
    <t>LED HPL1 75W 120 PRO P</t>
  </si>
  <si>
    <t>LED HPL1 75W 90 PRO DALI</t>
  </si>
  <si>
    <t>LED HPL1 75W 90 PRO P</t>
  </si>
  <si>
    <t>LED HPL2 60W 120 PRO DALI</t>
  </si>
  <si>
    <t>LED HPL2 60W 120 PRO P</t>
  </si>
  <si>
    <t>LED HPL2 60W 90 PRO DALI</t>
  </si>
  <si>
    <t>LED HPL2 60W 90 PRO P</t>
  </si>
  <si>
    <t>LED HPL2 90W 120 PRO DALI</t>
  </si>
  <si>
    <t>LED HPL2 90W 120 PRO P</t>
  </si>
  <si>
    <t>LED HPL2 90W 90 PRO DALI</t>
  </si>
  <si>
    <t>LED HPL2 90W 90 PRO P</t>
  </si>
  <si>
    <t>LED HPL2 120W 120 PRO DALI</t>
  </si>
  <si>
    <t>LED HPL2 120W 120 PRO P</t>
  </si>
  <si>
    <t>LED HPL2 120W 90 PRO DALI</t>
  </si>
  <si>
    <t>LED HPL2 120W 90 PRO P</t>
  </si>
  <si>
    <t>LED HPL2 150W 120 PRO DALI</t>
  </si>
  <si>
    <t>LED HPL2 150W 120 PRO P</t>
  </si>
  <si>
    <t>LED HPL2 150W 90 PRO DALI</t>
  </si>
  <si>
    <t>LED HPL2 150W 90 PRO P</t>
  </si>
  <si>
    <t>CEILING LAMP ROMERO 2XE27 ROUND</t>
  </si>
  <si>
    <t>CEILING LAMP ROMERO 2XE27 ROUND BLACK</t>
  </si>
  <si>
    <t>CEILING LAMP SAMIRA B 2XE27 SQUARE</t>
  </si>
  <si>
    <t>SAMIRA B 2XE27 SQUARE BLACK</t>
  </si>
  <si>
    <t>CEILING LAMPSAMIRA S 2XE27 SQUARE</t>
  </si>
  <si>
    <t>PROCETION FOR NEO HB 150W/200W</t>
  </si>
  <si>
    <t>PROTECTIVE MESH FOR NINA HB 100W</t>
  </si>
  <si>
    <t>PROTECTIVE MESH FOR NINA HB 150W</t>
  </si>
  <si>
    <t>PROTECTIVE MESH FOR NINA HB 200W</t>
  </si>
  <si>
    <t>HANDLE FOR NEO HB 100W</t>
  </si>
  <si>
    <t>HANDLE FOR NEO HB 150W/200W</t>
  </si>
  <si>
    <t>HANDLE FOR NINA HB 100W</t>
  </si>
  <si>
    <t>HANDLE FOR NINA HB 150W</t>
  </si>
  <si>
    <t>HANDLE FOR NINA HB 200W</t>
  </si>
  <si>
    <t>WIRE FOR LED PANEL</t>
  </si>
  <si>
    <t>PANEL FRAME 30X120 CLICK</t>
  </si>
  <si>
    <t>PANEL FRAME 30X60 CLICK</t>
  </si>
  <si>
    <t>PANEL FRAME 60X60 CLICK</t>
  </si>
  <si>
    <t>PANEL FRAME 63MM 30X120 CLICK</t>
  </si>
  <si>
    <t>PANEL FRAME 63MM 60X60 CLICK</t>
  </si>
  <si>
    <t>CLASP FOR A DRYWALL NELIO</t>
  </si>
  <si>
    <t>FRAME FOR LED PANEL 70MM 60X60 CLICK</t>
  </si>
  <si>
    <t>HERMES 2X120 LED2B</t>
  </si>
  <si>
    <t>HERMETIC 1X60</t>
  </si>
  <si>
    <t>HERMETIC 1X120</t>
  </si>
  <si>
    <t>HERMETIC 1X150</t>
  </si>
  <si>
    <t>HERMETIC 2X120</t>
  </si>
  <si>
    <t>HERMETIC 2X150</t>
  </si>
  <si>
    <t>HERMETIC 2X60</t>
  </si>
  <si>
    <t>HERMIC 1X120</t>
  </si>
  <si>
    <t>HERMIC 2X60</t>
  </si>
  <si>
    <t>HERMIC 2X120</t>
  </si>
  <si>
    <t>LED CORTEZ 2 60W/4000K/5400LM 120</t>
  </si>
  <si>
    <t>LED CORTEZ 3 18W 4000K</t>
  </si>
  <si>
    <t>LED CORTEZ 3 36W 4000K</t>
  </si>
  <si>
    <t>LED CORTEZ 3 45W 4000K</t>
  </si>
  <si>
    <t>LED NEGRO 36W 4000K</t>
  </si>
  <si>
    <t>LED NEGRO 36W 6000K</t>
  </si>
  <si>
    <t>SET HERMETIC 1X120 + LED T8 18W 4000K</t>
  </si>
  <si>
    <t>SET HERMETIC 2X60 + LED T8 9W 4000K</t>
  </si>
  <si>
    <t>HERMETIC 2X120 SET + 2XLED T8 18W 4000K</t>
  </si>
  <si>
    <t>HERMETIC 2X120 SET + 2XLED T8 18W 6500K</t>
  </si>
  <si>
    <t>LED KOBI SEUL 100W 4000K</t>
  </si>
  <si>
    <t>LED KOBI SEUL 150W 4000K</t>
  </si>
  <si>
    <t>LED KOBI SEUL 200W 4000K</t>
  </si>
  <si>
    <t>LED KOBI SEUL 50W 4000K</t>
  </si>
  <si>
    <t>LED NINA HIGH BAY 100W 90° 4000K IP65</t>
  </si>
  <si>
    <t>LED NINA HIGH BAY 150W 90° 4000K IP65</t>
  </si>
  <si>
    <t>LED NINA HIGH BAY 200W 90° 4000K IP65</t>
  </si>
  <si>
    <t>LED NINA HIGH BAY 150W 110° 4000K IP65</t>
  </si>
  <si>
    <t>LED NINA HIGH BAY 200W 110° 4000K IP65</t>
  </si>
  <si>
    <t>LED RIO HIGH BAY 150W 4000K</t>
  </si>
  <si>
    <t>LED RIO PRO 100W 4000K</t>
  </si>
  <si>
    <t>LED RIO PRO 150W 4000K</t>
  </si>
  <si>
    <t>KFRP150NB</t>
  </si>
  <si>
    <t>5902201369717</t>
  </si>
  <si>
    <t>LED RIO PRO 200W 4000K</t>
  </si>
  <si>
    <t>KFRP200NB</t>
  </si>
  <si>
    <t>5902201369724</t>
  </si>
  <si>
    <t>LED ANICA HIGH BAY 100W 120° 4000K IP65</t>
  </si>
  <si>
    <t>LED ANICA HIGH BAY 100W 90° 4000K IP65</t>
  </si>
  <si>
    <t>LED MH FLOODLIGHT 10W BLACK 3000K LED2B</t>
  </si>
  <si>
    <t>LED MH FLOODLIGHT 10W BLACK 4000K LED2B</t>
  </si>
  <si>
    <t>LED MH FLOODLIGHT 10W BLACK 6000K LED2B</t>
  </si>
  <si>
    <t>LED MH FLOODLIGHT 20W BLACK 3000K LED2B</t>
  </si>
  <si>
    <t>LED MH FLOODLIGHT 20W BLACK 4000K LED2B</t>
  </si>
  <si>
    <t>LED MH FLOODLIGHT 20W BLACK 6000K LED2B</t>
  </si>
  <si>
    <t>LED MH FLOODLIGHT 30W BLACK 3000K LED2B</t>
  </si>
  <si>
    <t>LED MH FLOODLIGHT 30W BLACK 4000K LED2B</t>
  </si>
  <si>
    <t>LED MH FLOODLIGHT 30W BLACK 6000K LED2B</t>
  </si>
  <si>
    <t>LED MH FLOODLIGHT 50W BLACK 3000K LED2B</t>
  </si>
  <si>
    <t>LED MH FLOODLIGHT 50W BLACK 4000K LED2B</t>
  </si>
  <si>
    <t>LED MH FLOODLIGHT 50W BLACK 6000K LED2B</t>
  </si>
  <si>
    <t>LED MHN 10W 4000K</t>
  </si>
  <si>
    <t>LED MHN 10W 6500K</t>
  </si>
  <si>
    <t>LED MHN 20W 6500K</t>
  </si>
  <si>
    <t>LED MHN 30W 6500K</t>
  </si>
  <si>
    <t>LED MHN SMD FLOODLIGHT 100W 6000K</t>
  </si>
  <si>
    <t>LED TIGRA P 100W 4000K</t>
  </si>
  <si>
    <t>LED TIGRA P 50W 4000K</t>
  </si>
  <si>
    <t>LED TIGRA S 2X30W 4000K</t>
  </si>
  <si>
    <t>LED TIGRA S 2X50W 4000K</t>
  </si>
  <si>
    <t>SOLAR LED MHC 5W 4000K</t>
  </si>
  <si>
    <t>SOLAR LED MHC 10W 4000K</t>
  </si>
  <si>
    <t>SOLAR LED MHCS 10W 4000K PREMIUM</t>
  </si>
  <si>
    <t>SOLAR LED MHCS 30W 4000K PREMIUM</t>
  </si>
  <si>
    <t>SOLAR LED NCS 10W 6500K LED2B</t>
  </si>
  <si>
    <t>SOLAR LED NCS 20W 6500K LED2B</t>
  </si>
  <si>
    <t>SOLAR LED NCS 30W 6500K LED2B</t>
  </si>
  <si>
    <t>SOLAR LED STREET 15W 4000K</t>
  </si>
  <si>
    <t>SOLAR LED STREET 40W 4000K</t>
  </si>
  <si>
    <t>LED MHNC 20W 4000K</t>
  </si>
  <si>
    <t>DELFIA 2X120</t>
  </si>
  <si>
    <t>ZEBRA 1X120</t>
  </si>
  <si>
    <t>ZEBRA 2X120</t>
  </si>
  <si>
    <t>LED DEFENDER 18W 4000K IP66</t>
  </si>
  <si>
    <t>LED DEFENDER 24W 4000K IP66</t>
  </si>
  <si>
    <t>LED DEFENDER LX 18W 4000K IP66</t>
  </si>
  <si>
    <t>LED DEFENDER LX 24W 4000K IP66</t>
  </si>
  <si>
    <t>LED KOLINE K1 20W 4000K BLACK PROFESSIO</t>
  </si>
  <si>
    <t>LED KOLINE K1 40W 4000K BLACK PROFESSIO</t>
  </si>
  <si>
    <t>NEXLINE1 31W P</t>
  </si>
  <si>
    <t>NEXLINE1 31W P BLACK</t>
  </si>
  <si>
    <t>NEXLINE1 31W P DALI</t>
  </si>
  <si>
    <t>NEXLINE2 62W P</t>
  </si>
  <si>
    <t>NEXLINE2 62W P BLACK</t>
  </si>
  <si>
    <t>NEXLINE2 62W P DALI</t>
  </si>
  <si>
    <t>MASTER STREET 120W 4000K MB</t>
  </si>
  <si>
    <t>MASTER STREET 120W 4000K WB</t>
  </si>
  <si>
    <t>MASTER STREET 35W 4000K MB</t>
  </si>
  <si>
    <t>MASTER STREET 35W 4000K WB</t>
  </si>
  <si>
    <t>MASTER STREET 80W 4000K MB</t>
  </si>
  <si>
    <t>MASTER STREET 80W 4000K WB</t>
  </si>
  <si>
    <t>LED VESPA 100W 4000K 110*70</t>
  </si>
  <si>
    <t>LED VESPA 200W 4000K 110*70</t>
  </si>
  <si>
    <t>LED VESPA PRO 40W 4000K</t>
  </si>
  <si>
    <t>LED VESPA PRO 60W 4000K</t>
  </si>
  <si>
    <t>LED VESPA PRO 100W 4000K</t>
  </si>
  <si>
    <t>LED VESPA PRO 150W 4000K</t>
  </si>
  <si>
    <t>LED VESPA PRO 200W 4000K</t>
  </si>
  <si>
    <t>LED CYOTO 50W 4000K</t>
  </si>
  <si>
    <t>HYBRID LED FUSION 14W 4000K IP65</t>
  </si>
  <si>
    <t>NEW STREET PARK 50W 4000K IP66</t>
  </si>
  <si>
    <t>LED CAMARO 40W 60X60 4000K LED2B</t>
  </si>
  <si>
    <t>LED CAPRI PREMIUM 40W 60X60 4000K</t>
  </si>
  <si>
    <t>LED CAPRI 40W 30X120 4000K PREMIUM</t>
  </si>
  <si>
    <t>LED MIA PREMIUM 36W 4000K</t>
  </si>
  <si>
    <t>LED NELIO 28W 60X30 4000K</t>
  </si>
  <si>
    <t>LED PANEL NELIO2 PT 40W 3200LM 4000K</t>
  </si>
  <si>
    <t>NELIO PREMIUM 40W 60X60 4400LM 4000K</t>
  </si>
  <si>
    <t>LED NELIO 48W 60X60 4000K</t>
  </si>
  <si>
    <t>LED PANEL NELIO2 PT 40W 4000K 30X120</t>
  </si>
  <si>
    <t>NELIO PREMIUM 40W 120X30 4400LM 4000K</t>
  </si>
  <si>
    <t>LED NEXFORCE1 80W 4000K</t>
  </si>
  <si>
    <t>LED CAPRI PRO 28W 60X60 IP44 4000K</t>
  </si>
  <si>
    <t>LED CAPRI PRO 36W 30X120 4000K UGR&lt;19</t>
  </si>
  <si>
    <t>LED CAPRI PRO 36W 60X60 4000K</t>
  </si>
  <si>
    <t>LED CAPRI PRO 36W 60X60 4000K UGR&lt;19</t>
  </si>
  <si>
    <t>LED CAPRI PRO 40W 60X60 IP65 4000K</t>
  </si>
  <si>
    <t>LED CAPRI PROFESSIONAL 50W 60X60 4000K</t>
  </si>
  <si>
    <t>LED SIGARO CIRCLE 18W 4000K PREMIUM</t>
  </si>
  <si>
    <t>LED SIGARO CIRCLE 24W 4000K PREMIUM</t>
  </si>
  <si>
    <t>LED SIGARO SQUARE 18W 4000K PREMIUM</t>
  </si>
  <si>
    <t>LED SIGARO SQUARE 24W 4000K PREMIUM</t>
  </si>
  <si>
    <t>LED ZOE 12W 4000K WHITE PREMIUM</t>
  </si>
  <si>
    <t>LED ZOE 24W 4000K WHITE PREMIUM</t>
  </si>
  <si>
    <t>LED NAIROS 12W CCT WHITE PREMIUM</t>
  </si>
  <si>
    <t>LED NAIROS 12W CCT CZARNY PREMIUM</t>
  </si>
  <si>
    <t>LED NAIROS 18W CCT WHITE PREMIUM</t>
  </si>
  <si>
    <t>LED NAIROS 18W CCT BLACK PREMIUM</t>
  </si>
  <si>
    <t>LED NAIROS 24W CCT WHITE PREMIUM</t>
  </si>
  <si>
    <t>LED NAIROS 36W CCT WHITE PREMIUM</t>
  </si>
  <si>
    <t>LED NAIROS LX 12W CCT WHITE PREMIUM</t>
  </si>
  <si>
    <t>LED NAIROS LX 12W CCT BLACK PREMIUM</t>
  </si>
  <si>
    <t>LED SIGARO CIRCLE PT 6W 4000K PREMIUM</t>
  </si>
  <si>
    <t>LED SIGARO CIRCLE PT 12W 4000K PREMIUM</t>
  </si>
  <si>
    <t>LED SIGARO CIRCLE PT 18W 4000K PREMIUM</t>
  </si>
  <si>
    <t>LED SIGARO CIRCLE PT 24W 4000K PREMIUM</t>
  </si>
  <si>
    <t>LED NUMOS LX 7W 4000K</t>
  </si>
  <si>
    <t>LED ORBIS LX 10W 4000K</t>
  </si>
  <si>
    <t>LED SOFI LX 13W 4000K PREMIUM</t>
  </si>
  <si>
    <t>LED ZOE LX 24W 4000K BLACK PREMIUM</t>
  </si>
  <si>
    <t>SOMA PC 100 PLASTIC MESH</t>
  </si>
  <si>
    <t>SOMA PC 100  METAL  MESH</t>
  </si>
  <si>
    <t>SOMA PC 60  METAL MESH</t>
  </si>
  <si>
    <t>SOMA PC 60 PLASTIC MESH</t>
  </si>
  <si>
    <t>DESK LAMP ŚMIESZEK KX3087 WHITE</t>
  </si>
  <si>
    <t>DESK LAMP ŚMIESZEK KX3087 BLACK</t>
  </si>
  <si>
    <t>DESK LAMP ŚMIESZEK KX3087 RED</t>
  </si>
  <si>
    <t>DESK LAMP ŚMIESZEK KX3087 BLUE</t>
  </si>
  <si>
    <t>DESK LAMP ŚMIESZEK KX3087 PINK</t>
  </si>
  <si>
    <t>DESK LAMP ŚMIESZEK KX3087 GREEN</t>
  </si>
  <si>
    <t>DESK LAMP ŚMIESZEK KX3087 YELLOW</t>
  </si>
  <si>
    <t>LED LIZBONA 3,5W WHITE</t>
  </si>
  <si>
    <t>LED LIZBONA 3,5W BLACK</t>
  </si>
  <si>
    <t>HANGING LAMPS</t>
  </si>
  <si>
    <t>03KI DEKOR</t>
  </si>
  <si>
    <t>LED CORREA 3,4W 3000K</t>
  </si>
  <si>
    <t>LED CLICK PREMIUM 1,5W CCT</t>
  </si>
  <si>
    <t>LED WL 4W FIXTURE NEUTRAL</t>
  </si>
  <si>
    <t>LED WL 8W FIXTURE NEUTRAL</t>
  </si>
  <si>
    <t>LED WL 10W FIXTURE NEUTRAL</t>
  </si>
  <si>
    <t>CABINET LIGHT LED WL 14W NW</t>
  </si>
  <si>
    <t>LED WL 10W FIXTURE</t>
  </si>
  <si>
    <t>BUILD-ON FIXTURE OH36 WHITE</t>
  </si>
  <si>
    <t>BUILD-ON FIXTURE OH36 BLACK</t>
  </si>
  <si>
    <t>BUILD-ON FIXTURE OH36L WHITE</t>
  </si>
  <si>
    <t>BUILD-ON FIXTURE OH36L BLACK</t>
  </si>
  <si>
    <t>BUILD-ON FIXTURE OH36S WHITE</t>
  </si>
  <si>
    <t>BUILD-ON FIXTURE OH36S BLACK</t>
  </si>
  <si>
    <t>OH37 WHITE</t>
  </si>
  <si>
    <t>OH37 CHROME</t>
  </si>
  <si>
    <t>OH37 BLACK</t>
  </si>
  <si>
    <t>OH37S WHITE</t>
  </si>
  <si>
    <t>OH37S CHROME</t>
  </si>
  <si>
    <t>OH37S BLACK</t>
  </si>
  <si>
    <t>LED MOSS 10W 3000K BLACK</t>
  </si>
  <si>
    <t>LED MOSS 20W 3000K BLACK</t>
  </si>
  <si>
    <t>AQUARIUS ROUND BLACK</t>
  </si>
  <si>
    <t>AQUARIUS ROUND CHROME</t>
  </si>
  <si>
    <t>AQUARIUS ROUND WHITE</t>
  </si>
  <si>
    <t>AQUARIUS SQUARE BLACK</t>
  </si>
  <si>
    <t>AQUARIUS SQUARE WHITE</t>
  </si>
  <si>
    <t>GARDEN LAMP BLAKE 2 BLACK GU10 IP65</t>
  </si>
  <si>
    <t>IN-GROUND FIXTURE GU10 ENTRADA1 SQUARE</t>
  </si>
  <si>
    <t>IN-GROUND FIXTURE GU10 ENTRADA2 ROUND</t>
  </si>
  <si>
    <t>INGRESS GU10 ROUND LED2B</t>
  </si>
  <si>
    <t>INGRESS GU10 SQUARE LED2B</t>
  </si>
  <si>
    <t>GARLAND  MIMOSA 10M 20XE27</t>
  </si>
  <si>
    <t>GARLAND MIMOSA 20M 20XE27</t>
  </si>
  <si>
    <t>MIMOSA LED SET 10M 10X1W E27</t>
  </si>
  <si>
    <t>MIMOSA LED SET 20M 20X1W E27</t>
  </si>
  <si>
    <t>GARLAND MIMOSA 10M 10XE27</t>
  </si>
  <si>
    <t>LED KOBI VENEZIA 10W</t>
  </si>
  <si>
    <t>LED KOBI VENEZIA H 1,5W</t>
  </si>
  <si>
    <t>LED KOBI VENEZIA S 2W</t>
  </si>
  <si>
    <t>BAJA LED SET 10M 10X1W E27</t>
  </si>
  <si>
    <t>BAJA LED SET 10M 20X1W E27</t>
  </si>
  <si>
    <t>BAJA LED SET 15M 15X1W E27</t>
  </si>
  <si>
    <t>BAJA LED SET 20M 20X1W E27</t>
  </si>
  <si>
    <t>GARDEN LAMP LO4102 BLACK ALU</t>
  </si>
  <si>
    <t>GARDEN LAMP LO4102 GOLD ALU</t>
  </si>
  <si>
    <t>GARDEN LAMP QUAZAR 15 BLACK 1XGU10</t>
  </si>
  <si>
    <t>GARDEN LAMP QUAZAR 15 GREY 1XGU10</t>
  </si>
  <si>
    <t>GARDEN LAMP QUAZAR 11 BLACK 1XGU10</t>
  </si>
  <si>
    <t>GARDEN LAMP QUAZAR 11 GREY 1XGU10</t>
  </si>
  <si>
    <t>GARDEN LAMP QUAZAR 15 LX BLACK 1XGU10</t>
  </si>
  <si>
    <t>GARDEN LAMP QUAZAR 15 LX GREY 1XGU10</t>
  </si>
  <si>
    <t>GARDEN LAMP LO4101 BLACK ALU</t>
  </si>
  <si>
    <t>GARDEN LAMP LO4101 GOLD ALU</t>
  </si>
  <si>
    <t>GARDEN LAMP QUAZAR 4</t>
  </si>
  <si>
    <t>GARDEN LAMP QUAZAR 5</t>
  </si>
  <si>
    <t>GARDEN LAMP QUAZAR 10 GREY 2XGU10</t>
  </si>
  <si>
    <t>GARDEN LAMP QUAZAR 7 BLACK 2XGU10</t>
  </si>
  <si>
    <t>GARDEN LAMP QUAZAR 7 GREY 2XGU10</t>
  </si>
  <si>
    <t>GARDEN LAMP QUAZAR 9 BLACK 2XGU10</t>
  </si>
  <si>
    <t>GARDEN LAMP QUAZAR 9 GREY 2XGU10</t>
  </si>
  <si>
    <t>GARDEN BALL L 1XE27</t>
  </si>
  <si>
    <t>GARDEN BALL M 1XE27</t>
  </si>
  <si>
    <t>GARDEN BALL S 1XE27</t>
  </si>
  <si>
    <t>GARDEN LAMP QUAZAR 17 BLACK</t>
  </si>
  <si>
    <t>GARDEN LAMP QUAZAR 17 GREY</t>
  </si>
  <si>
    <t>GARDEN LAMP QUAZAR 18 BLACK</t>
  </si>
  <si>
    <t>GARDEN LAMP QUAZAR 18 GREY</t>
  </si>
  <si>
    <t>GARDEN LAMP QUAZAR 15S BLACK 1XGU10</t>
  </si>
  <si>
    <t>GARDEN LAMP QUAZAR 15S GREY  1XGU10</t>
  </si>
  <si>
    <t>GARDEN LAMP QUAZAR 12 BLACK 1XGU10</t>
  </si>
  <si>
    <t>GARDEN LAMP QUAZAR 12 GREY 1XGU10</t>
  </si>
  <si>
    <t>GARDEN LAMP LO4105 BLACK ALU</t>
  </si>
  <si>
    <t>GARDEN LAMP LO4105 GOLD ALU</t>
  </si>
  <si>
    <t>NUUK PT 1XGU10 WHITE</t>
  </si>
  <si>
    <t>NUUK PT 1XGU10 BLACK</t>
  </si>
  <si>
    <t>OH14 WHITE</t>
  </si>
  <si>
    <t>OH14 CHROME</t>
  </si>
  <si>
    <t>OH14 MATT CHROME</t>
  </si>
  <si>
    <t>OH14 MATT BLACK</t>
  </si>
  <si>
    <t>OH14 VERDGRAS</t>
  </si>
  <si>
    <t>OH21CHROME</t>
  </si>
  <si>
    <t>OH21 BLACK</t>
  </si>
  <si>
    <t>DECORATIVE RING OH22 MATT BLACK</t>
  </si>
  <si>
    <t>OH26 BLACK</t>
  </si>
  <si>
    <t>OH26N BLACK</t>
  </si>
  <si>
    <t>OH26N CLEAR</t>
  </si>
  <si>
    <t>OH27 BLACK</t>
  </si>
  <si>
    <t>OH27N BLACK</t>
  </si>
  <si>
    <t>OH27N CLEAR</t>
  </si>
  <si>
    <t>OH34 IP44 CHROME</t>
  </si>
  <si>
    <t>OH34 IP44 MATT CHROME</t>
  </si>
  <si>
    <t>OH34 IP44 MATT BLACK</t>
  </si>
  <si>
    <t>OH35 IP44 WHITE</t>
  </si>
  <si>
    <t>OH35 IP44 MATT CHROME</t>
  </si>
  <si>
    <t>OH49 BLACK</t>
  </si>
  <si>
    <t>OH49 CLEAR</t>
  </si>
  <si>
    <t>OH51 BLACK</t>
  </si>
  <si>
    <t>OH51 CLEAR</t>
  </si>
  <si>
    <t>OH15 WHITE</t>
  </si>
  <si>
    <t>OH15 CHROME</t>
  </si>
  <si>
    <t>OH15 GRAPHITE</t>
  </si>
  <si>
    <t>OH15 MATT CHROME</t>
  </si>
  <si>
    <t>OH15 MATT BLACK</t>
  </si>
  <si>
    <t>OH15 VERDGRAS</t>
  </si>
  <si>
    <t>OH228 BLACK</t>
  </si>
  <si>
    <t>OH28 CHROME</t>
  </si>
  <si>
    <t>OH28 BLACK</t>
  </si>
  <si>
    <t>OH28 MATT BLACK</t>
  </si>
  <si>
    <t>OH28 MATT WHITE</t>
  </si>
  <si>
    <t>OH29 CHROME</t>
  </si>
  <si>
    <t>OH29 BLACK</t>
  </si>
  <si>
    <t>OH29 MATT WHITE</t>
  </si>
  <si>
    <t>OH29 MATT BLACK</t>
  </si>
  <si>
    <t>LED HALO 5W 3000K</t>
  </si>
  <si>
    <t>LED HALO 5W 4000K</t>
  </si>
  <si>
    <t>CEILING FIXTURE OSLO 10W 3000K WHITE</t>
  </si>
  <si>
    <t>CEILING FIXTURE OSLO 14W 3000K WHITE</t>
  </si>
  <si>
    <t>QUERK</t>
  </si>
  <si>
    <t>QUERK 1 BLACK 1XGU10 LED2B</t>
  </si>
  <si>
    <t>QUERK 2 BLACK 1XGU10 LED2B</t>
  </si>
  <si>
    <t>QUERK 3 BLACK 2XGU10 LED2B</t>
  </si>
  <si>
    <t>QUERK 4 BLACK 2XGU10 LED2B</t>
  </si>
  <si>
    <t>QUERK 5 BLACK 2XGU10 LED2B</t>
  </si>
  <si>
    <t>SOLAR GARDEN LIGHTS</t>
  </si>
  <si>
    <t>SOLAR LED ZEN 6000K LED2B 10X</t>
  </si>
  <si>
    <t>SOLAR 30 LED AURA 3000K LED2B</t>
  </si>
  <si>
    <t>SOLAR 50 LED LUME RGB LED2B</t>
  </si>
  <si>
    <t>SOLAR LED AURORA 6000K LED2B 4X</t>
  </si>
  <si>
    <t>SOLAR LED AURORA 6000K LED2B 6X</t>
  </si>
  <si>
    <t>SOLAR LED ECLIPSE 6000K LED2B 10X</t>
  </si>
  <si>
    <t>SOLAR LED FUSION 6500K LED2B 12X</t>
  </si>
  <si>
    <t>SOLAR LED LANCE 6000K LED2B</t>
  </si>
  <si>
    <t>SOLAR LED LUMINA 6500K LED2B</t>
  </si>
  <si>
    <t>SOLAR LED PHOTON 3000K LED2B 8X</t>
  </si>
  <si>
    <t>SOLAR LED PRISM 6000K LED2B</t>
  </si>
  <si>
    <t>SOLAR LED SPECTRA 2700K LED2B</t>
  </si>
  <si>
    <t>SOLAR LED SPHERE 6500K LED2B 10X</t>
  </si>
  <si>
    <t>SOLAR LED SPIKE 6500K LED2B</t>
  </si>
  <si>
    <t>SOLAR 10 LED STARLIGHT 6000K LED2B</t>
  </si>
  <si>
    <t>SOLAR 20 LED STARLIGHT 3000K LED2B</t>
  </si>
  <si>
    <t>SOLAR 30 LED STARLIGHT 3000K LED2B</t>
  </si>
  <si>
    <t>SOLAR 300 LED SPARK 3000K LED2B</t>
  </si>
  <si>
    <t>SOLAR LED SPIKE 6500K LED2B 4X</t>
  </si>
  <si>
    <t>SOLAR LED SWAY 6000K LED2B</t>
  </si>
  <si>
    <t>LED ARIEL 40W 4400LM 4000K IP44</t>
  </si>
  <si>
    <t>3-PHASE TRACK 2M WHITE FOR NEXTRACK NT</t>
  </si>
  <si>
    <t>3-PHASE TRACK 2M BLACK FOR NEXTRACK NT</t>
  </si>
  <si>
    <t>POWER SUPPLY RIGHT, WH FOR NEXTRACK NT</t>
  </si>
  <si>
    <t>POWER SUPPLY RIGHT, BL FOR NEXTRACK NT</t>
  </si>
  <si>
    <t>WHITE CAP FOR NEXTRACK NT</t>
  </si>
  <si>
    <t>BLACK CAP FOR NEXTRACK NT</t>
  </si>
  <si>
    <t>SET FOR TRACK HANGING 2M WHITE NEX</t>
  </si>
  <si>
    <t>SET FOR TRACK HANGING 2M BLACK NEX</t>
  </si>
  <si>
    <t>INNER I CONNECTOR WHITE FOR NEXTRACK NT</t>
  </si>
  <si>
    <t>INNER I CONNECTOR BLACK FOR NEXTRACK NT</t>
  </si>
  <si>
    <t>EXTERNAL I CONNECTOR WH FOR NEXTRACK NT</t>
  </si>
  <si>
    <t>EXTERNAL I CONNECTOR BL FOR NEXTRACK NT</t>
  </si>
  <si>
    <t>EXTERNAL L CONNECTOR LEFT WHITE</t>
  </si>
  <si>
    <t>EXTERNAL L CONNECTOR LEFT BLACK</t>
  </si>
  <si>
    <t>EXTERNAL L CONNECTOR RIGHT WHITE</t>
  </si>
  <si>
    <t>EXTERNAL L CONNECTOR RIGHT BLACK</t>
  </si>
  <si>
    <t>EXTERNAL CONNECTOR FLEX WHITE</t>
  </si>
  <si>
    <t>EXTERNAL CONNECTOR FLEX BLACK</t>
  </si>
  <si>
    <t>EXETRNAL T CONNECTOR WH FOR NEXTRACK NT</t>
  </si>
  <si>
    <t>EXTERNAL T CONNECTOR WH FOR NEXTRACK NT</t>
  </si>
  <si>
    <t>EXTERNAL X CONNECTOR WH FOR NEXTRACK NT</t>
  </si>
  <si>
    <t>EXTERNAL X CONNECTOR BL FOR NEXTRACK NT</t>
  </si>
  <si>
    <t>MICROWAVE SENSOR LX701 360ST</t>
  </si>
  <si>
    <t>MOTION SENSOR LX01 140ST WHITE</t>
  </si>
  <si>
    <t>MOTION SENSOR LX06 360ST WHITE</t>
  </si>
  <si>
    <t>MOTION SENSOR LX39 180ST BALL WHITE*</t>
  </si>
  <si>
    <t>MOTION SENSOR LX39 180ST BALL BLACK*</t>
  </si>
  <si>
    <t>MOTION SENSOR LX40 WHITE</t>
  </si>
  <si>
    <t>MOTION SENSOR LX40 BLACK</t>
  </si>
  <si>
    <t>COVER FOR HERMETIC 2X150</t>
  </si>
  <si>
    <t>PRISMATIC COVER FOR HERMIC 2X120</t>
  </si>
  <si>
    <t>SMART SOCKET WIFI</t>
  </si>
  <si>
    <t>SOCKET FOR G5,3 BASE</t>
  </si>
  <si>
    <t>SOCKET K002 FOR GU10 BASE</t>
  </si>
  <si>
    <t>PORCELAIN SOCKET K003 FOR E27 BASE</t>
  </si>
  <si>
    <t>BATTERY 18650 3,7V 3AH (SOLAR MHC 5W)</t>
  </si>
  <si>
    <t>BAT 18650 3,7V 7,2AH (SOLAR MHC/S 10W)</t>
  </si>
  <si>
    <t>BAT 18650 7,4V 5,4AH (SOLAR STREET 15W)</t>
  </si>
  <si>
    <t>HANDLE FOR RIO HB 100W/150W/200W</t>
  </si>
  <si>
    <t>HANDLE FOR LED RIO PRO 100W</t>
  </si>
  <si>
    <t>LED AMPLIFIER ST07F 5-24V 12A</t>
  </si>
  <si>
    <t>LED DIMMER SC02DP 5-24V 12A WITH REMOTE</t>
  </si>
  <si>
    <t>HANDLE FOR LED RIO PRO 150W</t>
  </si>
  <si>
    <t>KFRPU150</t>
  </si>
  <si>
    <t>5902201369748</t>
  </si>
  <si>
    <t>HANDLE FOR LED RIO PRO 200W</t>
  </si>
  <si>
    <t>KFRPU200</t>
  </si>
  <si>
    <t>5902201369755</t>
  </si>
  <si>
    <t>TIMER PC24</t>
  </si>
  <si>
    <t>EXTENSION CORD KOBI LINEA 3GN/1,5M/ZU</t>
  </si>
  <si>
    <t>EXTENSION CORD KOBI LINEA 3GN/3M/ZU</t>
  </si>
  <si>
    <t>EXTENSION CORD KOBI LINEA 3GN/3M/ZU+W</t>
  </si>
  <si>
    <t>EXTENSION CORD KOBI LINEA 3GN/5M/ZU</t>
  </si>
  <si>
    <t>EXTENSION CORD KOBI LINEA 3GN/5M/ZU+W</t>
  </si>
  <si>
    <t>EXTENSION CORD KOBI LINEA 4GN/1,5M/ZU</t>
  </si>
  <si>
    <t>EXTENSION CORD KOBI LINEA 4GN/3M/ZU</t>
  </si>
  <si>
    <t>EXTENSION CORD KOBI LINEA 4GN/5M/ZU</t>
  </si>
  <si>
    <t>EXTENSION CORD KOBI LINEA 5GN/1,5M/ZU</t>
  </si>
  <si>
    <t>EXTENSION CORD KOBI LINEA 5GN/3M/ZU</t>
  </si>
  <si>
    <t>EXTENSION CORD KOBI LINEA 5GN/3M/ZU+W</t>
  </si>
  <si>
    <t>EXTENSION CORD KOBI LINEA 5GN/5M/ZU</t>
  </si>
  <si>
    <t>EXTENSION CORD KOBI LINEA 5GN/5M/ZU+W</t>
  </si>
  <si>
    <t>LED T8 STARTER</t>
  </si>
  <si>
    <t>DESKTOP DRIVER 12V 24W 2,0A</t>
  </si>
  <si>
    <t>DESKTOP DRIVER 12V 30W 2,5A</t>
  </si>
  <si>
    <t>DESKTOP DRIVER 12V 36W 3,0A</t>
  </si>
  <si>
    <t>DESKTOP DRIVER 12V 42W 3,5A</t>
  </si>
  <si>
    <t>DESKTOP DRIVER 12V 60W 5,0A</t>
  </si>
  <si>
    <t>DESKTOP DRIVER 12V  72W 6,0A</t>
  </si>
  <si>
    <t>DESKTOP DRIVER 12V 90W 7,5A</t>
  </si>
  <si>
    <t>DESKTOP DRIVER 12V 120W 10,0A</t>
  </si>
  <si>
    <t>DRIVER 10W 0,83A 12V IP67</t>
  </si>
  <si>
    <t>LED POWER SUPPLY 12V 20W 1,67A IP67</t>
  </si>
  <si>
    <t>LED POWER SUPPLY 12V 30W 2,5A IP67</t>
  </si>
  <si>
    <t>LED POWER SUPPLY 50W 4.16A 12V IP67</t>
  </si>
  <si>
    <t>LED POWER SUPPLY 60W 5A 12V IP67</t>
  </si>
  <si>
    <t>LED POWER SUPPLY 80W 6,67A 12V IP67</t>
  </si>
  <si>
    <t>LED POWER SUPPLY 100W 8,3A 12V IP65</t>
  </si>
  <si>
    <t>LED POWER SUPPLY 120W 10A 12V IP67</t>
  </si>
  <si>
    <t>LED POWER SUPPLY 200W 16,7A 12V IP67</t>
  </si>
  <si>
    <t>LED POWER SUPPLY 6W 0,5A 12V</t>
  </si>
  <si>
    <t>LED POWER SUPPLY 12V  25W 2,1A</t>
  </si>
  <si>
    <t>LED POWER SUPPLY 35W 3,00A MONT</t>
  </si>
  <si>
    <t>LED DRIVER 12V 60W 5,0A</t>
  </si>
  <si>
    <t>LED POWER SUPPLY 100W 8,3A 12V MODUŁ</t>
  </si>
  <si>
    <t>LED POWER SUPPLY 150W 12,5A 12V</t>
  </si>
  <si>
    <t>LED POWER SUPPLY 12V 200W 16,6A</t>
  </si>
  <si>
    <t>LED POWER SUPPLY 250W 20,8A 12V</t>
  </si>
  <si>
    <t>POWER SUPPLY 12V 350W 29,0A</t>
  </si>
  <si>
    <t>KOBI CRETE 5M 5XE27</t>
  </si>
  <si>
    <t>KOBI CRETE LS D1 BLACK X5</t>
  </si>
  <si>
    <t>KOBI CRETE LS R1 WOOD X5</t>
  </si>
  <si>
    <t>KOBI CRETE LS R2 BLACK X5</t>
  </si>
  <si>
    <t>KOBI CRETE LS M1 BLACK X5</t>
  </si>
  <si>
    <t>KOBI CRETE LS M2 BLACK X5</t>
  </si>
  <si>
    <t>KOBI CRETE PC 10M</t>
  </si>
  <si>
    <t>KOBI CRETE PC 5M</t>
  </si>
  <si>
    <t>TOWER FAN KOBI HOORN 45W BLACK</t>
  </si>
  <si>
    <t>TOWER FAN KOBI LISSE 55W BLACK</t>
  </si>
  <si>
    <t>TOWER FAN KOBI VENLO 45W BLACK</t>
  </si>
  <si>
    <t>LED PLAY SET 10M</t>
  </si>
  <si>
    <t>KDSN00000016</t>
  </si>
  <si>
    <t>5902201376753</t>
  </si>
  <si>
    <t>LED PLAY SET 15M</t>
  </si>
  <si>
    <t>KDSN00000017</t>
  </si>
  <si>
    <t>5902201376760</t>
  </si>
  <si>
    <t>LED PLAY SET 20M</t>
  </si>
  <si>
    <t>KDSN00000018</t>
  </si>
  <si>
    <t>5902201376777</t>
  </si>
  <si>
    <t>LED PLAY SET 5M</t>
  </si>
  <si>
    <t>KDSN00000015</t>
  </si>
  <si>
    <t>5902201376746</t>
  </si>
  <si>
    <t>BRAND</t>
  </si>
  <si>
    <t>REMARKS</t>
  </si>
  <si>
    <t>ITEM</t>
  </si>
  <si>
    <t>INDEX</t>
  </si>
  <si>
    <t>LIST PRICE PLN</t>
  </si>
  <si>
    <t>LIST PRICE €</t>
  </si>
  <si>
    <t>DISCOUNT PRICE €</t>
  </si>
  <si>
    <t>BARCODE</t>
  </si>
  <si>
    <t>CN CODE</t>
  </si>
  <si>
    <t>UNIT OF MEASURE</t>
  </si>
  <si>
    <t>PCS ON MASTER CARTON</t>
  </si>
  <si>
    <t>LED MIVRO 36W 4000K LED2B</t>
  </si>
  <si>
    <t>KFLMO36WNB</t>
  </si>
  <si>
    <t>KOBI CONNECTO BLACK 4GN+USB/1,5M/ZU+W</t>
  </si>
  <si>
    <t>KDSN00000019</t>
  </si>
  <si>
    <t>KOBI CONNECTO WHITE 4GN+USB/1,5M/ZU+W</t>
  </si>
  <si>
    <t>KDSN00000020</t>
  </si>
  <si>
    <t>KOBI CONNECTO BLACK 4GN+USB/3M/ZU+W</t>
  </si>
  <si>
    <t>KDSN00000021</t>
  </si>
  <si>
    <t>KOBI CONNECTO WHITE 4GN+USB/3M/ZU+W</t>
  </si>
  <si>
    <t>KDSN00000022</t>
  </si>
  <si>
    <t>KOBI CONNECTO BLACK 4GN+USB/5M/ZU+W</t>
  </si>
  <si>
    <t>KDSN00000023</t>
  </si>
  <si>
    <t>KOBI CONNECTO WHITE 4GN+USB/5M/ZU+W</t>
  </si>
  <si>
    <t>KDSN00000024</t>
  </si>
  <si>
    <t>LED BLOOM 20W</t>
  </si>
  <si>
    <t>KDSN00000025</t>
  </si>
  <si>
    <t>LED VERDI 5W</t>
  </si>
  <si>
    <t>KDSN00000026</t>
  </si>
  <si>
    <t>LED VERDI 10W</t>
  </si>
  <si>
    <t>KDSN00000027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</si>
  <si>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</si>
  <si>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</si>
  <si>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</si>
  <si>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</si>
  <si>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</si>
  <si>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</si>
  <si>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</si>
  <si>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</si>
  <si>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</si>
  <si>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</si>
  <si>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LED TENUIX 14W</t>
  </si>
  <si>
    <t>KLLTX14CZ</t>
  </si>
  <si>
    <t>LED TENUIX DUO 28W</t>
  </si>
  <si>
    <t>KLLTX28CZ</t>
  </si>
  <si>
    <t>AURIQ BLACK</t>
  </si>
  <si>
    <t>KLLAQCZ</t>
  </si>
  <si>
    <t>AURIQ WHITE</t>
  </si>
  <si>
    <t>KLLAQBI</t>
  </si>
  <si>
    <t>AURIQ ST BLACK</t>
  </si>
  <si>
    <t>KLLATCZ</t>
  </si>
  <si>
    <t>LED NOBLITE 7W BLACK</t>
  </si>
  <si>
    <t>KLLNE7CZ</t>
  </si>
  <si>
    <t>LED NOBLITE 7W WHITE</t>
  </si>
  <si>
    <t>KLLNE7BI</t>
  </si>
  <si>
    <t>LED PLAY SL 6W</t>
  </si>
  <si>
    <t>KDSN00000028</t>
  </si>
  <si>
    <t>LED VISUA DESK 5W BLACK</t>
  </si>
  <si>
    <t>KLLVD5CZ</t>
  </si>
  <si>
    <t>LED VISUA DESK 5W WHITE</t>
  </si>
  <si>
    <t>KLLVD5BI</t>
  </si>
  <si>
    <t>LED VISUA DESK 5W GREY</t>
  </si>
  <si>
    <t>KLLVD5SZ</t>
  </si>
  <si>
    <t>LED VISUA DESK 5W PINK</t>
  </si>
  <si>
    <t>KLLVD5RO</t>
  </si>
  <si>
    <t>LED LUME-IQ 5W</t>
  </si>
  <si>
    <t>KDSN00000029</t>
  </si>
  <si>
    <t>WALL LAMPS</t>
  </si>
  <si>
    <t>LED LUMIREFLECT 8W</t>
  </si>
  <si>
    <t>KDSN00000030</t>
  </si>
  <si>
    <t>LED LUMIREFLECT 10W</t>
  </si>
  <si>
    <t>KDSN00000031</t>
  </si>
  <si>
    <t>LED LUMIREFLECT 12W</t>
  </si>
  <si>
    <t>KDSN00000032</t>
  </si>
  <si>
    <t>LED X-MPR 5W LED2B</t>
  </si>
  <si>
    <t>KDLXR5WCZZI</t>
  </si>
  <si>
    <t>LED X-MPR MICRO LED2B</t>
  </si>
  <si>
    <t>KDLXRMCZ</t>
  </si>
  <si>
    <t>LED VISUA DESK 5W MINT</t>
  </si>
  <si>
    <t>KLLVD5MI</t>
  </si>
  <si>
    <t>FLOWFLEXER ORANGE W</t>
  </si>
  <si>
    <t>KDSN00000033</t>
  </si>
  <si>
    <t>FLOWFLEXER ORANGE B</t>
  </si>
  <si>
    <t>KDSN00000034</t>
  </si>
  <si>
    <t>2 YEARS</t>
  </si>
  <si>
    <t>3 YEARS</t>
  </si>
  <si>
    <t>5 YEARS</t>
  </si>
  <si>
    <t>1 YEAR</t>
  </si>
  <si>
    <t>9504 40 95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</si>
  <si>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</si>
  <si>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</si>
  <si>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</si>
  <si>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</si>
  <si>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</si>
  <si>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</si>
  <si>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</si>
  <si>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</si>
  <si>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9405 21 90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</si>
  <si>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</si>
  <si>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</si>
  <si>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</si>
  <si>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</si>
  <si>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</si>
  <si>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</si>
  <si>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</si>
  <si>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</si>
  <si>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</si>
  <si>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</si>
  <si>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</si>
  <si>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</si>
  <si>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</si>
  <si>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SOLAR LED KOBI NEW PHOENIX 10W 4000K</t>
  </si>
  <si>
    <t>KFNSNPX13NB</t>
  </si>
  <si>
    <t>5902201381887</t>
  </si>
  <si>
    <t>LED GS 10,5W E27 6500K LED2B</t>
  </si>
  <si>
    <t>KALGSE27105Z</t>
  </si>
  <si>
    <t>LED MB 8.5W E14 3000K LED2B</t>
  </si>
  <si>
    <t>KALMBE1485CB</t>
  </si>
  <si>
    <t>LED MB 8.5W E14 4000K LED2B</t>
  </si>
  <si>
    <t>KALMBE1485NB</t>
  </si>
  <si>
    <t>LED MB 8.5W E14 6500K LED2B</t>
  </si>
  <si>
    <t>KALMBE1485ZB</t>
  </si>
  <si>
    <t>LED MB 8.5W E27 3000K LED2B</t>
  </si>
  <si>
    <t>KALMBE2785CB</t>
  </si>
  <si>
    <t>LED MB 8.5W E27 4000K LED2B</t>
  </si>
  <si>
    <t>KALMBE2785NB</t>
  </si>
  <si>
    <t>LED MB 8.5W E27 6500K LED2B</t>
  </si>
  <si>
    <t>KALMBE2785ZB</t>
  </si>
  <si>
    <t>LED SW 8.5W E14 3000K LED2B</t>
  </si>
  <si>
    <t>KALSWE1485CB</t>
  </si>
  <si>
    <t>LED SW 8.5W E14 4000K LED2B</t>
  </si>
  <si>
    <t>KALSWE1485NB</t>
  </si>
  <si>
    <t>LED SW 8.5W E14 6500K LED2B</t>
  </si>
  <si>
    <t>KALSWE1485ZB</t>
  </si>
  <si>
    <t>LED SW 8.5W E27 3000K LED2B</t>
  </si>
  <si>
    <t>KALSWE2785CB</t>
  </si>
  <si>
    <t>LED SW 8.5W E27 4000K LED2B</t>
  </si>
  <si>
    <t>KALSWE2785NB</t>
  </si>
  <si>
    <t>LED SW 8.5W E27 6500K LED2B</t>
  </si>
  <si>
    <t>KALSWE2785ZB</t>
  </si>
  <si>
    <t>TABLE FAN VIENTO 40W WHITE</t>
  </si>
  <si>
    <t>KZWVOS40WB</t>
  </si>
  <si>
    <t>LED NEGRO 20W 4000K</t>
  </si>
  <si>
    <t>KFNR20NB</t>
  </si>
  <si>
    <t>LED NEGRO 60W 4000K</t>
  </si>
  <si>
    <t>KFNR60NB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</si>
  <si>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</si>
  <si>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</si>
  <si>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</si>
  <si>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</si>
  <si>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</si>
  <si>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</si>
  <si>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</si>
  <si>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</si>
  <si>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</si>
  <si>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</si>
  <si>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</si>
  <si>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</si>
  <si>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</si>
  <si>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W KLASIE F</t>
  </si>
  <si>
    <t>5902201301762</t>
  </si>
  <si>
    <t>W KLASIE D</t>
  </si>
  <si>
    <t>5902201369847</t>
  </si>
  <si>
    <t>W KLASIE E</t>
  </si>
  <si>
    <t>5902201369854</t>
  </si>
  <si>
    <t>W KLASIE B</t>
  </si>
  <si>
    <t>W KLASIE C</t>
  </si>
  <si>
    <t>W KLASIE G</t>
  </si>
  <si>
    <t>NIE DOTYCZ</t>
  </si>
  <si>
    <t>KFLNL50NBR</t>
  </si>
  <si>
    <t>LED MH FLOODLIGHT 50W BLACK 6500K LED2B</t>
  </si>
  <si>
    <t>KFLNL50ZBR</t>
  </si>
  <si>
    <t>LED NAIROS G2 12W CCT WHITE PREMIUM</t>
  </si>
  <si>
    <t>KFN212WBI</t>
  </si>
  <si>
    <t>LED NAIROS G2 12W CCT BLACK PREMIUM</t>
  </si>
  <si>
    <t>KFN212WCZ</t>
  </si>
  <si>
    <t>LED NAIROS G2 18W CCT WHITE PREMIUM</t>
  </si>
  <si>
    <t>KFN218WBI</t>
  </si>
  <si>
    <t>LED NAIROS G2 18W CCT BLACK PREMIUM</t>
  </si>
  <si>
    <t>KFN218WCZ</t>
  </si>
  <si>
    <t>LED NAIROS G2 24W CCT WHITE PREMIUM</t>
  </si>
  <si>
    <t>KFN224WBI</t>
  </si>
  <si>
    <t>LED NAIROS G2 24W CCT BLACK PREMIUM</t>
  </si>
  <si>
    <t>KFN224WCZ</t>
  </si>
  <si>
    <t>LED NAIROS G2 36W CCT WHITE PREMIUM</t>
  </si>
  <si>
    <t>KFN236WBI</t>
  </si>
  <si>
    <t>LED NAIROS G2 LX 12W CCT WHITE PREMIUM</t>
  </si>
  <si>
    <t>KFN2X12WBI</t>
  </si>
  <si>
    <t>LED NAIROS G2 LX 12W CCT BLACK PREMIUM</t>
  </si>
  <si>
    <t>KFN2X12WCZ</t>
  </si>
  <si>
    <t>LED NAIROS G2 LX 18W CCT WHITE PREMIUM</t>
  </si>
  <si>
    <t>KFN2X18WBI</t>
  </si>
  <si>
    <t>LED NAIROS G2 LX 18W CCT BLACK PREMIUM</t>
  </si>
  <si>
    <t>KFN2X18WCZ</t>
  </si>
  <si>
    <t>LED NAIROS G2 LX 24W CCT WHITE PREMIUM</t>
  </si>
  <si>
    <t>KFN2X24WBI</t>
  </si>
  <si>
    <t>LED NAIROS G2 LX 24W CCT BLACK PREMIUM</t>
  </si>
  <si>
    <t>KFN2X24WCZ</t>
  </si>
  <si>
    <t>LED NAIROS G2 LX 36W CCT WHITE PREMIUM</t>
  </si>
  <si>
    <t>KFN2X36WBI</t>
  </si>
  <si>
    <t>GROWLY PC 3M</t>
  </si>
  <si>
    <t>KDSN00000080</t>
  </si>
  <si>
    <t>LED GROWLY 15W</t>
  </si>
  <si>
    <t>KDSN00000079</t>
  </si>
  <si>
    <t>KOBI PLANTY CLIP B</t>
  </si>
  <si>
    <t>KDSN00000076</t>
  </si>
  <si>
    <t>KOBI PLANTY CLIP W</t>
  </si>
  <si>
    <t>KDSN00000075</t>
  </si>
  <si>
    <t>LED PLANTY B E27 9W</t>
  </si>
  <si>
    <t>KDSN00000074</t>
  </si>
  <si>
    <t>LED PLANTY E27 24W</t>
  </si>
  <si>
    <t>KDSN00000077</t>
  </si>
  <si>
    <t>LED PLANTY E27 40W</t>
  </si>
  <si>
    <t>KDSN00000078</t>
  </si>
  <si>
    <t>LED PLANTY FGS E27 8W</t>
  </si>
  <si>
    <t>KDSN00000081</t>
  </si>
  <si>
    <t>LED PLANTY W E27 9W</t>
  </si>
  <si>
    <t>KDSN00000073</t>
  </si>
  <si>
    <t>LED VITARO 3 CLIP 10W</t>
  </si>
  <si>
    <t>KDSN00000082</t>
  </si>
  <si>
    <t>LED VITARO 3 ST MINI 10W</t>
  </si>
  <si>
    <t>KDSN00000084</t>
  </si>
  <si>
    <t>LED VITARO 4 CLIP 10W</t>
  </si>
  <si>
    <t>KDSN00000083</t>
  </si>
  <si>
    <t>LED VITARO 4 ST 30W</t>
  </si>
  <si>
    <t>KDSN00000086</t>
  </si>
  <si>
    <t>LED VITARO 4 ST MINI 10W</t>
  </si>
  <si>
    <t>KDSN00000085</t>
  </si>
  <si>
    <t>KOBI LINEA PRO BLACK 3GN+4USB/1USB-C/1,5</t>
  </si>
  <si>
    <t>KGLPZW3U5D1C</t>
  </si>
  <si>
    <t>KOBI LINEA PRO BLACK 3GN+4USB/1USB-C/3M</t>
  </si>
  <si>
    <t>KGLPZW3U5D3C</t>
  </si>
  <si>
    <t>KOBI LINEA PRO BLACK 3GN+4USB/1USB-C/5M</t>
  </si>
  <si>
    <t>KGLPZW3U5D5C</t>
  </si>
  <si>
    <t>LINEA PRO FL BLACK 2GN+3USB/1USB-C/0,2M</t>
  </si>
  <si>
    <t>KGLCZW3U4C</t>
  </si>
  <si>
    <t>KGLCZW3U4D1C</t>
  </si>
  <si>
    <t>KGLCZW3U4D1B</t>
  </si>
  <si>
    <t>KGLCZW3U4B</t>
  </si>
  <si>
    <t>KGLFZW2U4D2C</t>
  </si>
  <si>
    <t>KGLFZW2U4D2B</t>
  </si>
  <si>
    <t>KOBI LINEA PRO WHITE 3GN+4USB/1USB-C/1,5</t>
  </si>
  <si>
    <t>KGLPZW3U5D1B</t>
  </si>
  <si>
    <t>KOBI LINEA PRO WHITE 3GN+4USB/1USB-C/3M</t>
  </si>
  <si>
    <t>KGLPZW3U5D3B</t>
  </si>
  <si>
    <t>KOBI LINEA PRO WHITE 3GN+4USB/1USB-C/5M</t>
  </si>
  <si>
    <t>KGLPZW3U5D5B</t>
  </si>
  <si>
    <t>KOBI PMM 1 WHITE</t>
  </si>
  <si>
    <t>KWPM1B</t>
  </si>
  <si>
    <t>KOBI PMM 2 BLACK</t>
  </si>
  <si>
    <t>KWPM2C</t>
  </si>
  <si>
    <t>KWPM3B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</si>
  <si>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</si>
  <si>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</si>
  <si>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</si>
  <si>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</si>
  <si>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</si>
  <si>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</si>
  <si>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</si>
  <si>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</si>
  <si>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</si>
  <si>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</si>
  <si>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</si>
  <si>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</si>
  <si>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</si>
  <si>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</si>
  <si>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</si>
  <si>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</si>
  <si>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</si>
  <si>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</si>
  <si>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</si>
  <si>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</si>
  <si>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</si>
  <si>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</si>
  <si>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</si>
  <si>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</si>
  <si>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</si>
  <si>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</si>
  <si>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</si>
  <si>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</si>
  <si>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</si>
  <si>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</si>
  <si>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</si>
  <si>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</si>
  <si>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</si>
  <si>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</si>
  <si>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</si>
  <si>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</si>
  <si>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</si>
  <si>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</si>
  <si>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</si>
  <si>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</si>
  <si>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</si>
  <si>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</si>
  <si>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</si>
  <si>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</si>
  <si>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</si>
  <si>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KFLNL10NBR</t>
  </si>
  <si>
    <t>LED MH FLOODLIGHT 10W BLACK 6500K LED2B</t>
  </si>
  <si>
    <t>KFLNL10ZBR</t>
  </si>
  <si>
    <t>KFLNL20NBR</t>
  </si>
  <si>
    <t>LED MH FLOODLIGHT 20W BLACK 6500K LED2B</t>
  </si>
  <si>
    <t>KFLNL20ZBR</t>
  </si>
  <si>
    <t>KFLNL30NBR</t>
  </si>
  <si>
    <t>LED MH FLOODLIGHT 30W BLACK 6500K LED2B</t>
  </si>
  <si>
    <t>KFLNL30ZBR</t>
  </si>
  <si>
    <t>KFLNL100NBR</t>
  </si>
  <si>
    <t>LED MH FLOODLIGHT 100W BLACK 6500K LED2B</t>
  </si>
  <si>
    <t>KFLNL100ZBR</t>
  </si>
  <si>
    <t>KFLNLC10NBR</t>
  </si>
  <si>
    <t>LED MHC FLOODLIGHT 10W BLACK 6500K LED2B</t>
  </si>
  <si>
    <t>KFLNLC10ZBR</t>
  </si>
  <si>
    <t>KFLNLC20NBR</t>
  </si>
  <si>
    <t>LED MHC FLOODLIGHT 20W BLACK 6500K LED2B</t>
  </si>
  <si>
    <t>KFLNLC20ZBR</t>
  </si>
  <si>
    <t>KFLNLC30NBR</t>
  </si>
  <si>
    <t>LED MHC FLOODLIGHT 30W BLACK 6500K LED2B</t>
  </si>
  <si>
    <t>KFLNLC30ZBR</t>
  </si>
  <si>
    <t>KFLNLC50NBR</t>
  </si>
  <si>
    <t>LED MHC FLOODLIGHT 50W BLACK 6500K LED2B</t>
  </si>
  <si>
    <t>KFLNLC50ZBR</t>
  </si>
  <si>
    <t>5902201380767</t>
  </si>
  <si>
    <t>5902201380774</t>
  </si>
  <si>
    <t>5902201380781</t>
  </si>
  <si>
    <t>5902201380798</t>
  </si>
  <si>
    <t>5902201380804</t>
  </si>
  <si>
    <t>5902201380811</t>
  </si>
  <si>
    <t>5902201380743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</si>
  <si>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</si>
  <si>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</si>
  <si>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</si>
  <si>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</si>
  <si>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</si>
  <si>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</si>
  <si>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</si>
  <si>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</si>
  <si>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5902201380910</t>
  </si>
  <si>
    <t>DUSK SENSOR LX501</t>
  </si>
  <si>
    <t>KVLX501</t>
  </si>
  <si>
    <t>5902846017387</t>
  </si>
  <si>
    <t>new</t>
  </si>
  <si>
    <t>until stocks run out</t>
  </si>
  <si>
    <t>PCS</t>
  </si>
  <si>
    <t>SET</t>
  </si>
  <si>
    <t>KFAA20124</t>
  </si>
  <si>
    <t>LED ANICA HIGH BAY 200W 90° 4000K IP65</t>
  </si>
  <si>
    <t>KFAA20904</t>
  </si>
  <si>
    <t>LED CYOTO LX 50W 4000K</t>
  </si>
  <si>
    <t>KFCX50NB</t>
  </si>
  <si>
    <t>LED CYOTO LX 100W 4000K</t>
  </si>
  <si>
    <t>KFCX100NB</t>
  </si>
  <si>
    <t>5902201386271</t>
  </si>
  <si>
    <t>5902201386264</t>
  </si>
  <si>
    <t>5902201384413</t>
  </si>
  <si>
    <t>5902201384420</t>
  </si>
  <si>
    <t>KFNE236NB</t>
  </si>
  <si>
    <t>KFNE252NB</t>
  </si>
  <si>
    <t>KFNE270NB</t>
  </si>
  <si>
    <t>KVLXRBZH</t>
  </si>
  <si>
    <t>5902201386288</t>
  </si>
  <si>
    <t>5902201386295</t>
  </si>
  <si>
    <t>5902201386301</t>
  </si>
  <si>
    <t>5902201387124</t>
  </si>
  <si>
    <t>SOLAR LED MHCS 30W 2CCT PREMIUM</t>
  </si>
  <si>
    <t>KFNSCS302CCT</t>
  </si>
  <si>
    <t>LINEAR FIXTURE LED NEXFORCE N2 36W 4000K</t>
  </si>
  <si>
    <t>LINEAR FIXTURE LED NEXFORCE N2 52W 4000K</t>
  </si>
  <si>
    <t>LINEAR FIXTURE LED NEXFORCE N2 70W 4000K</t>
  </si>
  <si>
    <t>5902201387117</t>
  </si>
  <si>
    <t>LED CORTEZ 18W 4000K LED2B</t>
  </si>
  <si>
    <t>KFLCZ18WNB</t>
  </si>
  <si>
    <t>LED CORTEZ 36W 4000K LED2B</t>
  </si>
  <si>
    <t>KFLCZ36WNB</t>
  </si>
  <si>
    <t>LED CORTEZ 48W 4000K LED2B</t>
  </si>
  <si>
    <t>KFLCZ48WNB</t>
  </si>
  <si>
    <t>HIGH BAY LED RIO PRO 200W 2CCT</t>
  </si>
  <si>
    <t>KFRP200CCT</t>
  </si>
  <si>
    <t>LED ANICA HIGH BAY 200W 120° 4000K IP65</t>
  </si>
  <si>
    <t>5902201387131</t>
  </si>
  <si>
    <t>5902201387148</t>
  </si>
  <si>
    <t>5902201387155</t>
  </si>
  <si>
    <t>5902201389050</t>
  </si>
  <si>
    <t>LED GS 10,5W E27 3000K LED2B</t>
  </si>
  <si>
    <t>KALGSE27105C</t>
  </si>
  <si>
    <t>LED GS 10,5W E27 4000K LED2B</t>
  </si>
  <si>
    <t>KALGSE27105N</t>
  </si>
  <si>
    <t>5902201385977</t>
  </si>
  <si>
    <t>5902201385984</t>
  </si>
  <si>
    <t>ELIPSE ELEGANCE K</t>
  </si>
  <si>
    <t>KDSN00000110</t>
  </si>
  <si>
    <t>OGÓLNA</t>
  </si>
  <si>
    <t>ELIPSE ELEGANCE S</t>
  </si>
  <si>
    <t>KDSN00000109</t>
  </si>
  <si>
    <t>ELIPSE ELEGANCE S3</t>
  </si>
  <si>
    <t>KDSN00000111</t>
  </si>
  <si>
    <t>KDSN00000092</t>
  </si>
  <si>
    <t>KDSN00000094</t>
  </si>
  <si>
    <t>KDSN00000098</t>
  </si>
  <si>
    <t>KDSN00000099</t>
  </si>
  <si>
    <t>KDSN00000100</t>
  </si>
  <si>
    <t>KDSN00000097</t>
  </si>
  <si>
    <t>KDSN00000101</t>
  </si>
  <si>
    <t>KDSN00000104</t>
  </si>
  <si>
    <t>KDSN00000106</t>
  </si>
  <si>
    <t>KDSN00000107</t>
  </si>
  <si>
    <t>KDSN00000102</t>
  </si>
  <si>
    <t>KDSN00000103</t>
  </si>
  <si>
    <t>KDSN00000108</t>
  </si>
  <si>
    <t>KDSN00000105</t>
  </si>
  <si>
    <t>KDSN00000093</t>
  </si>
  <si>
    <t>KDSN00000095</t>
  </si>
  <si>
    <t>KDSN00000096</t>
  </si>
  <si>
    <t>5902201386530</t>
  </si>
  <si>
    <t>5902201386523</t>
  </si>
  <si>
    <t>5902201386547</t>
  </si>
  <si>
    <t>5902201386332</t>
  </si>
  <si>
    <t>5902201386356</t>
  </si>
  <si>
    <t>5902201386394</t>
  </si>
  <si>
    <t>5902201386400</t>
  </si>
  <si>
    <t>5902201386417</t>
  </si>
  <si>
    <t>5902201386387</t>
  </si>
  <si>
    <t>5902201386424</t>
  </si>
  <si>
    <t>5902201386462</t>
  </si>
  <si>
    <t>5902201386493</t>
  </si>
  <si>
    <t>5902201386509</t>
  </si>
  <si>
    <t>5902201386431</t>
  </si>
  <si>
    <t>5902201386455</t>
  </si>
  <si>
    <t>5902201386516</t>
  </si>
  <si>
    <t>5902201386479</t>
  </si>
  <si>
    <t>5902201386349</t>
  </si>
  <si>
    <t>5902201386363</t>
  </si>
  <si>
    <t>5902201386370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</si>
</sst>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€-1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6" tint="0.39988402966399123"/>
      </left>
      <right style="hair">
        <color theme="6" tint="0.39988402966399123"/>
      </right>
      <top style="hair">
        <color theme="6" tint="0.39988402966399123"/>
      </top>
      <bottom style="hair">
        <color theme="6" tint="0.3998840296639912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3" fillId="2" borderId="0" xfId="2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 applyProtection="1">
      <alignment horizontal="center" vertical="center" wrapText="1"/>
      <protection hidden="1"/>
    </xf>
    <xf numFmtId="4" fontId="12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2" borderId="5" xfId="0" applyFont="1" applyFill="1" applyBorder="1"/>
    <xf numFmtId="4" fontId="8" fillId="0" borderId="5" xfId="0" applyNumberFormat="1" applyFont="1" applyBorder="1"/>
    <xf numFmtId="4" fontId="8" fillId="2" borderId="5" xfId="0" applyNumberFormat="1" applyFont="1" applyFill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7" xfId="0" applyNumberFormat="1" applyBorder="1"/>
    <xf numFmtId="0" fontId="8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0" fillId="0" borderId="0" xfId="0" applyNumberFormat="1" applyProtection="1">
      <protection hidden="1"/>
    </xf>
    <xf numFmtId="0" fontId="3" fillId="0" borderId="0" xfId="2"/>
    <xf numFmtId="0" fontId="0" fillId="0" borderId="0" xfId="0" applyProtection="1">
      <protection hidden="1"/>
    </xf>
    <xf numFmtId="4" fontId="0" fillId="0" borderId="6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lor rgb="FFFF0000"/>
      </font>
    </dxf>
    <dxf>
      <font>
        <b/>
        <i val="0"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1210151</xdr:colOff>
      <xdr:row>3</xdr:row>
      <xdr:rowOff>125849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545097</xdr:colOff>
      <xdr:row>0</xdr:row>
      <xdr:rowOff>504309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3CCC5C7-F0EA-4A3E-A35D-33AF09455EB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50"/>
  <sheetViews>
    <sheetView workbookViewId="0">
      <selection activeCell="D23" sqref="D23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16384" width="9.140625" style="1"/>
  </cols>
  <sheetData>
    <row r="3" spans="3:5" x14ac:dyDescent="0.25">
      <c r="D3" s="2" t="s">
        <v>16</v>
      </c>
    </row>
    <row r="4" spans="3:5" x14ac:dyDescent="0.25">
      <c r="D4" s="2" t="s">
        <v>1331</v>
      </c>
    </row>
    <row r="6" spans="3:5" x14ac:dyDescent="0.25">
      <c r="C6" s="2" t="s">
        <v>17</v>
      </c>
      <c r="D6" s="3">
        <v>45642</v>
      </c>
    </row>
    <row r="7" spans="3:5" x14ac:dyDescent="0.25">
      <c r="C7" s="2" t="s">
        <v>18</v>
      </c>
      <c r="D7" s="25">
        <v>4.2721999999999998</v>
      </c>
    </row>
    <row r="9" spans="3:5" x14ac:dyDescent="0.25">
      <c r="C9" s="4"/>
      <c r="D9" s="5" t="s">
        <v>19</v>
      </c>
      <c r="E9" s="5" t="s">
        <v>20</v>
      </c>
    </row>
    <row r="10" spans="3:5" x14ac:dyDescent="0.25">
      <c r="C10" s="46" t="s">
        <v>21</v>
      </c>
      <c r="D10" s="6" t="s">
        <v>880</v>
      </c>
      <c r="E10" s="7">
        <v>0</v>
      </c>
    </row>
    <row r="11" spans="3:5" x14ac:dyDescent="0.25">
      <c r="C11" s="47"/>
      <c r="D11" s="8" t="s">
        <v>879</v>
      </c>
      <c r="E11" s="9">
        <v>0</v>
      </c>
    </row>
    <row r="12" spans="3:5" x14ac:dyDescent="0.25">
      <c r="C12" s="47"/>
      <c r="D12" s="8" t="s">
        <v>0</v>
      </c>
      <c r="E12" s="9">
        <v>0</v>
      </c>
    </row>
    <row r="13" spans="3:5" x14ac:dyDescent="0.25">
      <c r="C13" s="46" t="s">
        <v>22</v>
      </c>
      <c r="D13" s="6" t="s">
        <v>1</v>
      </c>
      <c r="E13" s="7">
        <v>0</v>
      </c>
    </row>
    <row r="14" spans="3:5" x14ac:dyDescent="0.25">
      <c r="C14" s="47"/>
      <c r="D14" s="8" t="s">
        <v>882</v>
      </c>
      <c r="E14" s="9">
        <v>0</v>
      </c>
    </row>
    <row r="15" spans="3:5" x14ac:dyDescent="0.25">
      <c r="C15" s="47"/>
      <c r="D15" s="8" t="s">
        <v>2</v>
      </c>
      <c r="E15" s="9">
        <v>0</v>
      </c>
    </row>
    <row r="16" spans="3:5" x14ac:dyDescent="0.25">
      <c r="C16" s="48"/>
      <c r="D16" s="10" t="s">
        <v>3</v>
      </c>
      <c r="E16" s="11">
        <v>0</v>
      </c>
    </row>
    <row r="17" spans="3:5" x14ac:dyDescent="0.25">
      <c r="C17" s="46" t="s">
        <v>23</v>
      </c>
      <c r="D17" s="6" t="s">
        <v>883</v>
      </c>
      <c r="E17" s="7">
        <v>0</v>
      </c>
    </row>
    <row r="18" spans="3:5" x14ac:dyDescent="0.25">
      <c r="C18" s="47"/>
      <c r="D18" s="8" t="s">
        <v>4</v>
      </c>
      <c r="E18" s="9">
        <v>0</v>
      </c>
    </row>
    <row r="19" spans="3:5" x14ac:dyDescent="0.25">
      <c r="C19" s="47"/>
      <c r="D19" s="8" t="s">
        <v>5</v>
      </c>
      <c r="E19" s="9">
        <v>0</v>
      </c>
    </row>
    <row r="20" spans="3:5" x14ac:dyDescent="0.25">
      <c r="C20" s="47"/>
      <c r="D20" s="8" t="s">
        <v>884</v>
      </c>
      <c r="E20" s="9">
        <v>0</v>
      </c>
    </row>
    <row r="21" spans="3:5" x14ac:dyDescent="0.25">
      <c r="C21" s="47"/>
      <c r="D21" s="8" t="s">
        <v>885</v>
      </c>
      <c r="E21" s="9">
        <v>0</v>
      </c>
    </row>
    <row r="22" spans="3:5" x14ac:dyDescent="0.25">
      <c r="C22" s="47"/>
      <c r="D22" s="8" t="s">
        <v>2123</v>
      </c>
      <c r="E22" s="9">
        <v>0</v>
      </c>
    </row>
    <row r="23" spans="3:5" x14ac:dyDescent="0.25">
      <c r="C23" s="47"/>
      <c r="D23" s="8" t="s">
        <v>6</v>
      </c>
      <c r="E23" s="9">
        <v>0</v>
      </c>
    </row>
    <row r="24" spans="3:5" x14ac:dyDescent="0.25">
      <c r="C24" s="47"/>
      <c r="D24" s="8" t="s">
        <v>7</v>
      </c>
      <c r="E24" s="9">
        <v>0</v>
      </c>
    </row>
    <row r="25" spans="3:5" x14ac:dyDescent="0.25">
      <c r="C25" s="48"/>
      <c r="D25" s="10" t="s">
        <v>8</v>
      </c>
      <c r="E25" s="11">
        <v>0</v>
      </c>
    </row>
    <row r="26" spans="3:5" x14ac:dyDescent="0.25">
      <c r="C26" s="46" t="s">
        <v>24</v>
      </c>
      <c r="D26" s="6" t="s">
        <v>886</v>
      </c>
      <c r="E26" s="7">
        <v>0</v>
      </c>
    </row>
    <row r="27" spans="3:5" x14ac:dyDescent="0.25">
      <c r="C27" s="47"/>
      <c r="D27" s="8" t="s">
        <v>888</v>
      </c>
      <c r="E27" s="9">
        <v>0</v>
      </c>
    </row>
    <row r="28" spans="3:5" x14ac:dyDescent="0.25">
      <c r="C28" s="47"/>
      <c r="D28" s="8" t="s">
        <v>9</v>
      </c>
      <c r="E28" s="9">
        <v>0</v>
      </c>
    </row>
    <row r="29" spans="3:5" x14ac:dyDescent="0.25">
      <c r="C29" s="47"/>
      <c r="D29" s="8" t="s">
        <v>10</v>
      </c>
      <c r="E29" s="9">
        <v>0</v>
      </c>
    </row>
    <row r="30" spans="3:5" x14ac:dyDescent="0.25">
      <c r="C30" s="49"/>
      <c r="D30" s="8" t="s">
        <v>852</v>
      </c>
      <c r="E30" s="9">
        <v>0</v>
      </c>
    </row>
    <row r="31" spans="3:5" x14ac:dyDescent="0.25">
      <c r="C31" s="48"/>
      <c r="D31" s="10" t="s">
        <v>887</v>
      </c>
      <c r="E31" s="11">
        <v>0</v>
      </c>
    </row>
    <row r="32" spans="3:5" x14ac:dyDescent="0.25">
      <c r="C32" s="50" t="s">
        <v>25</v>
      </c>
      <c r="D32" s="8" t="s">
        <v>881</v>
      </c>
      <c r="E32" s="9">
        <v>0</v>
      </c>
    </row>
    <row r="33" spans="2:5" x14ac:dyDescent="0.25">
      <c r="C33" s="51"/>
      <c r="D33" s="8" t="s">
        <v>1270</v>
      </c>
      <c r="E33" s="9">
        <v>0</v>
      </c>
    </row>
    <row r="34" spans="2:5" x14ac:dyDescent="0.25">
      <c r="C34" s="38" t="s">
        <v>43</v>
      </c>
      <c r="D34" s="6" t="s">
        <v>945</v>
      </c>
      <c r="E34" s="9">
        <v>0</v>
      </c>
    </row>
    <row r="35" spans="2:5" x14ac:dyDescent="0.25">
      <c r="C35" s="39" t="s">
        <v>1058</v>
      </c>
      <c r="D35" s="8" t="s">
        <v>945</v>
      </c>
      <c r="E35" s="9">
        <v>0</v>
      </c>
    </row>
    <row r="36" spans="2:5" ht="30" x14ac:dyDescent="0.25">
      <c r="C36" s="39" t="s">
        <v>1059</v>
      </c>
      <c r="D36" s="8" t="s">
        <v>945</v>
      </c>
      <c r="E36" s="9">
        <v>0</v>
      </c>
    </row>
    <row r="37" spans="2:5" x14ac:dyDescent="0.25">
      <c r="C37" s="39" t="s">
        <v>22</v>
      </c>
      <c r="D37" s="8" t="s">
        <v>945</v>
      </c>
      <c r="E37" s="9">
        <v>0</v>
      </c>
    </row>
    <row r="38" spans="2:5" x14ac:dyDescent="0.25">
      <c r="C38" s="39" t="s">
        <v>1006</v>
      </c>
      <c r="D38" s="8" t="s">
        <v>945</v>
      </c>
      <c r="E38" s="9">
        <v>0</v>
      </c>
    </row>
    <row r="39" spans="2:5" x14ac:dyDescent="0.25">
      <c r="C39" s="39" t="s">
        <v>1060</v>
      </c>
      <c r="D39" s="8" t="s">
        <v>945</v>
      </c>
      <c r="E39" s="9">
        <v>0</v>
      </c>
    </row>
    <row r="40" spans="2:5" x14ac:dyDescent="0.25">
      <c r="C40" s="39" t="s">
        <v>1008</v>
      </c>
      <c r="D40" s="8" t="s">
        <v>945</v>
      </c>
      <c r="E40" s="9">
        <v>0</v>
      </c>
    </row>
    <row r="41" spans="2:5" x14ac:dyDescent="0.25">
      <c r="C41" s="40" t="s">
        <v>1061</v>
      </c>
      <c r="D41" s="10" t="s">
        <v>945</v>
      </c>
      <c r="E41" s="11">
        <v>0</v>
      </c>
    </row>
    <row r="42" spans="2:5" x14ac:dyDescent="0.25">
      <c r="C42" s="12"/>
      <c r="D42" s="13"/>
      <c r="E42" s="14"/>
    </row>
    <row r="43" spans="2:5" x14ac:dyDescent="0.25">
      <c r="C43" s="12"/>
      <c r="D43" s="13"/>
      <c r="E43" s="14"/>
    </row>
    <row r="44" spans="2:5" x14ac:dyDescent="0.25">
      <c r="B44" s="17" t="s">
        <v>26</v>
      </c>
      <c r="C44" s="12"/>
      <c r="D44" s="13"/>
      <c r="E44" s="14"/>
    </row>
    <row r="45" spans="2:5" x14ac:dyDescent="0.25">
      <c r="B45" s="17" t="s">
        <v>27</v>
      </c>
    </row>
    <row r="47" spans="2:5" x14ac:dyDescent="0.25">
      <c r="B47" s="15" t="s">
        <v>11</v>
      </c>
    </row>
    <row r="50" spans="4:4" ht="18.75" x14ac:dyDescent="0.3">
      <c r="D50" s="16" t="s">
        <v>12</v>
      </c>
    </row>
  </sheetData>
  <sheetProtection algorithmName="SHA-512" hashValue="PPC5E0Ug8lbh/zWOqaYszC61z1gwubTs/Ovyguh8p22YdxRVwUyrFnECT9w6jyTCS3Z++sMt8fJ8lvUH/uobcQ==" saltValue="LBAXLrBLiUABRlX56PG2Hg==" spinCount="100000" sheet="1" objects="1" scenarios="1"/>
  <mergeCells count="5">
    <mergeCell ref="C10:C12"/>
    <mergeCell ref="C13:C16"/>
    <mergeCell ref="C17:C25"/>
    <mergeCell ref="C26:C31"/>
    <mergeCell ref="C32:C33"/>
  </mergeCells>
  <hyperlinks>
    <hyperlink ref="D50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A3000"/>
  <sheetViews>
    <sheetView showGridLines="0" tabSelected="1" topLeftCell="H1" zoomScale="90" zoomScaleNormal="90" workbookViewId="0">
      <pane ySplit="2" topLeftCell="A635" activePane="bottomLeft" state="frozen"/>
      <selection pane="bottomLeft" activeCell="O1" sqref="O1:O1048576"/>
    </sheetView>
  </sheetViews>
  <sheetFormatPr defaultColWidth="9.140625" defaultRowHeight="12.75" x14ac:dyDescent="0.2"/>
  <cols>
    <col min="1" max="1" width="20.5703125" style="17" bestFit="1" customWidth="1"/>
    <col min="2" max="2" width="37.28515625" style="17" bestFit="1" customWidth="1"/>
    <col min="3" max="3" width="34.140625" style="17" customWidth="1"/>
    <col min="4" max="4" width="19.28515625" style="17" bestFit="1" customWidth="1"/>
    <col min="5" max="5" width="18.140625" style="17" bestFit="1" customWidth="1"/>
    <col min="6" max="6" width="46.28515625" style="17" bestFit="1" customWidth="1"/>
    <col min="7" max="7" width="16.7109375" style="17" bestFit="1" customWidth="1"/>
    <col min="8" max="8" width="12" style="17" bestFit="1" customWidth="1"/>
    <col min="9" max="9" width="17.7109375" style="17" hidden="1" customWidth="1"/>
    <col min="10" max="11" width="12.7109375" style="17" customWidth="1"/>
    <col min="12" max="12" width="8.5703125" style="17" bestFit="1" customWidth="1"/>
    <col min="13" max="13" width="15.7109375" style="17" bestFit="1" customWidth="1"/>
    <col min="14" max="14" width="13.28515625" style="17" bestFit="1" customWidth="1"/>
    <col min="15" max="18" width="12.7109375" style="17" customWidth="1"/>
    <col min="19" max="19" width="70.140625" style="17" bestFit="1" customWidth="1"/>
    <col min="20" max="20" width="42.5703125" style="17" bestFit="1" customWidth="1"/>
    <col min="21" max="25" width="12.7109375" style="18" customWidth="1"/>
    <col min="26" max="16384" width="9.140625" style="17"/>
  </cols>
  <sheetData>
    <row r="1" spans="1:25" ht="45" customHeight="1" x14ac:dyDescent="0.2">
      <c r="B1" s="24" t="s">
        <v>28</v>
      </c>
      <c r="C1" s="21">
        <f>'enter the discount'!D6</f>
        <v>45642</v>
      </c>
      <c r="D1" s="23" t="s">
        <v>12</v>
      </c>
      <c r="E1" s="22"/>
      <c r="M1" s="19"/>
      <c r="R1" s="20"/>
    </row>
    <row r="2" spans="1:25" ht="38.25" x14ac:dyDescent="0.2">
      <c r="A2" s="26" t="s">
        <v>29</v>
      </c>
      <c r="B2" s="26" t="s">
        <v>30</v>
      </c>
      <c r="C2" s="26" t="s">
        <v>31</v>
      </c>
      <c r="D2" s="26" t="s">
        <v>2381</v>
      </c>
      <c r="E2" s="26" t="s">
        <v>2382</v>
      </c>
      <c r="F2" s="26" t="s">
        <v>2383</v>
      </c>
      <c r="G2" s="26" t="s">
        <v>2384</v>
      </c>
      <c r="H2" s="26" t="s">
        <v>19</v>
      </c>
      <c r="I2" s="27" t="s">
        <v>2385</v>
      </c>
      <c r="J2" s="27" t="s">
        <v>2386</v>
      </c>
      <c r="K2" s="27" t="s">
        <v>2387</v>
      </c>
      <c r="L2" s="26" t="s">
        <v>13</v>
      </c>
      <c r="M2" s="26" t="s">
        <v>2388</v>
      </c>
      <c r="N2" s="26" t="s">
        <v>2389</v>
      </c>
      <c r="O2" s="26" t="s">
        <v>2390</v>
      </c>
      <c r="P2" s="26" t="s">
        <v>2391</v>
      </c>
      <c r="Q2" s="26" t="s">
        <v>32</v>
      </c>
      <c r="R2" s="26" t="s">
        <v>33</v>
      </c>
      <c r="S2" s="26" t="s">
        <v>861</v>
      </c>
      <c r="T2" s="26" t="s">
        <v>857</v>
      </c>
      <c r="U2" s="28" t="s">
        <v>34</v>
      </c>
      <c r="V2" s="28" t="s">
        <v>35</v>
      </c>
      <c r="W2" s="28" t="s">
        <v>36</v>
      </c>
      <c r="X2" s="28" t="s">
        <v>37</v>
      </c>
      <c r="Y2" s="28" t="s">
        <v>38</v>
      </c>
    </row>
    <row r="3" spans="1:25" ht="15" x14ac:dyDescent="0.25">
      <c r="A3" t="s">
        <v>21</v>
      </c>
      <c r="B3" t="s">
        <v>43</v>
      </c>
      <c r="C3" t="s">
        <v>80</v>
      </c>
      <c r="D3" t="s">
        <v>111</v>
      </c>
      <c r="E3" t="s">
        <v>14</v>
      </c>
      <c r="F3" t="s">
        <v>1696</v>
      </c>
      <c r="G3" t="s">
        <v>117</v>
      </c>
      <c r="H3" t="s">
        <v>879</v>
      </c>
      <c r="I3">
        <v>56</v>
      </c>
      <c r="J3" s="41">
        <f>I3/'enter the discount'!$D$7</f>
        <v>13.108000561771453</v>
      </c>
      <c r="K3" s="41">
        <f>J3*(1-IFERROR(VLOOKUP(H3,'enter the discount'!$D$10:$E$40,2,FALSE),0))</f>
        <v>13.108000561771453</v>
      </c>
      <c r="L3" s="43" t="s">
        <v>858</v>
      </c>
      <c r="M3" t="s">
        <v>479</v>
      </c>
      <c r="N3" t="s">
        <v>926</v>
      </c>
      <c r="O3" t="s">
        <v>2723</v>
      </c>
      <c r="P3">
        <v>100</v>
      </c>
      <c r="Q3">
        <v>0</v>
      </c>
      <c r="R3" t="s">
        <v>2465</v>
      </c>
      <c r="S3" s="42" t="str">
        <f>HYPERLINK("https://sklep.kobi.pl/produkt/led-es111-gu10-15w-4000k")</f>
        <v>https://sklep.kobi.pl/produkt/led-es111-gu10-15w-4000k</v>
      </c>
      <c r="T3" s="42" t="str">
        <f>HYPERLINK("https://eprel.ec.europa.eu/qr/659606         ")</f>
        <v xml:space="preserve">https://eprel.ec.europa.eu/qr/659606         </v>
      </c>
      <c r="U3">
        <v>0.12</v>
      </c>
      <c r="V3">
        <v>0.14899999999999999</v>
      </c>
      <c r="W3">
        <v>115</v>
      </c>
      <c r="X3">
        <v>75</v>
      </c>
      <c r="Y3">
        <v>115</v>
      </c>
    </row>
    <row r="4" spans="1:25" ht="15" x14ac:dyDescent="0.25">
      <c r="A4" t="s">
        <v>21</v>
      </c>
      <c r="B4" t="s">
        <v>43</v>
      </c>
      <c r="C4" t="s">
        <v>64</v>
      </c>
      <c r="D4" t="s">
        <v>111</v>
      </c>
      <c r="E4" t="s">
        <v>14</v>
      </c>
      <c r="F4" t="s">
        <v>1697</v>
      </c>
      <c r="G4" t="s">
        <v>118</v>
      </c>
      <c r="H4" t="s">
        <v>879</v>
      </c>
      <c r="I4">
        <v>12.85</v>
      </c>
      <c r="J4" s="41">
        <f>I4/'enter the discount'!$D$7</f>
        <v>3.0078179860493424</v>
      </c>
      <c r="K4" s="41">
        <f>J4*(1-IFERROR(VLOOKUP(H4,'enter the discount'!$D$10:$E$40,2,FALSE),0))</f>
        <v>3.0078179860493424</v>
      </c>
      <c r="L4" s="43" t="s">
        <v>859</v>
      </c>
      <c r="M4" t="s">
        <v>480</v>
      </c>
      <c r="N4" t="s">
        <v>926</v>
      </c>
      <c r="O4" t="s">
        <v>2723</v>
      </c>
      <c r="P4">
        <v>100</v>
      </c>
      <c r="Q4">
        <v>3500</v>
      </c>
      <c r="R4" t="s">
        <v>2465</v>
      </c>
      <c r="S4" s="42" t="str">
        <f>HYPERLINK("https://sklep.kobi.pl/produkt/led-fde-e14-4w-3000k-380lm-cb")</f>
        <v>https://sklep.kobi.pl/produkt/led-fde-e14-4w-3000k-380lm-cb</v>
      </c>
      <c r="T4" s="42" t="str">
        <f>HYPERLINK("https://eprel.ec.europa.eu/qr/659618         ")</f>
        <v xml:space="preserve">https://eprel.ec.europa.eu/qr/659618         </v>
      </c>
      <c r="U4">
        <v>1.2E-2</v>
      </c>
      <c r="V4">
        <v>2.5999999999999999E-2</v>
      </c>
      <c r="W4">
        <v>33</v>
      </c>
      <c r="X4">
        <v>40</v>
      </c>
      <c r="Y4">
        <v>125</v>
      </c>
    </row>
    <row r="5" spans="1:25" ht="15" x14ac:dyDescent="0.25">
      <c r="A5" t="s">
        <v>21</v>
      </c>
      <c r="B5" t="s">
        <v>43</v>
      </c>
      <c r="C5" t="s">
        <v>64</v>
      </c>
      <c r="D5" t="s">
        <v>111</v>
      </c>
      <c r="E5" t="s">
        <v>14</v>
      </c>
      <c r="F5" t="s">
        <v>1698</v>
      </c>
      <c r="G5" t="s">
        <v>119</v>
      </c>
      <c r="H5" t="s">
        <v>879</v>
      </c>
      <c r="I5">
        <v>14.24</v>
      </c>
      <c r="J5" s="41">
        <f>I5/'enter the discount'!$D$7</f>
        <v>3.3331772857075981</v>
      </c>
      <c r="K5" s="41">
        <f>J5*(1-IFERROR(VLOOKUP(H5,'enter the discount'!$D$10:$E$40,2,FALSE),0))</f>
        <v>3.3331772857075981</v>
      </c>
      <c r="L5" s="43" t="s">
        <v>859</v>
      </c>
      <c r="M5" t="s">
        <v>481</v>
      </c>
      <c r="N5" t="s">
        <v>926</v>
      </c>
      <c r="O5" t="s">
        <v>2723</v>
      </c>
      <c r="P5">
        <v>100</v>
      </c>
      <c r="Q5">
        <v>4200</v>
      </c>
      <c r="R5" t="s">
        <v>2465</v>
      </c>
      <c r="S5" s="42" t="str">
        <f>HYPERLINK("https://sklep.kobi.pl/produkt/led-fmb-e14-4w-3000k-cb")</f>
        <v>https://sklep.kobi.pl/produkt/led-fmb-e14-4w-3000k-cb</v>
      </c>
      <c r="T5" s="42" t="str">
        <f>HYPERLINK("https://eprel.ec.europa.eu/qr/659698         ")</f>
        <v xml:space="preserve">https://eprel.ec.europa.eu/qr/659698         </v>
      </c>
      <c r="U5">
        <v>1.4E-2</v>
      </c>
      <c r="V5">
        <v>2.8000000000000001E-2</v>
      </c>
      <c r="W5">
        <v>49</v>
      </c>
      <c r="X5">
        <v>49</v>
      </c>
      <c r="Y5">
        <v>85</v>
      </c>
    </row>
    <row r="6" spans="1:25" ht="15" x14ac:dyDescent="0.25">
      <c r="A6" t="s">
        <v>21</v>
      </c>
      <c r="B6" t="s">
        <v>43</v>
      </c>
      <c r="C6" t="s">
        <v>64</v>
      </c>
      <c r="D6" t="s">
        <v>111</v>
      </c>
      <c r="E6" t="s">
        <v>14</v>
      </c>
      <c r="F6" t="s">
        <v>1699</v>
      </c>
      <c r="G6" t="s">
        <v>120</v>
      </c>
      <c r="H6" t="s">
        <v>879</v>
      </c>
      <c r="I6">
        <v>14.24</v>
      </c>
      <c r="J6" s="41">
        <f>I6/'enter the discount'!$D$7</f>
        <v>3.3331772857075981</v>
      </c>
      <c r="K6" s="41">
        <f>J6*(1-IFERROR(VLOOKUP(H6,'enter the discount'!$D$10:$E$40,2,FALSE),0))</f>
        <v>3.3331772857075981</v>
      </c>
      <c r="L6" s="43" t="s">
        <v>859</v>
      </c>
      <c r="M6" t="s">
        <v>482</v>
      </c>
      <c r="N6" t="s">
        <v>926</v>
      </c>
      <c r="O6" t="s">
        <v>2723</v>
      </c>
      <c r="P6">
        <v>100</v>
      </c>
      <c r="Q6">
        <v>4200</v>
      </c>
      <c r="R6" t="s">
        <v>2465</v>
      </c>
      <c r="S6" s="42" t="str">
        <f>HYPERLINK("https://sklep.kobi.pl/produkt/led-fsw-e14-4w-3000k-400lm-cb")</f>
        <v>https://sklep.kobi.pl/produkt/led-fsw-e14-4w-3000k-400lm-cb</v>
      </c>
      <c r="T6" s="42" t="str">
        <f>HYPERLINK("https://eprel.ec.europa.eu/qr/659719         ")</f>
        <v xml:space="preserve">https://eprel.ec.europa.eu/qr/659719         </v>
      </c>
      <c r="U6">
        <v>1.2999999999999999E-2</v>
      </c>
      <c r="V6">
        <v>2.4E-2</v>
      </c>
      <c r="W6">
        <v>39</v>
      </c>
      <c r="X6">
        <v>40</v>
      </c>
      <c r="Y6">
        <v>110</v>
      </c>
    </row>
    <row r="7" spans="1:25" ht="15" x14ac:dyDescent="0.25">
      <c r="A7" t="s">
        <v>21</v>
      </c>
      <c r="B7" t="s">
        <v>43</v>
      </c>
      <c r="C7" t="s">
        <v>85</v>
      </c>
      <c r="D7" t="s">
        <v>111</v>
      </c>
      <c r="E7" t="s">
        <v>2722</v>
      </c>
      <c r="F7" t="s">
        <v>1700</v>
      </c>
      <c r="G7" t="s">
        <v>121</v>
      </c>
      <c r="H7" t="s">
        <v>879</v>
      </c>
      <c r="I7">
        <v>50.5</v>
      </c>
      <c r="J7" s="41">
        <f>I7/'enter the discount'!$D$7</f>
        <v>11.820607649454614</v>
      </c>
      <c r="K7" s="41">
        <f>J7*(1-IFERROR(VLOOKUP(H7,'enter the discount'!$D$10:$E$40,2,FALSE),0))</f>
        <v>11.820607649454614</v>
      </c>
      <c r="L7" s="43" t="s">
        <v>859</v>
      </c>
      <c r="M7" t="s">
        <v>483</v>
      </c>
      <c r="N7" t="s">
        <v>926</v>
      </c>
      <c r="O7" t="s">
        <v>2723</v>
      </c>
      <c r="P7">
        <v>50</v>
      </c>
      <c r="Q7">
        <v>300</v>
      </c>
      <c r="R7" t="s">
        <v>2465</v>
      </c>
      <c r="S7"/>
      <c r="T7" s="42" t="str">
        <f>HYPERLINK("https://eprel.ec.europa.eu/qr/659623         ")</f>
        <v xml:space="preserve">https://eprel.ec.europa.eu/qr/659623         </v>
      </c>
      <c r="U7">
        <v>0.1</v>
      </c>
      <c r="V7">
        <v>0.20100000000000001</v>
      </c>
      <c r="W7">
        <v>135</v>
      </c>
      <c r="X7">
        <v>205</v>
      </c>
      <c r="Y7">
        <v>130</v>
      </c>
    </row>
    <row r="8" spans="1:25" ht="15" x14ac:dyDescent="0.25">
      <c r="A8" t="s">
        <v>21</v>
      </c>
      <c r="B8" t="s">
        <v>43</v>
      </c>
      <c r="C8" t="s">
        <v>85</v>
      </c>
      <c r="D8" t="s">
        <v>111</v>
      </c>
      <c r="E8" t="s">
        <v>14</v>
      </c>
      <c r="F8" t="s">
        <v>1701</v>
      </c>
      <c r="G8" t="s">
        <v>122</v>
      </c>
      <c r="H8" t="s">
        <v>879</v>
      </c>
      <c r="I8">
        <v>17.5</v>
      </c>
      <c r="J8" s="41">
        <f>I8/'enter the discount'!$D$7</f>
        <v>4.0962501755535792</v>
      </c>
      <c r="K8" s="41">
        <f>J8*(1-IFERROR(VLOOKUP(H8,'enter the discount'!$D$10:$E$40,2,FALSE),0))</f>
        <v>4.0962501755535792</v>
      </c>
      <c r="L8" s="43" t="s">
        <v>859</v>
      </c>
      <c r="M8" t="s">
        <v>484</v>
      </c>
      <c r="N8" t="s">
        <v>926</v>
      </c>
      <c r="O8" t="s">
        <v>2723</v>
      </c>
      <c r="P8">
        <v>100</v>
      </c>
      <c r="Q8">
        <v>2500</v>
      </c>
      <c r="R8" t="s">
        <v>2465</v>
      </c>
      <c r="S8" s="42" t="str">
        <f>HYPERLINK("https://sklep.kobi.pl/produkt/led-fgs-7w-e27-3000k")</f>
        <v>https://sklep.kobi.pl/produkt/led-fgs-7w-e27-3000k</v>
      </c>
      <c r="T8" s="42" t="str">
        <f>HYPERLINK("https://eprel.ec.europa.eu/qr/659645         ")</f>
        <v xml:space="preserve">https://eprel.ec.europa.eu/qr/659645         </v>
      </c>
      <c r="U8">
        <v>0.03</v>
      </c>
      <c r="V8">
        <v>4.7E-2</v>
      </c>
      <c r="W8">
        <v>65</v>
      </c>
      <c r="X8">
        <v>115</v>
      </c>
      <c r="Y8">
        <v>60</v>
      </c>
    </row>
    <row r="9" spans="1:25" ht="15" x14ac:dyDescent="0.25">
      <c r="A9" t="s">
        <v>21</v>
      </c>
      <c r="B9" t="s">
        <v>43</v>
      </c>
      <c r="C9" t="s">
        <v>85</v>
      </c>
      <c r="D9" t="s">
        <v>111</v>
      </c>
      <c r="E9" t="s">
        <v>14</v>
      </c>
      <c r="F9" t="s">
        <v>1702</v>
      </c>
      <c r="G9" t="s">
        <v>123</v>
      </c>
      <c r="H9" t="s">
        <v>879</v>
      </c>
      <c r="I9">
        <v>17.5</v>
      </c>
      <c r="J9" s="41">
        <f>I9/'enter the discount'!$D$7</f>
        <v>4.0962501755535792</v>
      </c>
      <c r="K9" s="41">
        <f>J9*(1-IFERROR(VLOOKUP(H9,'enter the discount'!$D$10:$E$40,2,FALSE),0))</f>
        <v>4.0962501755535792</v>
      </c>
      <c r="L9" s="43" t="s">
        <v>859</v>
      </c>
      <c r="M9" t="s">
        <v>485</v>
      </c>
      <c r="N9" t="s">
        <v>926</v>
      </c>
      <c r="O9" t="s">
        <v>2723</v>
      </c>
      <c r="P9">
        <v>100</v>
      </c>
      <c r="Q9">
        <v>2500</v>
      </c>
      <c r="R9" t="s">
        <v>2465</v>
      </c>
      <c r="S9" s="42" t="str">
        <f>HYPERLINK("https://sklep.kobi.pl/produkt/led-fgs-7w-e27-4000k")</f>
        <v>https://sklep.kobi.pl/produkt/led-fgs-7w-e27-4000k</v>
      </c>
      <c r="T9" s="42" t="str">
        <f>HYPERLINK("https://eprel.ec.europa.eu/qr/659651         ")</f>
        <v xml:space="preserve">https://eprel.ec.europa.eu/qr/659651         </v>
      </c>
      <c r="U9">
        <v>0.03</v>
      </c>
      <c r="V9">
        <v>4.7E-2</v>
      </c>
      <c r="W9">
        <v>65</v>
      </c>
      <c r="X9">
        <v>115</v>
      </c>
      <c r="Y9">
        <v>60</v>
      </c>
    </row>
    <row r="10" spans="1:25" ht="15" x14ac:dyDescent="0.25">
      <c r="A10" t="s">
        <v>21</v>
      </c>
      <c r="B10" t="s">
        <v>43</v>
      </c>
      <c r="C10" t="s">
        <v>85</v>
      </c>
      <c r="D10" t="s">
        <v>111</v>
      </c>
      <c r="E10" t="s">
        <v>14</v>
      </c>
      <c r="F10" t="s">
        <v>1703</v>
      </c>
      <c r="G10" t="s">
        <v>124</v>
      </c>
      <c r="H10" t="s">
        <v>879</v>
      </c>
      <c r="I10">
        <v>34.6</v>
      </c>
      <c r="J10" s="41">
        <f>I10/'enter the discount'!$D$7</f>
        <v>8.0988717756659341</v>
      </c>
      <c r="K10" s="41">
        <f>J10*(1-IFERROR(VLOOKUP(H10,'enter the discount'!$D$10:$E$40,2,FALSE),0))</f>
        <v>8.0988717756659341</v>
      </c>
      <c r="L10" s="43" t="s">
        <v>859</v>
      </c>
      <c r="M10" t="s">
        <v>486</v>
      </c>
      <c r="N10" t="s">
        <v>926</v>
      </c>
      <c r="O10" t="s">
        <v>2723</v>
      </c>
      <c r="P10">
        <v>100</v>
      </c>
      <c r="Q10">
        <v>2500</v>
      </c>
      <c r="R10" t="s">
        <v>2465</v>
      </c>
      <c r="S10" s="42" t="str">
        <f>HYPERLINK("https://sklep.kobi.pl/produkt/led-fgs-115w-e27-3000k")</f>
        <v>https://sklep.kobi.pl/produkt/led-fgs-115w-e27-3000k</v>
      </c>
      <c r="T10" s="42" t="str">
        <f>HYPERLINK("https://eprel.ec.europa.eu/qr/659629         ")</f>
        <v xml:space="preserve">https://eprel.ec.europa.eu/qr/659629         </v>
      </c>
      <c r="U10">
        <v>3.3000000000000002E-2</v>
      </c>
      <c r="V10">
        <v>6.7000000000000004E-2</v>
      </c>
      <c r="W10">
        <v>140</v>
      </c>
      <c r="X10">
        <v>70</v>
      </c>
      <c r="Y10">
        <v>70</v>
      </c>
    </row>
    <row r="11" spans="1:25" ht="15" x14ac:dyDescent="0.25">
      <c r="A11" t="s">
        <v>21</v>
      </c>
      <c r="B11" t="s">
        <v>43</v>
      </c>
      <c r="C11" t="s">
        <v>85</v>
      </c>
      <c r="D11" t="s">
        <v>111</v>
      </c>
      <c r="E11" t="s">
        <v>14</v>
      </c>
      <c r="F11" t="s">
        <v>1704</v>
      </c>
      <c r="G11" t="s">
        <v>125</v>
      </c>
      <c r="H11" t="s">
        <v>879</v>
      </c>
      <c r="I11">
        <v>34.6</v>
      </c>
      <c r="J11" s="41">
        <f>I11/'enter the discount'!$D$7</f>
        <v>8.0988717756659341</v>
      </c>
      <c r="K11" s="41">
        <f>J11*(1-IFERROR(VLOOKUP(H11,'enter the discount'!$D$10:$E$40,2,FALSE),0))</f>
        <v>8.0988717756659341</v>
      </c>
      <c r="L11" s="43" t="s">
        <v>859</v>
      </c>
      <c r="M11" t="s">
        <v>487</v>
      </c>
      <c r="N11" t="s">
        <v>926</v>
      </c>
      <c r="O11" t="s">
        <v>2723</v>
      </c>
      <c r="P11">
        <v>100</v>
      </c>
      <c r="Q11">
        <v>2500</v>
      </c>
      <c r="R11" t="s">
        <v>2465</v>
      </c>
      <c r="S11" s="42" t="str">
        <f>HYPERLINK("https://sklep.kobi.pl/produkt/led-fgs-115w-e27-4000k")</f>
        <v>https://sklep.kobi.pl/produkt/led-fgs-115w-e27-4000k</v>
      </c>
      <c r="T11" s="42" t="str">
        <f>HYPERLINK("https://eprel.ec.europa.eu/qr/659640         ")</f>
        <v xml:space="preserve">https://eprel.ec.europa.eu/qr/659640         </v>
      </c>
      <c r="U11">
        <v>3.3000000000000002E-2</v>
      </c>
      <c r="V11">
        <v>6.7000000000000004E-2</v>
      </c>
      <c r="W11">
        <v>140</v>
      </c>
      <c r="X11">
        <v>70</v>
      </c>
      <c r="Y11">
        <v>70</v>
      </c>
    </row>
    <row r="12" spans="1:25" ht="15" x14ac:dyDescent="0.25">
      <c r="A12" t="s">
        <v>21</v>
      </c>
      <c r="B12" t="s">
        <v>43</v>
      </c>
      <c r="C12" t="s">
        <v>85</v>
      </c>
      <c r="D12" t="s">
        <v>111</v>
      </c>
      <c r="E12" t="s">
        <v>14</v>
      </c>
      <c r="F12" t="s">
        <v>1705</v>
      </c>
      <c r="G12" t="s">
        <v>126</v>
      </c>
      <c r="H12" t="s">
        <v>879</v>
      </c>
      <c r="I12">
        <v>11.57</v>
      </c>
      <c r="J12" s="41">
        <f>I12/'enter the discount'!$D$7</f>
        <v>2.7082065446374237</v>
      </c>
      <c r="K12" s="41">
        <f>J12*(1-IFERROR(VLOOKUP(H12,'enter the discount'!$D$10:$E$40,2,FALSE),0))</f>
        <v>2.7082065446374237</v>
      </c>
      <c r="L12" s="43" t="s">
        <v>2549</v>
      </c>
      <c r="M12" t="s">
        <v>488</v>
      </c>
      <c r="N12" t="s">
        <v>926</v>
      </c>
      <c r="O12" t="s">
        <v>2723</v>
      </c>
      <c r="P12">
        <v>100</v>
      </c>
      <c r="Q12">
        <v>4200</v>
      </c>
      <c r="R12" t="s">
        <v>2465</v>
      </c>
      <c r="S12" s="42" t="str">
        <f>HYPERLINK("https://sklep.kobi.pl/produkt/led-fmb-1w-e27-3000k")</f>
        <v>https://sklep.kobi.pl/produkt/led-fmb-1w-e27-3000k</v>
      </c>
      <c r="T12" s="42" t="str">
        <f>HYPERLINK("https://eprel.ec.europa.eu/qr/NIE DOTYCZY    ")</f>
        <v xml:space="preserve">https://eprel.ec.europa.eu/qr/NIE DOTYCZY    </v>
      </c>
      <c r="U12">
        <v>1.2999999999999999E-2</v>
      </c>
      <c r="V12">
        <v>0.02</v>
      </c>
      <c r="W12">
        <v>55</v>
      </c>
      <c r="X12">
        <v>90</v>
      </c>
      <c r="Y12">
        <v>55</v>
      </c>
    </row>
    <row r="13" spans="1:25" ht="15" x14ac:dyDescent="0.25">
      <c r="A13" t="s">
        <v>21</v>
      </c>
      <c r="B13" t="s">
        <v>43</v>
      </c>
      <c r="C13" t="s">
        <v>85</v>
      </c>
      <c r="D13" t="s">
        <v>111</v>
      </c>
      <c r="E13" t="s">
        <v>14</v>
      </c>
      <c r="F13" t="s">
        <v>1706</v>
      </c>
      <c r="G13" t="s">
        <v>127</v>
      </c>
      <c r="H13" t="s">
        <v>879</v>
      </c>
      <c r="I13">
        <v>14.24</v>
      </c>
      <c r="J13" s="41">
        <f>I13/'enter the discount'!$D$7</f>
        <v>3.3331772857075981</v>
      </c>
      <c r="K13" s="41">
        <f>J13*(1-IFERROR(VLOOKUP(H13,'enter the discount'!$D$10:$E$40,2,FALSE),0))</f>
        <v>3.3331772857075981</v>
      </c>
      <c r="L13" s="43" t="s">
        <v>859</v>
      </c>
      <c r="M13" t="s">
        <v>489</v>
      </c>
      <c r="N13" t="s">
        <v>926</v>
      </c>
      <c r="O13" t="s">
        <v>2723</v>
      </c>
      <c r="P13">
        <v>100</v>
      </c>
      <c r="Q13">
        <v>3500</v>
      </c>
      <c r="R13" t="s">
        <v>2465</v>
      </c>
      <c r="S13" s="42" t="str">
        <f>HYPERLINK("https://sklep.kobi.pl/produkt/led-fmb-e27-4w-3000k-cb")</f>
        <v>https://sklep.kobi.pl/produkt/led-fmb-e27-4w-3000k-cb</v>
      </c>
      <c r="T13" s="42" t="str">
        <f>HYPERLINK("https://eprel.ec.europa.eu/qr/659707         ")</f>
        <v xml:space="preserve">https://eprel.ec.europa.eu/qr/659707         </v>
      </c>
      <c r="U13">
        <v>1.7999999999999999E-2</v>
      </c>
      <c r="V13">
        <v>3.2000000000000001E-2</v>
      </c>
      <c r="W13">
        <v>48</v>
      </c>
      <c r="X13">
        <v>50</v>
      </c>
      <c r="Y13">
        <v>86</v>
      </c>
    </row>
    <row r="14" spans="1:25" ht="15" x14ac:dyDescent="0.25">
      <c r="A14" t="s">
        <v>21</v>
      </c>
      <c r="B14" t="s">
        <v>43</v>
      </c>
      <c r="C14" t="s">
        <v>85</v>
      </c>
      <c r="D14" t="s">
        <v>111</v>
      </c>
      <c r="E14" t="s">
        <v>2722</v>
      </c>
      <c r="F14" t="s">
        <v>1707</v>
      </c>
      <c r="G14" t="s">
        <v>128</v>
      </c>
      <c r="H14" t="s">
        <v>879</v>
      </c>
      <c r="I14">
        <v>34.799999999999997</v>
      </c>
      <c r="J14" s="41">
        <f>I14/'enter the discount'!$D$7</f>
        <v>8.1456860633865453</v>
      </c>
      <c r="K14" s="41">
        <f>J14*(1-IFERROR(VLOOKUP(H14,'enter the discount'!$D$10:$E$40,2,FALSE),0))</f>
        <v>8.1456860633865453</v>
      </c>
      <c r="L14" s="43" t="s">
        <v>859</v>
      </c>
      <c r="M14" t="s">
        <v>490</v>
      </c>
      <c r="N14" t="s">
        <v>926</v>
      </c>
      <c r="O14" t="s">
        <v>2723</v>
      </c>
      <c r="P14">
        <v>100</v>
      </c>
      <c r="Q14">
        <v>1200</v>
      </c>
      <c r="R14" t="s">
        <v>2465</v>
      </c>
      <c r="S14" s="42" t="str">
        <f>HYPERLINK("https://sklep.kobi.pl/produkt/led-fst64-7w-2700k")</f>
        <v>https://sklep.kobi.pl/produkt/led-fst64-7w-2700k</v>
      </c>
      <c r="T14" s="42" t="str">
        <f>HYPERLINK("https://eprel.ec.europa.eu/qr/659711         ")</f>
        <v xml:space="preserve">https://eprel.ec.europa.eu/qr/659711         </v>
      </c>
      <c r="U14">
        <v>4.3999999999999997E-2</v>
      </c>
      <c r="V14">
        <v>7.3999999999999996E-2</v>
      </c>
      <c r="W14">
        <v>75</v>
      </c>
      <c r="X14">
        <v>155</v>
      </c>
      <c r="Y14">
        <v>70</v>
      </c>
    </row>
    <row r="15" spans="1:25" ht="15" x14ac:dyDescent="0.25">
      <c r="A15" t="s">
        <v>21</v>
      </c>
      <c r="B15" t="s">
        <v>43</v>
      </c>
      <c r="C15" t="s">
        <v>85</v>
      </c>
      <c r="D15" t="s">
        <v>112</v>
      </c>
      <c r="E15" t="s">
        <v>14</v>
      </c>
      <c r="F15" t="s">
        <v>1708</v>
      </c>
      <c r="G15" t="s">
        <v>1572</v>
      </c>
      <c r="H15" t="s">
        <v>879</v>
      </c>
      <c r="I15">
        <v>4.1500000000000004</v>
      </c>
      <c r="J15" s="41">
        <f>I15/'enter the discount'!$D$7</f>
        <v>0.97139647020270603</v>
      </c>
      <c r="K15" s="41">
        <f>J15*(1-IFERROR(VLOOKUP(H15,'enter the discount'!$D$10:$E$40,2,FALSE),0))</f>
        <v>0.97139647020270603</v>
      </c>
      <c r="L15" s="43" t="s">
        <v>2549</v>
      </c>
      <c r="M15" t="s">
        <v>1573</v>
      </c>
      <c r="N15" t="s">
        <v>926</v>
      </c>
      <c r="O15" t="s">
        <v>2723</v>
      </c>
      <c r="P15">
        <v>100</v>
      </c>
      <c r="Q15">
        <v>0</v>
      </c>
      <c r="R15" t="s">
        <v>2465</v>
      </c>
      <c r="S15" s="42" t="str">
        <f>HYPERLINK("https://sklep.kobi.pl/produkt/led-st45-1w-e27-2700k-led2b")</f>
        <v>https://sklep.kobi.pl/produkt/led-st45-1w-e27-2700k-led2b</v>
      </c>
      <c r="T15" s="42" t="str">
        <f>HYPERLINK("https://eprel.ec.europa.eu/qr/NIE DOTYCZY    ")</f>
        <v xml:space="preserve">https://eprel.ec.europa.eu/qr/NIE DOTYCZY    </v>
      </c>
      <c r="U15">
        <v>0.01</v>
      </c>
      <c r="V15">
        <v>0</v>
      </c>
      <c r="W15">
        <v>0</v>
      </c>
      <c r="X15">
        <v>0</v>
      </c>
      <c r="Y15">
        <v>0</v>
      </c>
    </row>
    <row r="16" spans="1:25" ht="15" x14ac:dyDescent="0.25">
      <c r="A16" t="s">
        <v>21</v>
      </c>
      <c r="B16" t="s">
        <v>43</v>
      </c>
      <c r="C16" t="s">
        <v>83</v>
      </c>
      <c r="D16" t="s">
        <v>111</v>
      </c>
      <c r="E16" t="s">
        <v>14</v>
      </c>
      <c r="F16" t="s">
        <v>1709</v>
      </c>
      <c r="G16" t="s">
        <v>1259</v>
      </c>
      <c r="H16" t="s">
        <v>880</v>
      </c>
      <c r="I16">
        <v>15.27</v>
      </c>
      <c r="J16" s="41">
        <f>I16/'enter the discount'!$D$7</f>
        <v>3.5742708674687513</v>
      </c>
      <c r="K16" s="41">
        <f>J16*(1-IFERROR(VLOOKUP(H16,'enter the discount'!$D$10:$E$40,2,FALSE),0))</f>
        <v>3.5742708674687513</v>
      </c>
      <c r="L16" s="43" t="s">
        <v>858</v>
      </c>
      <c r="M16" t="s">
        <v>1260</v>
      </c>
      <c r="N16" t="s">
        <v>926</v>
      </c>
      <c r="O16" t="s">
        <v>2723</v>
      </c>
      <c r="P16">
        <v>100</v>
      </c>
      <c r="Q16">
        <v>0</v>
      </c>
      <c r="R16" t="s">
        <v>2465</v>
      </c>
      <c r="S16" s="42" t="str">
        <f>HYPERLINK("https://sklep.kobi.pl/produkt/led-g4-15w-3000k")</f>
        <v>https://sklep.kobi.pl/produkt/led-g4-15w-3000k</v>
      </c>
      <c r="T16" s="42" t="str">
        <f>HYPERLINK("https://eprel.ec.europa.eu/qr/996106         ")</f>
        <v xml:space="preserve">https://eprel.ec.europa.eu/qr/996106         </v>
      </c>
      <c r="U16">
        <v>0.01</v>
      </c>
      <c r="V16">
        <v>0</v>
      </c>
      <c r="W16">
        <v>0</v>
      </c>
      <c r="X16">
        <v>0</v>
      </c>
      <c r="Y16">
        <v>0</v>
      </c>
    </row>
    <row r="17" spans="1:25" ht="15" x14ac:dyDescent="0.25">
      <c r="A17" t="s">
        <v>21</v>
      </c>
      <c r="B17" t="s">
        <v>43</v>
      </c>
      <c r="C17" t="s">
        <v>83</v>
      </c>
      <c r="D17" t="s">
        <v>111</v>
      </c>
      <c r="E17" t="s">
        <v>14</v>
      </c>
      <c r="F17" t="s">
        <v>1710</v>
      </c>
      <c r="G17" t="s">
        <v>1248</v>
      </c>
      <c r="H17" t="s">
        <v>880</v>
      </c>
      <c r="I17">
        <v>15.27</v>
      </c>
      <c r="J17" s="41">
        <f>I17/'enter the discount'!$D$7</f>
        <v>3.5742708674687513</v>
      </c>
      <c r="K17" s="41">
        <f>J17*(1-IFERROR(VLOOKUP(H17,'enter the discount'!$D$10:$E$40,2,FALSE),0))</f>
        <v>3.5742708674687513</v>
      </c>
      <c r="L17" s="43" t="s">
        <v>858</v>
      </c>
      <c r="M17" t="s">
        <v>1249</v>
      </c>
      <c r="N17" t="s">
        <v>926</v>
      </c>
      <c r="O17" t="s">
        <v>2723</v>
      </c>
      <c r="P17">
        <v>100</v>
      </c>
      <c r="Q17">
        <v>0</v>
      </c>
      <c r="R17" t="s">
        <v>2465</v>
      </c>
      <c r="S17" s="42" t="str">
        <f>HYPERLINK("https://sklep.kobi.pl/produkt/led-g4-15w-4000k")</f>
        <v>https://sklep.kobi.pl/produkt/led-g4-15w-4000k</v>
      </c>
      <c r="T17" s="42" t="str">
        <f>HYPERLINK("https://eprel.ec.europa.eu/qr/996107         ")</f>
        <v xml:space="preserve">https://eprel.ec.europa.eu/qr/996107         </v>
      </c>
      <c r="U17">
        <v>0.01</v>
      </c>
      <c r="V17">
        <v>0</v>
      </c>
      <c r="W17">
        <v>0</v>
      </c>
      <c r="X17">
        <v>0</v>
      </c>
      <c r="Y17">
        <v>0</v>
      </c>
    </row>
    <row r="18" spans="1:25" ht="15" x14ac:dyDescent="0.25">
      <c r="A18" t="s">
        <v>21</v>
      </c>
      <c r="B18" t="s">
        <v>43</v>
      </c>
      <c r="C18" t="s">
        <v>83</v>
      </c>
      <c r="D18" t="s">
        <v>111</v>
      </c>
      <c r="E18" t="s">
        <v>14</v>
      </c>
      <c r="F18" t="s">
        <v>1711</v>
      </c>
      <c r="G18" t="s">
        <v>1046</v>
      </c>
      <c r="H18" t="s">
        <v>880</v>
      </c>
      <c r="I18">
        <v>17.2</v>
      </c>
      <c r="J18" s="41">
        <f>I18/'enter the discount'!$D$7</f>
        <v>4.0260287439726605</v>
      </c>
      <c r="K18" s="41">
        <f>J18*(1-IFERROR(VLOOKUP(H18,'enter the discount'!$D$10:$E$40,2,FALSE),0))</f>
        <v>4.0260287439726605</v>
      </c>
      <c r="L18" s="43" t="s">
        <v>858</v>
      </c>
      <c r="M18" t="s">
        <v>1047</v>
      </c>
      <c r="N18" t="s">
        <v>926</v>
      </c>
      <c r="O18" t="s">
        <v>2723</v>
      </c>
      <c r="P18">
        <v>100</v>
      </c>
      <c r="Q18">
        <v>0</v>
      </c>
      <c r="R18" t="s">
        <v>2465</v>
      </c>
      <c r="S18" s="42" t="str">
        <f>HYPERLINK("https://sklep.kobi.pl/produkt/led-g4-2w-3000k")</f>
        <v>https://sklep.kobi.pl/produkt/led-g4-2w-3000k</v>
      </c>
      <c r="T18" s="42" t="str">
        <f>HYPERLINK("https://eprel.ec.europa.eu/qr/816926         ")</f>
        <v xml:space="preserve">https://eprel.ec.europa.eu/qr/816926         </v>
      </c>
      <c r="U18">
        <v>0.01</v>
      </c>
      <c r="V18">
        <v>0</v>
      </c>
      <c r="W18">
        <v>0</v>
      </c>
      <c r="X18">
        <v>0</v>
      </c>
      <c r="Y18">
        <v>0</v>
      </c>
    </row>
    <row r="19" spans="1:25" ht="15" x14ac:dyDescent="0.25">
      <c r="A19" t="s">
        <v>21</v>
      </c>
      <c r="B19" t="s">
        <v>43</v>
      </c>
      <c r="C19" t="s">
        <v>83</v>
      </c>
      <c r="D19" t="s">
        <v>111</v>
      </c>
      <c r="E19" t="s">
        <v>14</v>
      </c>
      <c r="F19" t="s">
        <v>1712</v>
      </c>
      <c r="G19" t="s">
        <v>1048</v>
      </c>
      <c r="H19" t="s">
        <v>880</v>
      </c>
      <c r="I19">
        <v>17.2</v>
      </c>
      <c r="J19" s="41">
        <f>I19/'enter the discount'!$D$7</f>
        <v>4.0260287439726605</v>
      </c>
      <c r="K19" s="41">
        <f>J19*(1-IFERROR(VLOOKUP(H19,'enter the discount'!$D$10:$E$40,2,FALSE),0))</f>
        <v>4.0260287439726605</v>
      </c>
      <c r="L19" s="43" t="s">
        <v>858</v>
      </c>
      <c r="M19" t="s">
        <v>1049</v>
      </c>
      <c r="N19" t="s">
        <v>926</v>
      </c>
      <c r="O19" t="s">
        <v>2723</v>
      </c>
      <c r="P19">
        <v>100</v>
      </c>
      <c r="Q19">
        <v>0</v>
      </c>
      <c r="R19" t="s">
        <v>2465</v>
      </c>
      <c r="S19" s="42" t="str">
        <f>HYPERLINK("https://sklep.kobi.pl/produkt/led-g4-2w-4000k")</f>
        <v>https://sklep.kobi.pl/produkt/led-g4-2w-4000k</v>
      </c>
      <c r="T19" s="42" t="str">
        <f>HYPERLINK("https://eprel.ec.europa.eu/qr/816995         ")</f>
        <v xml:space="preserve">https://eprel.ec.europa.eu/qr/816995         </v>
      </c>
      <c r="U19">
        <v>0.01</v>
      </c>
      <c r="V19">
        <v>0</v>
      </c>
      <c r="W19">
        <v>0</v>
      </c>
      <c r="X19">
        <v>0</v>
      </c>
      <c r="Y19">
        <v>0</v>
      </c>
    </row>
    <row r="20" spans="1:25" ht="15" x14ac:dyDescent="0.25">
      <c r="A20" t="s">
        <v>21</v>
      </c>
      <c r="B20" t="s">
        <v>43</v>
      </c>
      <c r="C20" t="s">
        <v>68</v>
      </c>
      <c r="D20" t="s">
        <v>111</v>
      </c>
      <c r="E20" t="s">
        <v>14</v>
      </c>
      <c r="F20" t="s">
        <v>1713</v>
      </c>
      <c r="G20" t="s">
        <v>1332</v>
      </c>
      <c r="H20" t="s">
        <v>880</v>
      </c>
      <c r="I20">
        <v>18.100000000000001</v>
      </c>
      <c r="J20" s="41">
        <f>I20/'enter the discount'!$D$7</f>
        <v>4.2366930387154165</v>
      </c>
      <c r="K20" s="41">
        <f>J20*(1-IFERROR(VLOOKUP(H20,'enter the discount'!$D$10:$E$40,2,FALSE),0))</f>
        <v>4.2366930387154165</v>
      </c>
      <c r="L20" s="43" t="s">
        <v>859</v>
      </c>
      <c r="M20" t="s">
        <v>1333</v>
      </c>
      <c r="N20" t="s">
        <v>926</v>
      </c>
      <c r="O20" t="s">
        <v>2723</v>
      </c>
      <c r="P20">
        <v>500</v>
      </c>
      <c r="Q20">
        <v>0</v>
      </c>
      <c r="R20" t="s">
        <v>2465</v>
      </c>
      <c r="S20" s="42" t="str">
        <f>HYPERLINK("https://sklep.kobi.pl/produkt/led-g9-3w-3000k")</f>
        <v>https://sklep.kobi.pl/produkt/led-g9-3w-3000k</v>
      </c>
      <c r="T20" s="42" t="str">
        <f>HYPERLINK("https://eprel.ec.europa.eu/qr/1682098        ")</f>
        <v xml:space="preserve">https://eprel.ec.europa.eu/qr/1682098        </v>
      </c>
      <c r="U20">
        <v>0.02</v>
      </c>
      <c r="V20">
        <v>0</v>
      </c>
      <c r="W20">
        <v>0</v>
      </c>
      <c r="X20">
        <v>0</v>
      </c>
      <c r="Y20">
        <v>0</v>
      </c>
    </row>
    <row r="21" spans="1:25" ht="15" x14ac:dyDescent="0.25">
      <c r="A21" t="s">
        <v>21</v>
      </c>
      <c r="B21" t="s">
        <v>43</v>
      </c>
      <c r="C21" t="s">
        <v>68</v>
      </c>
      <c r="D21" t="s">
        <v>111</v>
      </c>
      <c r="E21" t="s">
        <v>14</v>
      </c>
      <c r="F21" t="s">
        <v>1713</v>
      </c>
      <c r="G21" t="s">
        <v>1334</v>
      </c>
      <c r="H21" t="s">
        <v>880</v>
      </c>
      <c r="I21">
        <v>18.100000000000001</v>
      </c>
      <c r="J21" s="41">
        <f>I21/'enter the discount'!$D$7</f>
        <v>4.2366930387154165</v>
      </c>
      <c r="K21" s="41">
        <f>J21*(1-IFERROR(VLOOKUP(H21,'enter the discount'!$D$10:$E$40,2,FALSE),0))</f>
        <v>4.2366930387154165</v>
      </c>
      <c r="L21" s="43" t="s">
        <v>859</v>
      </c>
      <c r="M21" t="s">
        <v>1335</v>
      </c>
      <c r="N21" t="s">
        <v>926</v>
      </c>
      <c r="O21" t="s">
        <v>2723</v>
      </c>
      <c r="P21">
        <v>500</v>
      </c>
      <c r="Q21">
        <v>0</v>
      </c>
      <c r="R21" t="s">
        <v>2465</v>
      </c>
      <c r="S21" s="42" t="str">
        <f>HYPERLINK("https://sklep.kobi.pl/produkt/led-g9-3w-4000k")</f>
        <v>https://sklep.kobi.pl/produkt/led-g9-3w-4000k</v>
      </c>
      <c r="T21" s="42" t="str">
        <f>HYPERLINK("https://eprel.ec.europa.eu/qr/1682160        ")</f>
        <v xml:space="preserve">https://eprel.ec.europa.eu/qr/1682160        </v>
      </c>
      <c r="U21">
        <v>0.02</v>
      </c>
      <c r="V21">
        <v>0</v>
      </c>
      <c r="W21">
        <v>0</v>
      </c>
      <c r="X21">
        <v>0</v>
      </c>
      <c r="Y21">
        <v>0</v>
      </c>
    </row>
    <row r="22" spans="1:25" ht="15" x14ac:dyDescent="0.25">
      <c r="A22" t="s">
        <v>21</v>
      </c>
      <c r="B22" t="s">
        <v>43</v>
      </c>
      <c r="C22" t="s">
        <v>68</v>
      </c>
      <c r="D22" t="s">
        <v>111</v>
      </c>
      <c r="E22" t="s">
        <v>14</v>
      </c>
      <c r="F22" t="s">
        <v>1714</v>
      </c>
      <c r="G22" t="s">
        <v>1336</v>
      </c>
      <c r="H22" t="s">
        <v>880</v>
      </c>
      <c r="I22">
        <v>18.100000000000001</v>
      </c>
      <c r="J22" s="41">
        <f>I22/'enter the discount'!$D$7</f>
        <v>4.2366930387154165</v>
      </c>
      <c r="K22" s="41">
        <f>J22*(1-IFERROR(VLOOKUP(H22,'enter the discount'!$D$10:$E$40,2,FALSE),0))</f>
        <v>4.2366930387154165</v>
      </c>
      <c r="L22" s="43" t="s">
        <v>859</v>
      </c>
      <c r="M22" t="s">
        <v>1337</v>
      </c>
      <c r="N22" t="s">
        <v>926</v>
      </c>
      <c r="O22" t="s">
        <v>2723</v>
      </c>
      <c r="P22">
        <v>500</v>
      </c>
      <c r="Q22">
        <v>0</v>
      </c>
      <c r="R22" t="s">
        <v>2465</v>
      </c>
      <c r="S22" s="42" t="str">
        <f>HYPERLINK("https://sklep.kobi.pl/produkt/led-g9-3w-6000k")</f>
        <v>https://sklep.kobi.pl/produkt/led-g9-3w-6000k</v>
      </c>
      <c r="T22" s="42" t="str">
        <f>HYPERLINK("https://eprel.ec.europa.eu/qr/1682294        ")</f>
        <v xml:space="preserve">https://eprel.ec.europa.eu/qr/1682294        </v>
      </c>
      <c r="U22">
        <v>0.02</v>
      </c>
      <c r="V22">
        <v>0</v>
      </c>
      <c r="W22">
        <v>0</v>
      </c>
      <c r="X22">
        <v>0</v>
      </c>
      <c r="Y22">
        <v>0</v>
      </c>
    </row>
    <row r="23" spans="1:25" ht="15" x14ac:dyDescent="0.25">
      <c r="A23" t="s">
        <v>21</v>
      </c>
      <c r="B23" t="s">
        <v>43</v>
      </c>
      <c r="C23" t="s">
        <v>68</v>
      </c>
      <c r="D23" t="s">
        <v>111</v>
      </c>
      <c r="E23" t="s">
        <v>14</v>
      </c>
      <c r="F23" t="s">
        <v>1715</v>
      </c>
      <c r="G23" t="s">
        <v>129</v>
      </c>
      <c r="H23" t="s">
        <v>880</v>
      </c>
      <c r="I23">
        <v>16.2</v>
      </c>
      <c r="J23" s="41">
        <f>I23/'enter the discount'!$D$7</f>
        <v>3.791957305369599</v>
      </c>
      <c r="K23" s="41">
        <f>J23*(1-IFERROR(VLOOKUP(H23,'enter the discount'!$D$10:$E$40,2,FALSE),0))</f>
        <v>3.791957305369599</v>
      </c>
      <c r="L23" s="43" t="s">
        <v>858</v>
      </c>
      <c r="M23" t="s">
        <v>491</v>
      </c>
      <c r="N23" t="s">
        <v>926</v>
      </c>
      <c r="O23" t="s">
        <v>2723</v>
      </c>
      <c r="P23">
        <v>100</v>
      </c>
      <c r="Q23">
        <v>3000</v>
      </c>
      <c r="R23" t="s">
        <v>2465</v>
      </c>
      <c r="S23" s="42" t="str">
        <f>HYPERLINK("https://sklep.kobi.pl/produkt/led-g9-smd-3000k-4w-400lm-230v-360-ceram")</f>
        <v>https://sklep.kobi.pl/produkt/led-g9-smd-3000k-4w-400lm-230v-360-ceram</v>
      </c>
      <c r="T23" s="42" t="str">
        <f>HYPERLINK("https://eprel.ec.europa.eu/qr/659766         ")</f>
        <v xml:space="preserve">https://eprel.ec.europa.eu/qr/659766         </v>
      </c>
      <c r="U23">
        <v>1.0999999999999999E-2</v>
      </c>
      <c r="V23">
        <v>0.02</v>
      </c>
      <c r="W23">
        <v>25</v>
      </c>
      <c r="X23">
        <v>76</v>
      </c>
      <c r="Y23">
        <v>131</v>
      </c>
    </row>
    <row r="24" spans="1:25" ht="15" x14ac:dyDescent="0.25">
      <c r="A24" t="s">
        <v>21</v>
      </c>
      <c r="B24" t="s">
        <v>43</v>
      </c>
      <c r="C24" t="s">
        <v>68</v>
      </c>
      <c r="D24" t="s">
        <v>111</v>
      </c>
      <c r="E24" t="s">
        <v>14</v>
      </c>
      <c r="F24" t="s">
        <v>1716</v>
      </c>
      <c r="G24" t="s">
        <v>130</v>
      </c>
      <c r="H24" t="s">
        <v>880</v>
      </c>
      <c r="I24">
        <v>16.2</v>
      </c>
      <c r="J24" s="41">
        <f>I24/'enter the discount'!$D$7</f>
        <v>3.791957305369599</v>
      </c>
      <c r="K24" s="41">
        <f>J24*(1-IFERROR(VLOOKUP(H24,'enter the discount'!$D$10:$E$40,2,FALSE),0))</f>
        <v>3.791957305369599</v>
      </c>
      <c r="L24" s="43" t="s">
        <v>858</v>
      </c>
      <c r="M24" t="s">
        <v>492</v>
      </c>
      <c r="N24" t="s">
        <v>926</v>
      </c>
      <c r="O24" t="s">
        <v>2723</v>
      </c>
      <c r="P24">
        <v>100</v>
      </c>
      <c r="Q24">
        <v>3000</v>
      </c>
      <c r="R24" t="s">
        <v>2465</v>
      </c>
      <c r="S24" s="42" t="str">
        <f>HYPERLINK("https://sklep.kobi.pl/produkt/led-g9-smd-4000k-4w-380lm-230v-360-ceram")</f>
        <v>https://sklep.kobi.pl/produkt/led-g9-smd-4000k-4w-380lm-230v-360-ceram</v>
      </c>
      <c r="T24" s="42" t="str">
        <f>HYPERLINK("https://eprel.ec.europa.eu/qr/659773         ")</f>
        <v xml:space="preserve">https://eprel.ec.europa.eu/qr/659773         </v>
      </c>
      <c r="U24">
        <v>1.0999999999999999E-2</v>
      </c>
      <c r="V24">
        <v>0.02</v>
      </c>
      <c r="W24">
        <v>25</v>
      </c>
      <c r="X24">
        <v>76</v>
      </c>
      <c r="Y24">
        <v>137</v>
      </c>
    </row>
    <row r="25" spans="1:25" ht="15" x14ac:dyDescent="0.25">
      <c r="A25" t="s">
        <v>21</v>
      </c>
      <c r="B25" t="s">
        <v>43</v>
      </c>
      <c r="C25" t="s">
        <v>68</v>
      </c>
      <c r="D25" t="s">
        <v>111</v>
      </c>
      <c r="E25" t="s">
        <v>14</v>
      </c>
      <c r="F25" t="s">
        <v>1717</v>
      </c>
      <c r="G25" t="s">
        <v>131</v>
      </c>
      <c r="H25" t="s">
        <v>880</v>
      </c>
      <c r="I25">
        <v>16.2</v>
      </c>
      <c r="J25" s="41">
        <f>I25/'enter the discount'!$D$7</f>
        <v>3.791957305369599</v>
      </c>
      <c r="K25" s="41">
        <f>J25*(1-IFERROR(VLOOKUP(H25,'enter the discount'!$D$10:$E$40,2,FALSE),0))</f>
        <v>3.791957305369599</v>
      </c>
      <c r="L25" s="43" t="s">
        <v>858</v>
      </c>
      <c r="M25" t="s">
        <v>493</v>
      </c>
      <c r="N25" t="s">
        <v>926</v>
      </c>
      <c r="O25" t="s">
        <v>2723</v>
      </c>
      <c r="P25">
        <v>100</v>
      </c>
      <c r="Q25">
        <v>3000</v>
      </c>
      <c r="R25" t="s">
        <v>2465</v>
      </c>
      <c r="S25" s="42" t="str">
        <f>HYPERLINK("https://sklep.kobi.pl/produkt/led-g9-smd-6000k-4w-380lm-230v-360-ceram")</f>
        <v>https://sklep.kobi.pl/produkt/led-g9-smd-6000k-4w-380lm-230v-360-ceram</v>
      </c>
      <c r="T25" s="42" t="str">
        <f>HYPERLINK("https://eprel.ec.europa.eu/qr/659777         ")</f>
        <v xml:space="preserve">https://eprel.ec.europa.eu/qr/659777         </v>
      </c>
      <c r="U25">
        <v>1.0999999999999999E-2</v>
      </c>
      <c r="V25">
        <v>0.02</v>
      </c>
      <c r="W25">
        <v>20</v>
      </c>
      <c r="X25">
        <v>77</v>
      </c>
      <c r="Y25">
        <v>132</v>
      </c>
    </row>
    <row r="26" spans="1:25" ht="15" x14ac:dyDescent="0.25">
      <c r="A26" t="s">
        <v>21</v>
      </c>
      <c r="B26" t="s">
        <v>43</v>
      </c>
      <c r="C26" t="s">
        <v>68</v>
      </c>
      <c r="D26" t="s">
        <v>111</v>
      </c>
      <c r="E26" t="s">
        <v>14</v>
      </c>
      <c r="F26" t="s">
        <v>1718</v>
      </c>
      <c r="G26" t="s">
        <v>132</v>
      </c>
      <c r="H26" t="s">
        <v>880</v>
      </c>
      <c r="I26">
        <v>21.99</v>
      </c>
      <c r="J26" s="41">
        <f>I26/'enter the discount'!$D$7</f>
        <v>5.1472309348813257</v>
      </c>
      <c r="K26" s="41">
        <f>J26*(1-IFERROR(VLOOKUP(H26,'enter the discount'!$D$10:$E$40,2,FALSE),0))</f>
        <v>5.1472309348813257</v>
      </c>
      <c r="L26" s="43" t="s">
        <v>858</v>
      </c>
      <c r="M26" t="s">
        <v>494</v>
      </c>
      <c r="N26" t="s">
        <v>926</v>
      </c>
      <c r="O26" t="s">
        <v>2723</v>
      </c>
      <c r="P26">
        <v>200</v>
      </c>
      <c r="Q26">
        <v>0</v>
      </c>
      <c r="R26" t="s">
        <v>2465</v>
      </c>
      <c r="S26" s="42" t="str">
        <f>HYPERLINK("https://sklep.kobi.pl/produkt/led-g9-6w-3000k")</f>
        <v>https://sklep.kobi.pl/produkt/led-g9-6w-3000k</v>
      </c>
      <c r="T26" s="42" t="str">
        <f>HYPERLINK("https://eprel.ec.europa.eu/qr/659786         ")</f>
        <v xml:space="preserve">https://eprel.ec.europa.eu/qr/659786         </v>
      </c>
      <c r="U26">
        <v>0.02</v>
      </c>
      <c r="V26">
        <v>0.02</v>
      </c>
      <c r="W26">
        <v>100</v>
      </c>
      <c r="X26">
        <v>120</v>
      </c>
      <c r="Y26">
        <v>10</v>
      </c>
    </row>
    <row r="27" spans="1:25" ht="15" x14ac:dyDescent="0.25">
      <c r="A27" t="s">
        <v>21</v>
      </c>
      <c r="B27" t="s">
        <v>43</v>
      </c>
      <c r="C27" t="s">
        <v>68</v>
      </c>
      <c r="D27" t="s">
        <v>111</v>
      </c>
      <c r="E27" t="s">
        <v>14</v>
      </c>
      <c r="F27" t="s">
        <v>1719</v>
      </c>
      <c r="G27" t="s">
        <v>133</v>
      </c>
      <c r="H27" t="s">
        <v>880</v>
      </c>
      <c r="I27">
        <v>21.99</v>
      </c>
      <c r="J27" s="41">
        <f>I27/'enter the discount'!$D$7</f>
        <v>5.1472309348813257</v>
      </c>
      <c r="K27" s="41">
        <f>J27*(1-IFERROR(VLOOKUP(H27,'enter the discount'!$D$10:$E$40,2,FALSE),0))</f>
        <v>5.1472309348813257</v>
      </c>
      <c r="L27" s="43" t="s">
        <v>858</v>
      </c>
      <c r="M27" t="s">
        <v>495</v>
      </c>
      <c r="N27" t="s">
        <v>926</v>
      </c>
      <c r="O27" t="s">
        <v>2723</v>
      </c>
      <c r="P27">
        <v>200</v>
      </c>
      <c r="Q27">
        <v>0</v>
      </c>
      <c r="R27" t="s">
        <v>2465</v>
      </c>
      <c r="S27" s="42" t="str">
        <f>HYPERLINK("https://sklep.kobi.pl/produkt/led-g9-6w-4000k")</f>
        <v>https://sklep.kobi.pl/produkt/led-g9-6w-4000k</v>
      </c>
      <c r="T27" s="42" t="str">
        <f>HYPERLINK("https://eprel.ec.europa.eu/qr/659804         ")</f>
        <v xml:space="preserve">https://eprel.ec.europa.eu/qr/659804         </v>
      </c>
      <c r="U27">
        <v>0.02</v>
      </c>
      <c r="V27">
        <v>0.02</v>
      </c>
      <c r="W27">
        <v>100</v>
      </c>
      <c r="X27">
        <v>220</v>
      </c>
      <c r="Y27">
        <v>10</v>
      </c>
    </row>
    <row r="28" spans="1:25" ht="15" x14ac:dyDescent="0.25">
      <c r="A28" t="s">
        <v>21</v>
      </c>
      <c r="B28" t="s">
        <v>43</v>
      </c>
      <c r="C28" t="s">
        <v>68</v>
      </c>
      <c r="D28" t="s">
        <v>111</v>
      </c>
      <c r="E28" t="s">
        <v>14</v>
      </c>
      <c r="F28" t="s">
        <v>1720</v>
      </c>
      <c r="G28" t="s">
        <v>134</v>
      </c>
      <c r="H28" t="s">
        <v>880</v>
      </c>
      <c r="I28">
        <v>21.99</v>
      </c>
      <c r="J28" s="41">
        <f>I28/'enter the discount'!$D$7</f>
        <v>5.1472309348813257</v>
      </c>
      <c r="K28" s="41">
        <f>J28*(1-IFERROR(VLOOKUP(H28,'enter the discount'!$D$10:$E$40,2,FALSE),0))</f>
        <v>5.1472309348813257</v>
      </c>
      <c r="L28" s="43" t="s">
        <v>858</v>
      </c>
      <c r="M28" t="s">
        <v>496</v>
      </c>
      <c r="N28" t="s">
        <v>926</v>
      </c>
      <c r="O28" t="s">
        <v>2723</v>
      </c>
      <c r="P28">
        <v>200</v>
      </c>
      <c r="Q28">
        <v>0</v>
      </c>
      <c r="R28" t="s">
        <v>2465</v>
      </c>
      <c r="S28" s="42" t="str">
        <f>HYPERLINK("https://sklep.kobi.pl/produkt/led-g9-6w-6000k")</f>
        <v>https://sklep.kobi.pl/produkt/led-g9-6w-6000k</v>
      </c>
      <c r="T28" s="42" t="str">
        <f>HYPERLINK("https://eprel.ec.europa.eu/qr/659806         ")</f>
        <v xml:space="preserve">https://eprel.ec.europa.eu/qr/659806         </v>
      </c>
      <c r="U28">
        <v>0.02</v>
      </c>
      <c r="V28">
        <v>0.02</v>
      </c>
      <c r="W28">
        <v>60</v>
      </c>
      <c r="X28">
        <v>20</v>
      </c>
      <c r="Y28">
        <v>20</v>
      </c>
    </row>
    <row r="29" spans="1:25" ht="15" x14ac:dyDescent="0.25">
      <c r="A29" t="s">
        <v>21</v>
      </c>
      <c r="B29" t="s">
        <v>43</v>
      </c>
      <c r="C29" t="s">
        <v>98</v>
      </c>
      <c r="D29" t="s">
        <v>111</v>
      </c>
      <c r="E29" t="s">
        <v>14</v>
      </c>
      <c r="F29" t="s">
        <v>1721</v>
      </c>
      <c r="G29" t="s">
        <v>135</v>
      </c>
      <c r="H29" t="s">
        <v>879</v>
      </c>
      <c r="I29">
        <v>56.95</v>
      </c>
      <c r="J29" s="41">
        <f>I29/'enter the discount'!$D$7</f>
        <v>13.330368428444363</v>
      </c>
      <c r="K29" s="41">
        <f>J29*(1-IFERROR(VLOOKUP(H29,'enter the discount'!$D$10:$E$40,2,FALSE),0))</f>
        <v>13.330368428444363</v>
      </c>
      <c r="L29" s="43" t="s">
        <v>858</v>
      </c>
      <c r="M29" t="s">
        <v>497</v>
      </c>
      <c r="N29" t="s">
        <v>926</v>
      </c>
      <c r="O29" t="s">
        <v>2723</v>
      </c>
      <c r="P29">
        <v>24</v>
      </c>
      <c r="Q29">
        <v>384</v>
      </c>
      <c r="R29" t="s">
        <v>2465</v>
      </c>
      <c r="S29" s="42" t="str">
        <f>HYPERLINK("https://sklep.kobi.pl/produkt/led-g120-24w-e27-3000k")</f>
        <v>https://sklep.kobi.pl/produkt/led-g120-24w-e27-3000k</v>
      </c>
      <c r="T29" s="42" t="str">
        <f>HYPERLINK("https://eprel.ec.europa.eu/qr/659726         ")</f>
        <v xml:space="preserve">https://eprel.ec.europa.eu/qr/659726         </v>
      </c>
      <c r="U29">
        <v>0.23499999999999999</v>
      </c>
      <c r="V29">
        <v>0.3</v>
      </c>
      <c r="W29">
        <v>120</v>
      </c>
      <c r="X29">
        <v>160</v>
      </c>
      <c r="Y29">
        <v>120</v>
      </c>
    </row>
    <row r="30" spans="1:25" ht="15" x14ac:dyDescent="0.25">
      <c r="A30" t="s">
        <v>21</v>
      </c>
      <c r="B30" t="s">
        <v>43</v>
      </c>
      <c r="C30" t="s">
        <v>98</v>
      </c>
      <c r="D30" t="s">
        <v>111</v>
      </c>
      <c r="E30" t="s">
        <v>14</v>
      </c>
      <c r="F30" t="s">
        <v>1722</v>
      </c>
      <c r="G30" t="s">
        <v>136</v>
      </c>
      <c r="H30" t="s">
        <v>879</v>
      </c>
      <c r="I30">
        <v>56.95</v>
      </c>
      <c r="J30" s="41">
        <f>I30/'enter the discount'!$D$7</f>
        <v>13.330368428444363</v>
      </c>
      <c r="K30" s="41">
        <f>J30*(1-IFERROR(VLOOKUP(H30,'enter the discount'!$D$10:$E$40,2,FALSE),0))</f>
        <v>13.330368428444363</v>
      </c>
      <c r="L30" s="43" t="s">
        <v>858</v>
      </c>
      <c r="M30" t="s">
        <v>498</v>
      </c>
      <c r="N30" t="s">
        <v>926</v>
      </c>
      <c r="O30" t="s">
        <v>2723</v>
      </c>
      <c r="P30">
        <v>24</v>
      </c>
      <c r="Q30">
        <v>384</v>
      </c>
      <c r="R30" t="s">
        <v>2465</v>
      </c>
      <c r="S30" s="42" t="str">
        <f>HYPERLINK("https://sklep.kobi.pl/produkt/led-g120-24w-e27-4000k")</f>
        <v>https://sklep.kobi.pl/produkt/led-g120-24w-e27-4000k</v>
      </c>
      <c r="T30" s="42" t="str">
        <f>HYPERLINK("https://eprel.ec.europa.eu/qr/659731         ")</f>
        <v xml:space="preserve">https://eprel.ec.europa.eu/qr/659731         </v>
      </c>
      <c r="U30">
        <v>0.23499999999999999</v>
      </c>
      <c r="V30">
        <v>0.3</v>
      </c>
      <c r="W30">
        <v>120</v>
      </c>
      <c r="X30">
        <v>160</v>
      </c>
      <c r="Y30">
        <v>120</v>
      </c>
    </row>
    <row r="31" spans="1:25" ht="15" x14ac:dyDescent="0.25">
      <c r="A31" t="s">
        <v>21</v>
      </c>
      <c r="B31" t="s">
        <v>43</v>
      </c>
      <c r="C31" t="s">
        <v>44</v>
      </c>
      <c r="D31" t="s">
        <v>111</v>
      </c>
      <c r="E31" t="s">
        <v>14</v>
      </c>
      <c r="F31" t="s">
        <v>1723</v>
      </c>
      <c r="G31" t="s">
        <v>137</v>
      </c>
      <c r="H31" t="s">
        <v>879</v>
      </c>
      <c r="I31">
        <v>9.02</v>
      </c>
      <c r="J31" s="41">
        <f>I31/'enter the discount'!$D$7</f>
        <v>2.1113243761996161</v>
      </c>
      <c r="K31" s="41">
        <f>J31*(1-IFERROR(VLOOKUP(H31,'enter the discount'!$D$10:$E$40,2,FALSE),0))</f>
        <v>2.1113243761996161</v>
      </c>
      <c r="L31" s="43" t="s">
        <v>858</v>
      </c>
      <c r="M31" t="s">
        <v>499</v>
      </c>
      <c r="N31" t="s">
        <v>926</v>
      </c>
      <c r="O31" t="s">
        <v>2723</v>
      </c>
      <c r="P31">
        <v>100</v>
      </c>
      <c r="Q31">
        <v>2500</v>
      </c>
      <c r="R31" t="s">
        <v>2465</v>
      </c>
      <c r="S31" s="42" t="str">
        <f>HYPERLINK("https://sklep.kobi.pl/produkt/led-gs-7w-e27-3000k-270-cb")</f>
        <v>https://sklep.kobi.pl/produkt/led-gs-7w-e27-3000k-270-cb</v>
      </c>
      <c r="T31" s="42" t="str">
        <f>HYPERLINK("https://eprel.ec.europa.eu/qr/659843         ")</f>
        <v xml:space="preserve">https://eprel.ec.europa.eu/qr/659843         </v>
      </c>
      <c r="U31">
        <v>2.9000000000000001E-2</v>
      </c>
      <c r="V31">
        <v>4.3999999999999997E-2</v>
      </c>
      <c r="W31">
        <v>60</v>
      </c>
      <c r="X31">
        <v>110</v>
      </c>
      <c r="Y31">
        <v>60</v>
      </c>
    </row>
    <row r="32" spans="1:25" ht="15" x14ac:dyDescent="0.25">
      <c r="A32" t="s">
        <v>21</v>
      </c>
      <c r="B32" t="s">
        <v>43</v>
      </c>
      <c r="C32" t="s">
        <v>44</v>
      </c>
      <c r="D32" t="s">
        <v>111</v>
      </c>
      <c r="E32" t="s">
        <v>14</v>
      </c>
      <c r="F32" t="s">
        <v>1724</v>
      </c>
      <c r="G32" t="s">
        <v>139</v>
      </c>
      <c r="H32" t="s">
        <v>879</v>
      </c>
      <c r="I32">
        <v>9.02</v>
      </c>
      <c r="J32" s="41">
        <f>I32/'enter the discount'!$D$7</f>
        <v>2.1113243761996161</v>
      </c>
      <c r="K32" s="41">
        <f>J32*(1-IFERROR(VLOOKUP(H32,'enter the discount'!$D$10:$E$40,2,FALSE),0))</f>
        <v>2.1113243761996161</v>
      </c>
      <c r="L32" s="43" t="s">
        <v>858</v>
      </c>
      <c r="M32" t="s">
        <v>501</v>
      </c>
      <c r="N32" t="s">
        <v>926</v>
      </c>
      <c r="O32" t="s">
        <v>2723</v>
      </c>
      <c r="P32">
        <v>100</v>
      </c>
      <c r="Q32">
        <v>2500</v>
      </c>
      <c r="R32" t="s">
        <v>2465</v>
      </c>
      <c r="S32" s="42" t="str">
        <f>HYPERLINK("https://sklep.kobi.pl/produkt/led-gs-7w-e27-4000k-650-nb")</f>
        <v>https://sklep.kobi.pl/produkt/led-gs-7w-e27-4000k-650-nb</v>
      </c>
      <c r="T32" s="42" t="str">
        <f>HYPERLINK("https://eprel.ec.europa.eu/qr/659844         ")</f>
        <v xml:space="preserve">https://eprel.ec.europa.eu/qr/659844         </v>
      </c>
      <c r="U32">
        <v>2.9000000000000001E-2</v>
      </c>
      <c r="V32">
        <v>4.3999999999999997E-2</v>
      </c>
      <c r="W32">
        <v>60</v>
      </c>
      <c r="X32">
        <v>110</v>
      </c>
      <c r="Y32">
        <v>60</v>
      </c>
    </row>
    <row r="33" spans="1:25" ht="15" x14ac:dyDescent="0.25">
      <c r="A33" t="s">
        <v>21</v>
      </c>
      <c r="B33" t="s">
        <v>43</v>
      </c>
      <c r="C33" t="s">
        <v>44</v>
      </c>
      <c r="D33" t="s">
        <v>111</v>
      </c>
      <c r="E33" t="s">
        <v>14</v>
      </c>
      <c r="F33" t="s">
        <v>1725</v>
      </c>
      <c r="G33" t="s">
        <v>141</v>
      </c>
      <c r="H33" t="s">
        <v>879</v>
      </c>
      <c r="I33">
        <v>9.02</v>
      </c>
      <c r="J33" s="41">
        <f>I33/'enter the discount'!$D$7</f>
        <v>2.1113243761996161</v>
      </c>
      <c r="K33" s="41">
        <f>J33*(1-IFERROR(VLOOKUP(H33,'enter the discount'!$D$10:$E$40,2,FALSE),0))</f>
        <v>2.1113243761996161</v>
      </c>
      <c r="L33" s="43" t="s">
        <v>858</v>
      </c>
      <c r="M33" t="s">
        <v>503</v>
      </c>
      <c r="N33" t="s">
        <v>926</v>
      </c>
      <c r="O33" t="s">
        <v>2723</v>
      </c>
      <c r="P33">
        <v>100</v>
      </c>
      <c r="Q33">
        <v>2500</v>
      </c>
      <c r="R33" t="s">
        <v>2465</v>
      </c>
      <c r="S33" s="42" t="str">
        <f>HYPERLINK("https://sklep.kobi.pl/produkt/led-gs-7w-e27-6000k-270-zb")</f>
        <v>https://sklep.kobi.pl/produkt/led-gs-7w-e27-6000k-270-zb</v>
      </c>
      <c r="T33" s="42" t="str">
        <f>HYPERLINK("https://eprel.ec.europa.eu/qr/659846         ")</f>
        <v xml:space="preserve">https://eprel.ec.europa.eu/qr/659846         </v>
      </c>
      <c r="U33">
        <v>2.9000000000000001E-2</v>
      </c>
      <c r="V33">
        <v>4.3999999999999997E-2</v>
      </c>
      <c r="W33">
        <v>60</v>
      </c>
      <c r="X33">
        <v>110</v>
      </c>
      <c r="Y33">
        <v>60</v>
      </c>
    </row>
    <row r="34" spans="1:25" ht="15" x14ac:dyDescent="0.25">
      <c r="A34" t="s">
        <v>21</v>
      </c>
      <c r="B34" t="s">
        <v>43</v>
      </c>
      <c r="C34" t="s">
        <v>44</v>
      </c>
      <c r="D34" t="s">
        <v>112</v>
      </c>
      <c r="E34" t="s">
        <v>14</v>
      </c>
      <c r="F34" t="s">
        <v>1726</v>
      </c>
      <c r="G34" t="s">
        <v>138</v>
      </c>
      <c r="H34" t="s">
        <v>879</v>
      </c>
      <c r="I34">
        <v>5</v>
      </c>
      <c r="J34" s="41">
        <f>I34/'enter the discount'!$D$7</f>
        <v>1.1703571930153083</v>
      </c>
      <c r="K34" s="41">
        <f>J34*(1-IFERROR(VLOOKUP(H34,'enter the discount'!$D$10:$E$40,2,FALSE),0))</f>
        <v>1.1703571930153083</v>
      </c>
      <c r="L34" s="43" t="s">
        <v>858</v>
      </c>
      <c r="M34" t="s">
        <v>500</v>
      </c>
      <c r="N34" t="s">
        <v>926</v>
      </c>
      <c r="O34" t="s">
        <v>2723</v>
      </c>
      <c r="P34">
        <v>100</v>
      </c>
      <c r="Q34">
        <v>2500</v>
      </c>
      <c r="R34" t="s">
        <v>2465</v>
      </c>
      <c r="S34" s="42" t="str">
        <f>HYPERLINK("https://sklep.kobi.pl/produkt/led-gs-7w-e27-3000k-led2b")</f>
        <v>https://sklep.kobi.pl/produkt/led-gs-7w-e27-3000k-led2b</v>
      </c>
      <c r="T34" s="42" t="str">
        <f>HYPERLINK("https://eprel.ec.europa.eu/qr/660288         ")</f>
        <v xml:space="preserve">https://eprel.ec.europa.eu/qr/660288         </v>
      </c>
      <c r="U34">
        <v>2.5999999999999999E-2</v>
      </c>
      <c r="V34">
        <v>3.2000000000000001E-2</v>
      </c>
      <c r="W34">
        <v>55</v>
      </c>
      <c r="X34">
        <v>100</v>
      </c>
      <c r="Y34">
        <v>55</v>
      </c>
    </row>
    <row r="35" spans="1:25" ht="15" x14ac:dyDescent="0.25">
      <c r="A35" t="s">
        <v>21</v>
      </c>
      <c r="B35" t="s">
        <v>43</v>
      </c>
      <c r="C35" t="s">
        <v>44</v>
      </c>
      <c r="D35" t="s">
        <v>112</v>
      </c>
      <c r="E35" t="s">
        <v>14</v>
      </c>
      <c r="F35" t="s">
        <v>1727</v>
      </c>
      <c r="G35" t="s">
        <v>140</v>
      </c>
      <c r="H35" t="s">
        <v>879</v>
      </c>
      <c r="I35">
        <v>5</v>
      </c>
      <c r="J35" s="41">
        <f>I35/'enter the discount'!$D$7</f>
        <v>1.1703571930153083</v>
      </c>
      <c r="K35" s="41">
        <f>J35*(1-IFERROR(VLOOKUP(H35,'enter the discount'!$D$10:$E$40,2,FALSE),0))</f>
        <v>1.1703571930153083</v>
      </c>
      <c r="L35" s="43" t="s">
        <v>858</v>
      </c>
      <c r="M35" t="s">
        <v>502</v>
      </c>
      <c r="N35" t="s">
        <v>926</v>
      </c>
      <c r="O35" t="s">
        <v>2723</v>
      </c>
      <c r="P35">
        <v>100</v>
      </c>
      <c r="Q35">
        <v>2500</v>
      </c>
      <c r="R35" t="s">
        <v>2465</v>
      </c>
      <c r="S35" s="42" t="str">
        <f>HYPERLINK("https://sklep.kobi.pl/produkt/led-gs-7w-e27-4000k-led2b-wykasuj")</f>
        <v>https://sklep.kobi.pl/produkt/led-gs-7w-e27-4000k-led2b-wykasuj</v>
      </c>
      <c r="T35" s="42" t="str">
        <f>HYPERLINK("https://eprel.ec.europa.eu/qr/660289         ")</f>
        <v xml:space="preserve">https://eprel.ec.europa.eu/qr/660289         </v>
      </c>
      <c r="U35">
        <v>2.5999999999999999E-2</v>
      </c>
      <c r="V35">
        <v>3.2000000000000001E-2</v>
      </c>
      <c r="W35">
        <v>55</v>
      </c>
      <c r="X35">
        <v>100</v>
      </c>
      <c r="Y35">
        <v>55</v>
      </c>
    </row>
    <row r="36" spans="1:25" ht="15" x14ac:dyDescent="0.25">
      <c r="A36" t="s">
        <v>21</v>
      </c>
      <c r="B36" t="s">
        <v>43</v>
      </c>
      <c r="C36" t="s">
        <v>44</v>
      </c>
      <c r="D36" t="s">
        <v>112</v>
      </c>
      <c r="E36" t="s">
        <v>14</v>
      </c>
      <c r="F36" t="s">
        <v>1728</v>
      </c>
      <c r="G36" t="s">
        <v>142</v>
      </c>
      <c r="H36" t="s">
        <v>879</v>
      </c>
      <c r="I36">
        <v>5</v>
      </c>
      <c r="J36" s="41">
        <f>I36/'enter the discount'!$D$7</f>
        <v>1.1703571930153083</v>
      </c>
      <c r="K36" s="41">
        <f>J36*(1-IFERROR(VLOOKUP(H36,'enter the discount'!$D$10:$E$40,2,FALSE),0))</f>
        <v>1.1703571930153083</v>
      </c>
      <c r="L36" s="43" t="s">
        <v>858</v>
      </c>
      <c r="M36" t="s">
        <v>504</v>
      </c>
      <c r="N36" t="s">
        <v>926</v>
      </c>
      <c r="O36" t="s">
        <v>2723</v>
      </c>
      <c r="P36">
        <v>100</v>
      </c>
      <c r="Q36">
        <v>2500</v>
      </c>
      <c r="R36" t="s">
        <v>2465</v>
      </c>
      <c r="S36" s="42" t="str">
        <f>HYPERLINK("https://sklep.kobi.pl/produkt/led-gs-7w-e27-6000k-led2b")</f>
        <v>https://sklep.kobi.pl/produkt/led-gs-7w-e27-6000k-led2b</v>
      </c>
      <c r="T36" s="42" t="str">
        <f>HYPERLINK("https://eprel.ec.europa.eu/qr/660290         ")</f>
        <v xml:space="preserve">https://eprel.ec.europa.eu/qr/660290         </v>
      </c>
      <c r="U36">
        <v>2.5999999999999999E-2</v>
      </c>
      <c r="V36">
        <v>3.2000000000000001E-2</v>
      </c>
      <c r="W36">
        <v>55</v>
      </c>
      <c r="X36">
        <v>100</v>
      </c>
      <c r="Y36">
        <v>55</v>
      </c>
    </row>
    <row r="37" spans="1:25" ht="15" x14ac:dyDescent="0.25">
      <c r="A37" t="s">
        <v>21</v>
      </c>
      <c r="B37" t="s">
        <v>43</v>
      </c>
      <c r="C37" t="s">
        <v>44</v>
      </c>
      <c r="D37" t="s">
        <v>112</v>
      </c>
      <c r="E37" t="s">
        <v>14</v>
      </c>
      <c r="F37" t="s">
        <v>1729</v>
      </c>
      <c r="G37" t="s">
        <v>1370</v>
      </c>
      <c r="H37" t="s">
        <v>879</v>
      </c>
      <c r="I37">
        <v>5.2</v>
      </c>
      <c r="J37" s="41">
        <f>I37/'enter the discount'!$D$7</f>
        <v>1.2171714807359206</v>
      </c>
      <c r="K37" s="41">
        <f>J37*(1-IFERROR(VLOOKUP(H37,'enter the discount'!$D$10:$E$40,2,FALSE),0))</f>
        <v>1.2171714807359206</v>
      </c>
      <c r="L37" s="43" t="s">
        <v>858</v>
      </c>
      <c r="M37" t="s">
        <v>1371</v>
      </c>
      <c r="N37" t="s">
        <v>926</v>
      </c>
      <c r="O37" t="s">
        <v>2723</v>
      </c>
      <c r="P37">
        <v>100</v>
      </c>
      <c r="Q37">
        <v>0</v>
      </c>
      <c r="R37" t="s">
        <v>2465</v>
      </c>
      <c r="S37" s="42" t="str">
        <f>HYPERLINK("https://sklep.kobi.pl/produkt/led-gs-85w-e27-3000k-led2b")</f>
        <v>https://sklep.kobi.pl/produkt/led-gs-85w-e27-3000k-led2b</v>
      </c>
      <c r="T37" s="42" t="str">
        <f>HYPERLINK("https://eprel.ec.europa.eu/qr/1543370        ")</f>
        <v xml:space="preserve">https://eprel.ec.europa.eu/qr/1543370        </v>
      </c>
      <c r="U37">
        <v>0.03</v>
      </c>
      <c r="V37">
        <v>0</v>
      </c>
      <c r="W37">
        <v>0</v>
      </c>
      <c r="X37">
        <v>0</v>
      </c>
      <c r="Y37">
        <v>0</v>
      </c>
    </row>
    <row r="38" spans="1:25" ht="15" x14ac:dyDescent="0.25">
      <c r="A38" t="s">
        <v>21</v>
      </c>
      <c r="B38" t="s">
        <v>43</v>
      </c>
      <c r="C38" t="s">
        <v>44</v>
      </c>
      <c r="D38" t="s">
        <v>112</v>
      </c>
      <c r="E38" t="s">
        <v>14</v>
      </c>
      <c r="F38" t="s">
        <v>1730</v>
      </c>
      <c r="G38" t="s">
        <v>1372</v>
      </c>
      <c r="H38" t="s">
        <v>879</v>
      </c>
      <c r="I38">
        <v>5.2</v>
      </c>
      <c r="J38" s="41">
        <f>I38/'enter the discount'!$D$7</f>
        <v>1.2171714807359206</v>
      </c>
      <c r="K38" s="41">
        <f>J38*(1-IFERROR(VLOOKUP(H38,'enter the discount'!$D$10:$E$40,2,FALSE),0))</f>
        <v>1.2171714807359206</v>
      </c>
      <c r="L38" s="43" t="s">
        <v>858</v>
      </c>
      <c r="M38" t="s">
        <v>1373</v>
      </c>
      <c r="N38" t="s">
        <v>926</v>
      </c>
      <c r="O38" t="s">
        <v>2723</v>
      </c>
      <c r="P38">
        <v>100</v>
      </c>
      <c r="Q38">
        <v>0</v>
      </c>
      <c r="R38" t="s">
        <v>2465</v>
      </c>
      <c r="S38" s="42" t="str">
        <f>HYPERLINK("https://sklep.kobi.pl/produkt/led-gs-85w-e27-4000k-led2b")</f>
        <v>https://sklep.kobi.pl/produkt/led-gs-85w-e27-4000k-led2b</v>
      </c>
      <c r="T38" s="42" t="str">
        <f>HYPERLINK("https://eprel.ec.europa.eu/qr/1543382        ")</f>
        <v xml:space="preserve">https://eprel.ec.europa.eu/qr/1543382        </v>
      </c>
      <c r="U38">
        <v>0.03</v>
      </c>
      <c r="V38">
        <v>0</v>
      </c>
      <c r="W38">
        <v>0</v>
      </c>
      <c r="X38">
        <v>0</v>
      </c>
      <c r="Y38">
        <v>0</v>
      </c>
    </row>
    <row r="39" spans="1:25" ht="15" x14ac:dyDescent="0.25">
      <c r="A39" t="s">
        <v>21</v>
      </c>
      <c r="B39" t="s">
        <v>43</v>
      </c>
      <c r="C39" t="s">
        <v>44</v>
      </c>
      <c r="D39" t="s">
        <v>112</v>
      </c>
      <c r="E39" t="s">
        <v>14</v>
      </c>
      <c r="F39" t="s">
        <v>1731</v>
      </c>
      <c r="G39" t="s">
        <v>1374</v>
      </c>
      <c r="H39" t="s">
        <v>879</v>
      </c>
      <c r="I39">
        <v>5.2</v>
      </c>
      <c r="J39" s="41">
        <f>I39/'enter the discount'!$D$7</f>
        <v>1.2171714807359206</v>
      </c>
      <c r="K39" s="41">
        <f>J39*(1-IFERROR(VLOOKUP(H39,'enter the discount'!$D$10:$E$40,2,FALSE),0))</f>
        <v>1.2171714807359206</v>
      </c>
      <c r="L39" s="43" t="s">
        <v>858</v>
      </c>
      <c r="M39" t="s">
        <v>1375</v>
      </c>
      <c r="N39" t="s">
        <v>926</v>
      </c>
      <c r="O39" t="s">
        <v>2723</v>
      </c>
      <c r="P39">
        <v>100</v>
      </c>
      <c r="Q39">
        <v>0</v>
      </c>
      <c r="R39" t="s">
        <v>2465</v>
      </c>
      <c r="S39" s="42" t="str">
        <f>HYPERLINK("https://sklep.kobi.pl/produkt/led-gs-85w-e27-6500k-led2b")</f>
        <v>https://sklep.kobi.pl/produkt/led-gs-85w-e27-6500k-led2b</v>
      </c>
      <c r="T39" s="42" t="str">
        <f>HYPERLINK("https://eprel.ec.europa.eu/qr/1621200        ")</f>
        <v xml:space="preserve">https://eprel.ec.europa.eu/qr/1621200        </v>
      </c>
      <c r="U39">
        <v>0.03</v>
      </c>
      <c r="V39">
        <v>0</v>
      </c>
      <c r="W39">
        <v>0</v>
      </c>
      <c r="X39">
        <v>0</v>
      </c>
      <c r="Y39">
        <v>0</v>
      </c>
    </row>
    <row r="40" spans="1:25" ht="15" x14ac:dyDescent="0.25">
      <c r="A40" t="s">
        <v>21</v>
      </c>
      <c r="B40" t="s">
        <v>43</v>
      </c>
      <c r="C40" t="s">
        <v>109</v>
      </c>
      <c r="D40" t="s">
        <v>113</v>
      </c>
      <c r="E40" t="s">
        <v>14</v>
      </c>
      <c r="F40" t="s">
        <v>1732</v>
      </c>
      <c r="G40" t="s">
        <v>143</v>
      </c>
      <c r="H40" t="s">
        <v>879</v>
      </c>
      <c r="I40">
        <v>32.99</v>
      </c>
      <c r="J40" s="41">
        <f>I40/'enter the discount'!$D$7</f>
        <v>7.7220167595150047</v>
      </c>
      <c r="K40" s="41">
        <f>J40*(1-IFERROR(VLOOKUP(H40,'enter the discount'!$D$10:$E$40,2,FALSE),0))</f>
        <v>7.7220167595150047</v>
      </c>
      <c r="L40" s="43" t="s">
        <v>858</v>
      </c>
      <c r="M40" t="s">
        <v>505</v>
      </c>
      <c r="N40" t="s">
        <v>926</v>
      </c>
      <c r="O40" t="s">
        <v>2723</v>
      </c>
      <c r="P40">
        <v>100</v>
      </c>
      <c r="Q40">
        <v>2500</v>
      </c>
      <c r="R40" t="s">
        <v>2466</v>
      </c>
      <c r="S40" s="42" t="str">
        <f>HYPERLINK("https://sklep.kobi.pl/produkt/led-gs-9w-e27-3000k-lx-premium")</f>
        <v>https://sklep.kobi.pl/produkt/led-gs-9w-e27-3000k-lx-premium</v>
      </c>
      <c r="T40" s="42" t="str">
        <f>HYPERLINK("https://eprel.ec.europa.eu/qr/659853         ")</f>
        <v xml:space="preserve">https://eprel.ec.europa.eu/qr/659853         </v>
      </c>
      <c r="U40">
        <v>3.9E-2</v>
      </c>
      <c r="V40">
        <v>0.06</v>
      </c>
      <c r="W40">
        <v>110</v>
      </c>
      <c r="X40">
        <v>60</v>
      </c>
      <c r="Y40">
        <v>60</v>
      </c>
    </row>
    <row r="41" spans="1:25" ht="15" x14ac:dyDescent="0.25">
      <c r="A41" t="s">
        <v>21</v>
      </c>
      <c r="B41" t="s">
        <v>43</v>
      </c>
      <c r="C41" t="s">
        <v>109</v>
      </c>
      <c r="D41" t="s">
        <v>113</v>
      </c>
      <c r="E41" t="s">
        <v>14</v>
      </c>
      <c r="F41" t="s">
        <v>1733</v>
      </c>
      <c r="G41" t="s">
        <v>144</v>
      </c>
      <c r="H41" t="s">
        <v>879</v>
      </c>
      <c r="I41">
        <v>32.99</v>
      </c>
      <c r="J41" s="41">
        <f>I41/'enter the discount'!$D$7</f>
        <v>7.7220167595150047</v>
      </c>
      <c r="K41" s="41">
        <f>J41*(1-IFERROR(VLOOKUP(H41,'enter the discount'!$D$10:$E$40,2,FALSE),0))</f>
        <v>7.7220167595150047</v>
      </c>
      <c r="L41" s="43" t="s">
        <v>858</v>
      </c>
      <c r="M41" t="s">
        <v>506</v>
      </c>
      <c r="N41" t="s">
        <v>926</v>
      </c>
      <c r="O41" t="s">
        <v>2723</v>
      </c>
      <c r="P41">
        <v>100</v>
      </c>
      <c r="Q41">
        <v>2500</v>
      </c>
      <c r="R41" t="s">
        <v>2466</v>
      </c>
      <c r="S41" s="42" t="str">
        <f>HYPERLINK("https://sklep.kobi.pl/produkt/led-gs-9w-e27-4000k-lx-premium")</f>
        <v>https://sklep.kobi.pl/produkt/led-gs-9w-e27-4000k-lx-premium</v>
      </c>
      <c r="T41" s="42" t="str">
        <f>HYPERLINK("https://eprel.ec.europa.eu/qr/763782         ")</f>
        <v xml:space="preserve">https://eprel.ec.europa.eu/qr/763782         </v>
      </c>
      <c r="U41">
        <v>3.9E-2</v>
      </c>
      <c r="V41">
        <v>0.06</v>
      </c>
      <c r="W41">
        <v>110</v>
      </c>
      <c r="X41">
        <v>60</v>
      </c>
      <c r="Y41">
        <v>60</v>
      </c>
    </row>
    <row r="42" spans="1:25" ht="15" x14ac:dyDescent="0.25">
      <c r="A42" t="s">
        <v>21</v>
      </c>
      <c r="B42" t="s">
        <v>43</v>
      </c>
      <c r="C42" t="s">
        <v>109</v>
      </c>
      <c r="D42" t="s">
        <v>113</v>
      </c>
      <c r="E42" t="s">
        <v>14</v>
      </c>
      <c r="F42" t="s">
        <v>1734</v>
      </c>
      <c r="G42" t="s">
        <v>145</v>
      </c>
      <c r="H42" t="s">
        <v>879</v>
      </c>
      <c r="I42">
        <v>32.99</v>
      </c>
      <c r="J42" s="41">
        <f>I42/'enter the discount'!$D$7</f>
        <v>7.7220167595150047</v>
      </c>
      <c r="K42" s="41">
        <f>J42*(1-IFERROR(VLOOKUP(H42,'enter the discount'!$D$10:$E$40,2,FALSE),0))</f>
        <v>7.7220167595150047</v>
      </c>
      <c r="L42" s="43" t="s">
        <v>858</v>
      </c>
      <c r="M42" t="s">
        <v>507</v>
      </c>
      <c r="N42" t="s">
        <v>926</v>
      </c>
      <c r="O42" t="s">
        <v>2723</v>
      </c>
      <c r="P42">
        <v>100</v>
      </c>
      <c r="Q42">
        <v>2500</v>
      </c>
      <c r="R42" t="s">
        <v>2466</v>
      </c>
      <c r="S42" s="42" t="str">
        <f>HYPERLINK("https://sklep.kobi.pl/produkt/led-gs-9w-e27-6500k-lx-premium")</f>
        <v>https://sklep.kobi.pl/produkt/led-gs-9w-e27-6500k-lx-premium</v>
      </c>
      <c r="T42" s="42" t="str">
        <f>HYPERLINK("https://eprel.ec.europa.eu/qr/763786         ")</f>
        <v xml:space="preserve">https://eprel.ec.europa.eu/qr/763786         </v>
      </c>
      <c r="U42">
        <v>3.9E-2</v>
      </c>
      <c r="V42">
        <v>0.06</v>
      </c>
      <c r="W42">
        <v>110</v>
      </c>
      <c r="X42">
        <v>60</v>
      </c>
      <c r="Y42">
        <v>60</v>
      </c>
    </row>
    <row r="43" spans="1:25" ht="15" x14ac:dyDescent="0.25">
      <c r="A43" t="s">
        <v>21</v>
      </c>
      <c r="B43" t="s">
        <v>43</v>
      </c>
      <c r="C43" t="s">
        <v>105</v>
      </c>
      <c r="D43" t="s">
        <v>114</v>
      </c>
      <c r="E43" t="s">
        <v>2722</v>
      </c>
      <c r="F43" t="s">
        <v>1735</v>
      </c>
      <c r="G43" t="s">
        <v>1236</v>
      </c>
      <c r="H43" t="s">
        <v>879</v>
      </c>
      <c r="I43">
        <v>65</v>
      </c>
      <c r="J43" s="41">
        <f>I43/'enter the discount'!$D$7</f>
        <v>15.214643509199009</v>
      </c>
      <c r="K43" s="41">
        <f>J43*(1-IFERROR(VLOOKUP(H43,'enter the discount'!$D$10:$E$40,2,FALSE),0))</f>
        <v>15.214643509199009</v>
      </c>
      <c r="L43" s="43" t="s">
        <v>858</v>
      </c>
      <c r="M43" t="s">
        <v>1237</v>
      </c>
      <c r="N43" t="s">
        <v>926</v>
      </c>
      <c r="O43" t="s">
        <v>2723</v>
      </c>
      <c r="P43">
        <v>100</v>
      </c>
      <c r="Q43">
        <v>0</v>
      </c>
      <c r="R43" t="s">
        <v>2465</v>
      </c>
      <c r="S43" s="42" t="str">
        <f>HYPERLINK("https://sklep.kobi.pl/produkt/smart-led-14w-e27-rgb-cct-wifi")</f>
        <v>https://sklep.kobi.pl/produkt/smart-led-14w-e27-rgb-cct-wifi</v>
      </c>
      <c r="T43" s="42" t="str">
        <f>HYPERLINK("https://eprel.ec.europa.eu/qr/766232         ")</f>
        <v xml:space="preserve">https://eprel.ec.europa.eu/qr/766232         </v>
      </c>
      <c r="U43">
        <v>0.06</v>
      </c>
      <c r="V43">
        <v>0.6</v>
      </c>
      <c r="W43">
        <v>65</v>
      </c>
      <c r="X43">
        <v>65</v>
      </c>
      <c r="Y43">
        <v>135</v>
      </c>
    </row>
    <row r="44" spans="1:25" ht="15" x14ac:dyDescent="0.25">
      <c r="A44" t="s">
        <v>21</v>
      </c>
      <c r="B44" t="s">
        <v>43</v>
      </c>
      <c r="C44" t="s">
        <v>44</v>
      </c>
      <c r="D44" t="s">
        <v>111</v>
      </c>
      <c r="E44" t="s">
        <v>14</v>
      </c>
      <c r="F44" t="s">
        <v>1736</v>
      </c>
      <c r="G44" t="s">
        <v>146</v>
      </c>
      <c r="H44" t="s">
        <v>879</v>
      </c>
      <c r="I44">
        <v>9.7799999999999994</v>
      </c>
      <c r="J44" s="41">
        <f>I44/'enter the discount'!$D$7</f>
        <v>2.2892186695379428</v>
      </c>
      <c r="K44" s="41">
        <f>J44*(1-IFERROR(VLOOKUP(H44,'enter the discount'!$D$10:$E$40,2,FALSE),0))</f>
        <v>2.2892186695379428</v>
      </c>
      <c r="L44" s="43" t="s">
        <v>858</v>
      </c>
      <c r="M44" t="s">
        <v>508</v>
      </c>
      <c r="N44" t="s">
        <v>926</v>
      </c>
      <c r="O44" t="s">
        <v>2723</v>
      </c>
      <c r="P44">
        <v>100</v>
      </c>
      <c r="Q44">
        <v>2500</v>
      </c>
      <c r="R44" t="s">
        <v>2465</v>
      </c>
      <c r="S44" s="42" t="str">
        <f>HYPERLINK("https://sklep.kobi.pl/produkt/led-gs-10w-e27-3000k-270-cb")</f>
        <v>https://sklep.kobi.pl/produkt/led-gs-10w-e27-3000k-270-cb</v>
      </c>
      <c r="T44" s="42" t="str">
        <f>HYPERLINK("https://eprel.ec.europa.eu/qr/659813         ")</f>
        <v xml:space="preserve">https://eprel.ec.europa.eu/qr/659813         </v>
      </c>
      <c r="U44">
        <v>2.9000000000000001E-2</v>
      </c>
      <c r="V44">
        <v>4.4999999999999998E-2</v>
      </c>
      <c r="W44">
        <v>65</v>
      </c>
      <c r="X44">
        <v>115</v>
      </c>
      <c r="Y44">
        <v>65</v>
      </c>
    </row>
    <row r="45" spans="1:25" ht="15" x14ac:dyDescent="0.25">
      <c r="A45" t="s">
        <v>21</v>
      </c>
      <c r="B45" t="s">
        <v>43</v>
      </c>
      <c r="C45" t="s">
        <v>44</v>
      </c>
      <c r="D45" t="s">
        <v>111</v>
      </c>
      <c r="E45" t="s">
        <v>14</v>
      </c>
      <c r="F45" t="s">
        <v>1737</v>
      </c>
      <c r="G45" t="s">
        <v>147</v>
      </c>
      <c r="H45" t="s">
        <v>879</v>
      </c>
      <c r="I45">
        <v>9.7799999999999994</v>
      </c>
      <c r="J45" s="41">
        <f>I45/'enter the discount'!$D$7</f>
        <v>2.2892186695379428</v>
      </c>
      <c r="K45" s="41">
        <f>J45*(1-IFERROR(VLOOKUP(H45,'enter the discount'!$D$10:$E$40,2,FALSE),0))</f>
        <v>2.2892186695379428</v>
      </c>
      <c r="L45" s="43" t="s">
        <v>858</v>
      </c>
      <c r="M45" t="s">
        <v>509</v>
      </c>
      <c r="N45" t="s">
        <v>926</v>
      </c>
      <c r="O45" t="s">
        <v>2723</v>
      </c>
      <c r="P45">
        <v>100</v>
      </c>
      <c r="Q45">
        <v>2500</v>
      </c>
      <c r="R45" t="s">
        <v>2465</v>
      </c>
      <c r="S45" s="42" t="str">
        <f>HYPERLINK("https://sklep.kobi.pl/produkt/led-gs-10w-e27-4000k-270-nb")</f>
        <v>https://sklep.kobi.pl/produkt/led-gs-10w-e27-4000k-270-nb</v>
      </c>
      <c r="T45" s="42" t="str">
        <f>HYPERLINK("https://eprel.ec.europa.eu/qr/659817         ")</f>
        <v xml:space="preserve">https://eprel.ec.europa.eu/qr/659817         </v>
      </c>
      <c r="U45">
        <v>2.9000000000000001E-2</v>
      </c>
      <c r="V45">
        <v>4.4999999999999998E-2</v>
      </c>
      <c r="W45">
        <v>65</v>
      </c>
      <c r="X45">
        <v>115</v>
      </c>
      <c r="Y45">
        <v>65</v>
      </c>
    </row>
    <row r="46" spans="1:25" ht="15" x14ac:dyDescent="0.25">
      <c r="A46" t="s">
        <v>21</v>
      </c>
      <c r="B46" t="s">
        <v>43</v>
      </c>
      <c r="C46" t="s">
        <v>44</v>
      </c>
      <c r="D46" t="s">
        <v>111</v>
      </c>
      <c r="E46" t="s">
        <v>14</v>
      </c>
      <c r="F46" t="s">
        <v>1738</v>
      </c>
      <c r="G46" t="s">
        <v>148</v>
      </c>
      <c r="H46" t="s">
        <v>879</v>
      </c>
      <c r="I46">
        <v>9.7799999999999994</v>
      </c>
      <c r="J46" s="41">
        <f>I46/'enter the discount'!$D$7</f>
        <v>2.2892186695379428</v>
      </c>
      <c r="K46" s="41">
        <f>J46*(1-IFERROR(VLOOKUP(H46,'enter the discount'!$D$10:$E$40,2,FALSE),0))</f>
        <v>2.2892186695379428</v>
      </c>
      <c r="L46" s="43" t="s">
        <v>858</v>
      </c>
      <c r="M46" t="s">
        <v>510</v>
      </c>
      <c r="N46" t="s">
        <v>926</v>
      </c>
      <c r="O46" t="s">
        <v>2723</v>
      </c>
      <c r="P46">
        <v>100</v>
      </c>
      <c r="Q46">
        <v>2500</v>
      </c>
      <c r="R46" t="s">
        <v>2465</v>
      </c>
      <c r="S46" s="42" t="str">
        <f>HYPERLINK("https://sklep.kobi.pl/produkt/led-gs-10w-e27-6000k-270-zb")</f>
        <v>https://sklep.kobi.pl/produkt/led-gs-10w-e27-6000k-270-zb</v>
      </c>
      <c r="T46" s="42" t="str">
        <f>HYPERLINK("https://eprel.ec.europa.eu/qr/659818         ")</f>
        <v xml:space="preserve">https://eprel.ec.europa.eu/qr/659818         </v>
      </c>
      <c r="U46">
        <v>2.9000000000000001E-2</v>
      </c>
      <c r="V46">
        <v>4.4999999999999998E-2</v>
      </c>
      <c r="W46">
        <v>65</v>
      </c>
      <c r="X46">
        <v>115</v>
      </c>
      <c r="Y46">
        <v>65</v>
      </c>
    </row>
    <row r="47" spans="1:25" ht="15" x14ac:dyDescent="0.25">
      <c r="A47" t="s">
        <v>21</v>
      </c>
      <c r="B47" t="s">
        <v>43</v>
      </c>
      <c r="C47" t="s">
        <v>44</v>
      </c>
      <c r="D47" t="s">
        <v>112</v>
      </c>
      <c r="E47" t="s">
        <v>2721</v>
      </c>
      <c r="F47" t="s">
        <v>2763</v>
      </c>
      <c r="G47" t="s">
        <v>2764</v>
      </c>
      <c r="H47" t="s">
        <v>879</v>
      </c>
      <c r="I47">
        <v>7.9</v>
      </c>
      <c r="J47" s="41">
        <f>I47/'enter the discount'!$D$7</f>
        <v>1.8491643649641873</v>
      </c>
      <c r="K47" s="41">
        <f>J47*(1-IFERROR(VLOOKUP(H47,'enter the discount'!$D$10:$E$40,2,FALSE),0))</f>
        <v>1.8491643649641873</v>
      </c>
      <c r="L47" s="43" t="s">
        <v>478</v>
      </c>
      <c r="M47" t="s">
        <v>2767</v>
      </c>
      <c r="N47" t="s">
        <v>926</v>
      </c>
      <c r="O47" t="s">
        <v>2723</v>
      </c>
      <c r="P47">
        <v>0</v>
      </c>
      <c r="Q47">
        <v>0</v>
      </c>
      <c r="R47" t="s">
        <v>2465</v>
      </c>
      <c r="S47"/>
      <c r="T47" t="s">
        <v>14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ht="15" x14ac:dyDescent="0.25">
      <c r="A48" t="s">
        <v>21</v>
      </c>
      <c r="B48" t="s">
        <v>43</v>
      </c>
      <c r="C48" t="s">
        <v>44</v>
      </c>
      <c r="D48" t="s">
        <v>112</v>
      </c>
      <c r="E48" t="s">
        <v>2721</v>
      </c>
      <c r="F48" t="s">
        <v>2765</v>
      </c>
      <c r="G48" t="s">
        <v>2766</v>
      </c>
      <c r="H48" t="s">
        <v>879</v>
      </c>
      <c r="I48">
        <v>7.9</v>
      </c>
      <c r="J48" s="41">
        <f>I48/'enter the discount'!$D$7</f>
        <v>1.8491643649641873</v>
      </c>
      <c r="K48" s="41">
        <f>J48*(1-IFERROR(VLOOKUP(H48,'enter the discount'!$D$10:$E$40,2,FALSE),0))</f>
        <v>1.8491643649641873</v>
      </c>
      <c r="L48" s="43" t="s">
        <v>478</v>
      </c>
      <c r="M48" t="s">
        <v>2768</v>
      </c>
      <c r="N48" t="s">
        <v>926</v>
      </c>
      <c r="O48" t="s">
        <v>2723</v>
      </c>
      <c r="P48">
        <v>0</v>
      </c>
      <c r="Q48">
        <v>0</v>
      </c>
      <c r="R48" t="s">
        <v>2465</v>
      </c>
      <c r="S48" s="42" t="str">
        <f>HYPERLINK("https://sklep.kobi.pl/produkt/led-gs-105w-e27-4000k-led2b")</f>
        <v>https://sklep.kobi.pl/produkt/led-gs-105w-e27-4000k-led2b</v>
      </c>
      <c r="T48" t="s">
        <v>14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ht="15" x14ac:dyDescent="0.25">
      <c r="A49" t="s">
        <v>21</v>
      </c>
      <c r="B49" t="s">
        <v>43</v>
      </c>
      <c r="C49" t="s">
        <v>44</v>
      </c>
      <c r="D49" t="s">
        <v>112</v>
      </c>
      <c r="E49" t="s">
        <v>2721</v>
      </c>
      <c r="F49" t="s">
        <v>2495</v>
      </c>
      <c r="G49" t="s">
        <v>2496</v>
      </c>
      <c r="H49" t="s">
        <v>879</v>
      </c>
      <c r="I49">
        <v>7.9</v>
      </c>
      <c r="J49" s="41">
        <f>I49/'enter the discount'!$D$7</f>
        <v>1.8491643649641873</v>
      </c>
      <c r="K49" s="41">
        <f>J49*(1-IFERROR(VLOOKUP(H49,'enter the discount'!$D$10:$E$40,2,FALSE),0))</f>
        <v>1.8491643649641873</v>
      </c>
      <c r="L49" s="43" t="s">
        <v>858</v>
      </c>
      <c r="M49" t="s">
        <v>2527</v>
      </c>
      <c r="N49" t="s">
        <v>926</v>
      </c>
      <c r="O49" t="s">
        <v>2723</v>
      </c>
      <c r="P49">
        <v>100</v>
      </c>
      <c r="Q49">
        <v>0</v>
      </c>
      <c r="R49" t="s">
        <v>2465</v>
      </c>
      <c r="S49" s="42" t="str">
        <f>HYPERLINK("https://sklep.kobi.pl/produkt/led-gs-105w-e27-6500k-led2b")</f>
        <v>https://sklep.kobi.pl/produkt/led-gs-105w-e27-6500k-led2b</v>
      </c>
      <c r="T49" s="42" t="str">
        <f>HYPERLINK("https://eprel.ec.europa.eu/qr/2044294        ")</f>
        <v xml:space="preserve">https://eprel.ec.europa.eu/qr/2044294        </v>
      </c>
      <c r="U49">
        <v>0.03</v>
      </c>
      <c r="V49">
        <v>0</v>
      </c>
      <c r="W49">
        <v>0</v>
      </c>
      <c r="X49">
        <v>0</v>
      </c>
      <c r="Y49">
        <v>0</v>
      </c>
    </row>
    <row r="50" spans="1:25" ht="15" x14ac:dyDescent="0.25">
      <c r="A50" t="s">
        <v>21</v>
      </c>
      <c r="B50" t="s">
        <v>43</v>
      </c>
      <c r="C50" t="s">
        <v>44</v>
      </c>
      <c r="D50" t="s">
        <v>112</v>
      </c>
      <c r="E50" t="s">
        <v>14</v>
      </c>
      <c r="F50" t="s">
        <v>1739</v>
      </c>
      <c r="G50" t="s">
        <v>1257</v>
      </c>
      <c r="H50" t="s">
        <v>879</v>
      </c>
      <c r="I50">
        <v>8</v>
      </c>
      <c r="J50" s="41">
        <f>I50/'enter the discount'!$D$7</f>
        <v>1.8725715088244934</v>
      </c>
      <c r="K50" s="41">
        <f>J50*(1-IFERROR(VLOOKUP(H50,'enter the discount'!$D$10:$E$40,2,FALSE),0))</f>
        <v>1.8725715088244934</v>
      </c>
      <c r="L50" s="43" t="s">
        <v>858</v>
      </c>
      <c r="M50" t="s">
        <v>1258</v>
      </c>
      <c r="N50" t="s">
        <v>926</v>
      </c>
      <c r="O50" t="s">
        <v>2723</v>
      </c>
      <c r="P50">
        <v>100</v>
      </c>
      <c r="Q50">
        <v>2500</v>
      </c>
      <c r="R50" t="s">
        <v>2465</v>
      </c>
      <c r="S50" s="42" t="str">
        <f>HYPERLINK("https://sklep.kobi.pl/produkt/led-gs-11w-e27-3000k-led2b")</f>
        <v>https://sklep.kobi.pl/produkt/led-gs-11w-e27-3000k-led2b</v>
      </c>
      <c r="T50" s="42" t="str">
        <f>HYPERLINK("https://eprel.ec.europa.eu/qr/758824         ")</f>
        <v xml:space="preserve">https://eprel.ec.europa.eu/qr/758824         </v>
      </c>
      <c r="U50">
        <v>3.6999999999999998E-2</v>
      </c>
      <c r="V50">
        <v>4.8000000000000001E-2</v>
      </c>
      <c r="W50">
        <v>130</v>
      </c>
      <c r="X50">
        <v>60</v>
      </c>
      <c r="Y50">
        <v>60</v>
      </c>
    </row>
    <row r="51" spans="1:25" ht="15" x14ac:dyDescent="0.25">
      <c r="A51" t="s">
        <v>21</v>
      </c>
      <c r="B51" t="s">
        <v>43</v>
      </c>
      <c r="C51" t="s">
        <v>44</v>
      </c>
      <c r="D51" t="s">
        <v>112</v>
      </c>
      <c r="E51" t="s">
        <v>14</v>
      </c>
      <c r="F51" t="s">
        <v>1740</v>
      </c>
      <c r="G51" t="s">
        <v>1238</v>
      </c>
      <c r="H51" t="s">
        <v>879</v>
      </c>
      <c r="I51">
        <v>8</v>
      </c>
      <c r="J51" s="41">
        <f>I51/'enter the discount'!$D$7</f>
        <v>1.8725715088244934</v>
      </c>
      <c r="K51" s="41">
        <f>J51*(1-IFERROR(VLOOKUP(H51,'enter the discount'!$D$10:$E$40,2,FALSE),0))</f>
        <v>1.8725715088244934</v>
      </c>
      <c r="L51" s="43" t="s">
        <v>858</v>
      </c>
      <c r="M51" t="s">
        <v>1239</v>
      </c>
      <c r="N51" t="s">
        <v>926</v>
      </c>
      <c r="O51" t="s">
        <v>2723</v>
      </c>
      <c r="P51">
        <v>100</v>
      </c>
      <c r="Q51">
        <v>2500</v>
      </c>
      <c r="R51" t="s">
        <v>2465</v>
      </c>
      <c r="S51"/>
      <c r="T51" s="42" t="str">
        <f>HYPERLINK("https://eprel.ec.europa.eu/qr/758826         ")</f>
        <v xml:space="preserve">https://eprel.ec.europa.eu/qr/758826         </v>
      </c>
      <c r="U51">
        <v>3.6999999999999998E-2</v>
      </c>
      <c r="V51">
        <v>4.8000000000000001E-2</v>
      </c>
      <c r="W51">
        <v>130</v>
      </c>
      <c r="X51">
        <v>60</v>
      </c>
      <c r="Y51">
        <v>60</v>
      </c>
    </row>
    <row r="52" spans="1:25" ht="15" x14ac:dyDescent="0.25">
      <c r="A52" t="s">
        <v>21</v>
      </c>
      <c r="B52" t="s">
        <v>43</v>
      </c>
      <c r="C52" t="s">
        <v>44</v>
      </c>
      <c r="D52" t="s">
        <v>112</v>
      </c>
      <c r="E52" t="s">
        <v>14</v>
      </c>
      <c r="F52" t="s">
        <v>1741</v>
      </c>
      <c r="G52" t="s">
        <v>940</v>
      </c>
      <c r="H52" t="s">
        <v>879</v>
      </c>
      <c r="I52">
        <v>8</v>
      </c>
      <c r="J52" s="41">
        <f>I52/'enter the discount'!$D$7</f>
        <v>1.8725715088244934</v>
      </c>
      <c r="K52" s="41">
        <f>J52*(1-IFERROR(VLOOKUP(H52,'enter the discount'!$D$10:$E$40,2,FALSE),0))</f>
        <v>1.8725715088244934</v>
      </c>
      <c r="L52" s="43" t="s">
        <v>858</v>
      </c>
      <c r="M52" t="s">
        <v>941</v>
      </c>
      <c r="N52" t="s">
        <v>926</v>
      </c>
      <c r="O52" t="s">
        <v>2723</v>
      </c>
      <c r="P52">
        <v>100</v>
      </c>
      <c r="Q52">
        <v>2500</v>
      </c>
      <c r="R52" t="s">
        <v>2465</v>
      </c>
      <c r="S52" s="42" t="str">
        <f>HYPERLINK("https://sklep.kobi.pl/produkt/led-gs-11w-e27-6500k-led2b")</f>
        <v>https://sklep.kobi.pl/produkt/led-gs-11w-e27-6500k-led2b</v>
      </c>
      <c r="T52" s="42" t="str">
        <f>HYPERLINK("https://eprel.ec.europa.eu/qr/758827         ")</f>
        <v xml:space="preserve">https://eprel.ec.europa.eu/qr/758827         </v>
      </c>
      <c r="U52">
        <v>3.6999999999999998E-2</v>
      </c>
      <c r="V52">
        <v>4.8000000000000001E-2</v>
      </c>
      <c r="W52">
        <v>130</v>
      </c>
      <c r="X52">
        <v>60</v>
      </c>
      <c r="Y52">
        <v>60</v>
      </c>
    </row>
    <row r="53" spans="1:25" ht="15" x14ac:dyDescent="0.25">
      <c r="A53" t="s">
        <v>21</v>
      </c>
      <c r="B53" t="s">
        <v>43</v>
      </c>
      <c r="C53" t="s">
        <v>44</v>
      </c>
      <c r="D53" t="s">
        <v>113</v>
      </c>
      <c r="E53" t="s">
        <v>2722</v>
      </c>
      <c r="F53" t="s">
        <v>1742</v>
      </c>
      <c r="G53" t="s">
        <v>149</v>
      </c>
      <c r="H53" t="s">
        <v>879</v>
      </c>
      <c r="I53">
        <v>14.32</v>
      </c>
      <c r="J53" s="41">
        <f>I53/'enter the discount'!$D$7</f>
        <v>3.351903000795843</v>
      </c>
      <c r="K53" s="41">
        <f>J53*(1-IFERROR(VLOOKUP(H53,'enter the discount'!$D$10:$E$40,2,FALSE),0))</f>
        <v>3.351903000795843</v>
      </c>
      <c r="L53" s="43" t="s">
        <v>858</v>
      </c>
      <c r="M53" t="s">
        <v>511</v>
      </c>
      <c r="N53" t="s">
        <v>926</v>
      </c>
      <c r="O53" t="s">
        <v>2723</v>
      </c>
      <c r="P53">
        <v>100</v>
      </c>
      <c r="Q53">
        <v>2500</v>
      </c>
      <c r="R53" t="s">
        <v>2466</v>
      </c>
      <c r="S53"/>
      <c r="T53" s="42" t="str">
        <f>HYPERLINK("https://eprel.ec.europa.eu/qr/909000         ")</f>
        <v xml:space="preserve">https://eprel.ec.europa.eu/qr/909000         </v>
      </c>
      <c r="U53">
        <v>0.04</v>
      </c>
      <c r="V53">
        <v>5.6000000000000001E-2</v>
      </c>
      <c r="W53">
        <v>110</v>
      </c>
      <c r="X53">
        <v>60</v>
      </c>
      <c r="Y53">
        <v>60</v>
      </c>
    </row>
    <row r="54" spans="1:25" ht="15" x14ac:dyDescent="0.25">
      <c r="A54" t="s">
        <v>21</v>
      </c>
      <c r="B54" t="s">
        <v>43</v>
      </c>
      <c r="C54" t="s">
        <v>44</v>
      </c>
      <c r="D54" t="s">
        <v>111</v>
      </c>
      <c r="E54" t="s">
        <v>14</v>
      </c>
      <c r="F54" t="s">
        <v>1743</v>
      </c>
      <c r="G54" t="s">
        <v>150</v>
      </c>
      <c r="H54" t="s">
        <v>879</v>
      </c>
      <c r="I54">
        <v>11.16</v>
      </c>
      <c r="J54" s="41">
        <f>I54/'enter the discount'!$D$7</f>
        <v>2.6122372548101684</v>
      </c>
      <c r="K54" s="41">
        <f>J54*(1-IFERROR(VLOOKUP(H54,'enter the discount'!$D$10:$E$40,2,FALSE),0))</f>
        <v>2.6122372548101684</v>
      </c>
      <c r="L54" s="43" t="s">
        <v>858</v>
      </c>
      <c r="M54" t="s">
        <v>512</v>
      </c>
      <c r="N54" t="s">
        <v>926</v>
      </c>
      <c r="O54" t="s">
        <v>2723</v>
      </c>
      <c r="P54">
        <v>100</v>
      </c>
      <c r="Q54">
        <v>2500</v>
      </c>
      <c r="R54" t="s">
        <v>2465</v>
      </c>
      <c r="S54" s="42" t="str">
        <f>HYPERLINK("https://sklep.kobi.pl/produkt/led-gs-13w-e27-3000k-270-cb")</f>
        <v>https://sklep.kobi.pl/produkt/led-gs-13w-e27-3000k-270-cb</v>
      </c>
      <c r="T54" s="42" t="str">
        <f>HYPERLINK("https://eprel.ec.europa.eu/qr/659821         ")</f>
        <v xml:space="preserve">https://eprel.ec.europa.eu/qr/659821         </v>
      </c>
      <c r="U54">
        <v>3.9E-2</v>
      </c>
      <c r="V54">
        <v>4.7E-2</v>
      </c>
      <c r="W54">
        <v>60</v>
      </c>
      <c r="X54">
        <v>120</v>
      </c>
      <c r="Y54">
        <v>60</v>
      </c>
    </row>
    <row r="55" spans="1:25" ht="15" x14ac:dyDescent="0.25">
      <c r="A55" t="s">
        <v>21</v>
      </c>
      <c r="B55" t="s">
        <v>43</v>
      </c>
      <c r="C55" t="s">
        <v>44</v>
      </c>
      <c r="D55" t="s">
        <v>111</v>
      </c>
      <c r="E55" t="s">
        <v>14</v>
      </c>
      <c r="F55" t="s">
        <v>1744</v>
      </c>
      <c r="G55" t="s">
        <v>151</v>
      </c>
      <c r="H55" t="s">
        <v>879</v>
      </c>
      <c r="I55">
        <v>11.16</v>
      </c>
      <c r="J55" s="41">
        <f>I55/'enter the discount'!$D$7</f>
        <v>2.6122372548101684</v>
      </c>
      <c r="K55" s="41">
        <f>J55*(1-IFERROR(VLOOKUP(H55,'enter the discount'!$D$10:$E$40,2,FALSE),0))</f>
        <v>2.6122372548101684</v>
      </c>
      <c r="L55" s="43" t="s">
        <v>858</v>
      </c>
      <c r="M55" t="s">
        <v>513</v>
      </c>
      <c r="N55" t="s">
        <v>926</v>
      </c>
      <c r="O55" t="s">
        <v>2723</v>
      </c>
      <c r="P55">
        <v>100</v>
      </c>
      <c r="Q55">
        <v>2500</v>
      </c>
      <c r="R55" t="s">
        <v>2465</v>
      </c>
      <c r="S55" s="42" t="str">
        <f>HYPERLINK("https://sklep.kobi.pl/produkt/led-gs-13w-e27-4000k-270-nb")</f>
        <v>https://sklep.kobi.pl/produkt/led-gs-13w-e27-4000k-270-nb</v>
      </c>
      <c r="T55" s="42" t="str">
        <f>HYPERLINK("https://eprel.ec.europa.eu/qr/659826         ")</f>
        <v xml:space="preserve">https://eprel.ec.europa.eu/qr/659826         </v>
      </c>
      <c r="U55">
        <v>3.9E-2</v>
      </c>
      <c r="V55">
        <v>4.7E-2</v>
      </c>
      <c r="W55">
        <v>60</v>
      </c>
      <c r="X55">
        <v>120</v>
      </c>
      <c r="Y55">
        <v>60</v>
      </c>
    </row>
    <row r="56" spans="1:25" ht="15" x14ac:dyDescent="0.25">
      <c r="A56" t="s">
        <v>21</v>
      </c>
      <c r="B56" t="s">
        <v>43</v>
      </c>
      <c r="C56" t="s">
        <v>44</v>
      </c>
      <c r="D56" t="s">
        <v>111</v>
      </c>
      <c r="E56" t="s">
        <v>14</v>
      </c>
      <c r="F56" t="s">
        <v>1745</v>
      </c>
      <c r="G56" t="s">
        <v>152</v>
      </c>
      <c r="H56" t="s">
        <v>879</v>
      </c>
      <c r="I56">
        <v>11.16</v>
      </c>
      <c r="J56" s="41">
        <f>I56/'enter the discount'!$D$7</f>
        <v>2.6122372548101684</v>
      </c>
      <c r="K56" s="41">
        <f>J56*(1-IFERROR(VLOOKUP(H56,'enter the discount'!$D$10:$E$40,2,FALSE),0))</f>
        <v>2.6122372548101684</v>
      </c>
      <c r="L56" s="43" t="s">
        <v>858</v>
      </c>
      <c r="M56" t="s">
        <v>514</v>
      </c>
      <c r="N56" t="s">
        <v>926</v>
      </c>
      <c r="O56" t="s">
        <v>2723</v>
      </c>
      <c r="P56">
        <v>100</v>
      </c>
      <c r="Q56">
        <v>2500</v>
      </c>
      <c r="R56" t="s">
        <v>2465</v>
      </c>
      <c r="S56" s="42" t="str">
        <f>HYPERLINK("https://sklep.kobi.pl/produkt/led-gs-13w-e27-6000k-270-zb")</f>
        <v>https://sklep.kobi.pl/produkt/led-gs-13w-e27-6000k-270-zb</v>
      </c>
      <c r="T56" s="42" t="str">
        <f>HYPERLINK("https://eprel.ec.europa.eu/qr/659831         ")</f>
        <v xml:space="preserve">https://eprel.ec.europa.eu/qr/659831         </v>
      </c>
      <c r="U56">
        <v>3.9E-2</v>
      </c>
      <c r="V56">
        <v>4.7E-2</v>
      </c>
      <c r="W56">
        <v>60</v>
      </c>
      <c r="X56">
        <v>120</v>
      </c>
      <c r="Y56">
        <v>60</v>
      </c>
    </row>
    <row r="57" spans="1:25" ht="15" x14ac:dyDescent="0.25">
      <c r="A57" t="s">
        <v>21</v>
      </c>
      <c r="B57" t="s">
        <v>43</v>
      </c>
      <c r="C57" t="s">
        <v>44</v>
      </c>
      <c r="D57" t="s">
        <v>111</v>
      </c>
      <c r="E57" t="s">
        <v>14</v>
      </c>
      <c r="F57" t="s">
        <v>1746</v>
      </c>
      <c r="G57" t="s">
        <v>153</v>
      </c>
      <c r="H57" t="s">
        <v>879</v>
      </c>
      <c r="I57">
        <v>15.26</v>
      </c>
      <c r="J57" s="41">
        <f>I57/'enter the discount'!$D$7</f>
        <v>3.5719301530827208</v>
      </c>
      <c r="K57" s="41">
        <f>J57*(1-IFERROR(VLOOKUP(H57,'enter the discount'!$D$10:$E$40,2,FALSE),0))</f>
        <v>3.5719301530827208</v>
      </c>
      <c r="L57" s="43" t="s">
        <v>858</v>
      </c>
      <c r="M57" t="s">
        <v>515</v>
      </c>
      <c r="N57" t="s">
        <v>926</v>
      </c>
      <c r="O57" t="s">
        <v>2723</v>
      </c>
      <c r="P57">
        <v>100</v>
      </c>
      <c r="Q57">
        <v>1500</v>
      </c>
      <c r="R57" t="s">
        <v>2465</v>
      </c>
      <c r="S57" s="42" t="str">
        <f>HYPERLINK("https://sklep.kobi.pl/produkt/led-gs-15w-e27-3000k-270-cb")</f>
        <v>https://sklep.kobi.pl/produkt/led-gs-15w-e27-3000k-270-cb</v>
      </c>
      <c r="T57" s="42" t="str">
        <f>HYPERLINK("https://eprel.ec.europa.eu/qr/659833         ")</f>
        <v xml:space="preserve">https://eprel.ec.europa.eu/qr/659833         </v>
      </c>
      <c r="U57">
        <v>5.5E-2</v>
      </c>
      <c r="V57">
        <v>7.0999999999999994E-2</v>
      </c>
      <c r="W57">
        <v>65</v>
      </c>
      <c r="X57">
        <v>135</v>
      </c>
      <c r="Y57">
        <v>65</v>
      </c>
    </row>
    <row r="58" spans="1:25" ht="15" x14ac:dyDescent="0.25">
      <c r="A58" t="s">
        <v>21</v>
      </c>
      <c r="B58" t="s">
        <v>43</v>
      </c>
      <c r="C58" t="s">
        <v>44</v>
      </c>
      <c r="D58" t="s">
        <v>111</v>
      </c>
      <c r="E58" t="s">
        <v>14</v>
      </c>
      <c r="F58" t="s">
        <v>1747</v>
      </c>
      <c r="G58" t="s">
        <v>154</v>
      </c>
      <c r="H58" t="s">
        <v>879</v>
      </c>
      <c r="I58">
        <v>15.26</v>
      </c>
      <c r="J58" s="41">
        <f>I58/'enter the discount'!$D$7</f>
        <v>3.5719301530827208</v>
      </c>
      <c r="K58" s="41">
        <f>J58*(1-IFERROR(VLOOKUP(H58,'enter the discount'!$D$10:$E$40,2,FALSE),0))</f>
        <v>3.5719301530827208</v>
      </c>
      <c r="L58" s="43" t="s">
        <v>858</v>
      </c>
      <c r="M58" t="s">
        <v>516</v>
      </c>
      <c r="N58" t="s">
        <v>926</v>
      </c>
      <c r="O58" t="s">
        <v>2723</v>
      </c>
      <c r="P58">
        <v>100</v>
      </c>
      <c r="Q58">
        <v>0</v>
      </c>
      <c r="R58" t="s">
        <v>2465</v>
      </c>
      <c r="S58" s="42" t="str">
        <f>HYPERLINK("https://sklep.kobi.pl/produkt/led-gs-15w-e27-4000k-270-nb")</f>
        <v>https://sklep.kobi.pl/produkt/led-gs-15w-e27-4000k-270-nb</v>
      </c>
      <c r="T58" s="42" t="str">
        <f>HYPERLINK("https://eprel.ec.europa.eu/qr/659834         ")</f>
        <v xml:space="preserve">https://eprel.ec.europa.eu/qr/659834         </v>
      </c>
      <c r="U58">
        <v>5.5E-2</v>
      </c>
      <c r="V58">
        <v>7.0999999999999994E-2</v>
      </c>
      <c r="W58">
        <v>65</v>
      </c>
      <c r="X58">
        <v>135</v>
      </c>
      <c r="Y58">
        <v>65</v>
      </c>
    </row>
    <row r="59" spans="1:25" ht="15" x14ac:dyDescent="0.25">
      <c r="A59" t="s">
        <v>21</v>
      </c>
      <c r="B59" t="s">
        <v>43</v>
      </c>
      <c r="C59" t="s">
        <v>44</v>
      </c>
      <c r="D59" t="s">
        <v>111</v>
      </c>
      <c r="E59" t="s">
        <v>14</v>
      </c>
      <c r="F59" t="s">
        <v>1748</v>
      </c>
      <c r="G59" t="s">
        <v>155</v>
      </c>
      <c r="H59" t="s">
        <v>879</v>
      </c>
      <c r="I59">
        <v>15.26</v>
      </c>
      <c r="J59" s="41">
        <f>I59/'enter the discount'!$D$7</f>
        <v>3.5719301530827208</v>
      </c>
      <c r="K59" s="41">
        <f>J59*(1-IFERROR(VLOOKUP(H59,'enter the discount'!$D$10:$E$40,2,FALSE),0))</f>
        <v>3.5719301530827208</v>
      </c>
      <c r="L59" s="43" t="s">
        <v>858</v>
      </c>
      <c r="M59" t="s">
        <v>517</v>
      </c>
      <c r="N59" t="s">
        <v>926</v>
      </c>
      <c r="O59" t="s">
        <v>2723</v>
      </c>
      <c r="P59">
        <v>100</v>
      </c>
      <c r="Q59">
        <v>0</v>
      </c>
      <c r="R59" t="s">
        <v>2465</v>
      </c>
      <c r="S59" s="42" t="str">
        <f>HYPERLINK("https://sklep.kobi.pl/produkt/led-gs-15w-e27-6000k-270-zb")</f>
        <v>https://sklep.kobi.pl/produkt/led-gs-15w-e27-6000k-270-zb</v>
      </c>
      <c r="T59" s="42" t="str">
        <f>HYPERLINK("https://eprel.ec.europa.eu/qr/659835         ")</f>
        <v xml:space="preserve">https://eprel.ec.europa.eu/qr/659835         </v>
      </c>
      <c r="U59">
        <v>5.5E-2</v>
      </c>
      <c r="V59">
        <v>7.0999999999999994E-2</v>
      </c>
      <c r="W59">
        <v>65</v>
      </c>
      <c r="X59">
        <v>135</v>
      </c>
      <c r="Y59">
        <v>65</v>
      </c>
    </row>
    <row r="60" spans="1:25" ht="15" x14ac:dyDescent="0.25">
      <c r="A60" t="s">
        <v>21</v>
      </c>
      <c r="B60" t="s">
        <v>43</v>
      </c>
      <c r="C60" t="s">
        <v>44</v>
      </c>
      <c r="D60" t="s">
        <v>111</v>
      </c>
      <c r="E60" t="s">
        <v>14</v>
      </c>
      <c r="F60" t="s">
        <v>1749</v>
      </c>
      <c r="G60" t="s">
        <v>156</v>
      </c>
      <c r="H60" t="s">
        <v>879</v>
      </c>
      <c r="I60">
        <v>22.16</v>
      </c>
      <c r="J60" s="41">
        <f>I60/'enter the discount'!$D$7</f>
        <v>5.187023079443847</v>
      </c>
      <c r="K60" s="41">
        <f>J60*(1-IFERROR(VLOOKUP(H60,'enter the discount'!$D$10:$E$40,2,FALSE),0))</f>
        <v>5.187023079443847</v>
      </c>
      <c r="L60" s="43" t="s">
        <v>859</v>
      </c>
      <c r="M60" t="s">
        <v>518</v>
      </c>
      <c r="N60" t="s">
        <v>926</v>
      </c>
      <c r="O60" t="s">
        <v>2723</v>
      </c>
      <c r="P60">
        <v>100</v>
      </c>
      <c r="Q60">
        <v>1500</v>
      </c>
      <c r="R60" t="s">
        <v>2465</v>
      </c>
      <c r="S60" s="42" t="str">
        <f>HYPERLINK("https://sklep.kobi.pl/produkt/led-gs-18w-e27-3000k")</f>
        <v>https://sklep.kobi.pl/produkt/led-gs-18w-e27-3000k</v>
      </c>
      <c r="T60" s="42" t="str">
        <f>HYPERLINK("https://eprel.ec.europa.eu/qr/659839         ")</f>
        <v xml:space="preserve">https://eprel.ec.europa.eu/qr/659839         </v>
      </c>
      <c r="U60">
        <v>7.0000000000000007E-2</v>
      </c>
      <c r="V60">
        <v>8.8999999999999996E-2</v>
      </c>
      <c r="W60">
        <v>65</v>
      </c>
      <c r="X60">
        <v>140</v>
      </c>
      <c r="Y60">
        <v>65</v>
      </c>
    </row>
    <row r="61" spans="1:25" ht="15" x14ac:dyDescent="0.25">
      <c r="A61" t="s">
        <v>21</v>
      </c>
      <c r="B61" t="s">
        <v>43</v>
      </c>
      <c r="C61" t="s">
        <v>44</v>
      </c>
      <c r="D61" t="s">
        <v>111</v>
      </c>
      <c r="E61" t="s">
        <v>14</v>
      </c>
      <c r="F61" t="s">
        <v>1750</v>
      </c>
      <c r="G61" t="s">
        <v>157</v>
      </c>
      <c r="H61" t="s">
        <v>879</v>
      </c>
      <c r="I61">
        <v>22.16</v>
      </c>
      <c r="J61" s="41">
        <f>I61/'enter the discount'!$D$7</f>
        <v>5.187023079443847</v>
      </c>
      <c r="K61" s="41">
        <f>J61*(1-IFERROR(VLOOKUP(H61,'enter the discount'!$D$10:$E$40,2,FALSE),0))</f>
        <v>5.187023079443847</v>
      </c>
      <c r="L61" s="43" t="s">
        <v>859</v>
      </c>
      <c r="M61" t="s">
        <v>519</v>
      </c>
      <c r="N61" t="s">
        <v>926</v>
      </c>
      <c r="O61" t="s">
        <v>2723</v>
      </c>
      <c r="P61">
        <v>100</v>
      </c>
      <c r="Q61">
        <v>1500</v>
      </c>
      <c r="R61" t="s">
        <v>2465</v>
      </c>
      <c r="S61" s="42" t="str">
        <f>HYPERLINK("https://sklep.kobi.pl/produkt/led-gs-18w-e27-4000k")</f>
        <v>https://sklep.kobi.pl/produkt/led-gs-18w-e27-4000k</v>
      </c>
      <c r="T61" s="42" t="str">
        <f>HYPERLINK("https://eprel.ec.europa.eu/qr/659840         ")</f>
        <v xml:space="preserve">https://eprel.ec.europa.eu/qr/659840         </v>
      </c>
      <c r="U61">
        <v>7.0000000000000007E-2</v>
      </c>
      <c r="V61">
        <v>8.8999999999999996E-2</v>
      </c>
      <c r="W61">
        <v>65</v>
      </c>
      <c r="X61">
        <v>140</v>
      </c>
      <c r="Y61">
        <v>65</v>
      </c>
    </row>
    <row r="62" spans="1:25" ht="15" x14ac:dyDescent="0.25">
      <c r="A62" t="s">
        <v>21</v>
      </c>
      <c r="B62" t="s">
        <v>43</v>
      </c>
      <c r="C62" t="s">
        <v>44</v>
      </c>
      <c r="D62" t="s">
        <v>111</v>
      </c>
      <c r="E62" t="s">
        <v>14</v>
      </c>
      <c r="F62" t="s">
        <v>1751</v>
      </c>
      <c r="G62" t="s">
        <v>158</v>
      </c>
      <c r="H62" t="s">
        <v>879</v>
      </c>
      <c r="I62">
        <v>22.16</v>
      </c>
      <c r="J62" s="41">
        <f>I62/'enter the discount'!$D$7</f>
        <v>5.187023079443847</v>
      </c>
      <c r="K62" s="41">
        <f>J62*(1-IFERROR(VLOOKUP(H62,'enter the discount'!$D$10:$E$40,2,FALSE),0))</f>
        <v>5.187023079443847</v>
      </c>
      <c r="L62" s="43" t="s">
        <v>859</v>
      </c>
      <c r="M62" t="s">
        <v>520</v>
      </c>
      <c r="N62" t="s">
        <v>926</v>
      </c>
      <c r="O62" t="s">
        <v>2723</v>
      </c>
      <c r="P62">
        <v>100</v>
      </c>
      <c r="Q62">
        <v>1500</v>
      </c>
      <c r="R62" t="s">
        <v>2465</v>
      </c>
      <c r="S62" s="42" t="str">
        <f>HYPERLINK("https://sklep.kobi.pl/produkt/led-gs-18w-e27-6000k")</f>
        <v>https://sklep.kobi.pl/produkt/led-gs-18w-e27-6000k</v>
      </c>
      <c r="T62" s="42" t="str">
        <f>HYPERLINK("https://eprel.ec.europa.eu/qr/659841         ")</f>
        <v xml:space="preserve">https://eprel.ec.europa.eu/qr/659841         </v>
      </c>
      <c r="U62">
        <v>7.0000000000000007E-2</v>
      </c>
      <c r="V62">
        <v>8.8999999999999996E-2</v>
      </c>
      <c r="W62">
        <v>65</v>
      </c>
      <c r="X62">
        <v>140</v>
      </c>
      <c r="Y62">
        <v>65</v>
      </c>
    </row>
    <row r="63" spans="1:25" ht="15" x14ac:dyDescent="0.25">
      <c r="A63" t="s">
        <v>21</v>
      </c>
      <c r="B63" t="s">
        <v>43</v>
      </c>
      <c r="C63" t="s">
        <v>47</v>
      </c>
      <c r="D63" t="s">
        <v>111</v>
      </c>
      <c r="E63" t="s">
        <v>14</v>
      </c>
      <c r="F63" t="s">
        <v>1752</v>
      </c>
      <c r="G63" t="s">
        <v>159</v>
      </c>
      <c r="H63" t="s">
        <v>880</v>
      </c>
      <c r="I63">
        <v>8.35</v>
      </c>
      <c r="J63" s="41">
        <f>I63/'enter the discount'!$D$7</f>
        <v>1.9544965123355649</v>
      </c>
      <c r="K63" s="41">
        <f>J63*(1-IFERROR(VLOOKUP(H63,'enter the discount'!$D$10:$E$40,2,FALSE),0))</f>
        <v>1.9544965123355649</v>
      </c>
      <c r="L63" s="43" t="s">
        <v>858</v>
      </c>
      <c r="M63" t="s">
        <v>521</v>
      </c>
      <c r="N63" t="s">
        <v>926</v>
      </c>
      <c r="O63" t="s">
        <v>2723</v>
      </c>
      <c r="P63">
        <v>100</v>
      </c>
      <c r="Q63">
        <v>6000</v>
      </c>
      <c r="R63" t="s">
        <v>2465</v>
      </c>
      <c r="S63" s="42" t="str">
        <f>HYPERLINK("https://sklep.kobi.pl/produkt/led-gu10-smd-1w-3000k")</f>
        <v>https://sklep.kobi.pl/produkt/led-gu10-smd-1w-3000k</v>
      </c>
      <c r="T63" s="42" t="str">
        <f>HYPERLINK("https://eprel.ec.europa.eu/qr/659854         ")</f>
        <v xml:space="preserve">https://eprel.ec.europa.eu/qr/659854         </v>
      </c>
      <c r="U63">
        <v>1.7999999999999999E-2</v>
      </c>
      <c r="V63">
        <v>2.8000000000000001E-2</v>
      </c>
      <c r="W63">
        <v>50</v>
      </c>
      <c r="X63">
        <v>60</v>
      </c>
      <c r="Y63">
        <v>50</v>
      </c>
    </row>
    <row r="64" spans="1:25" ht="15" x14ac:dyDescent="0.25">
      <c r="A64" t="s">
        <v>21</v>
      </c>
      <c r="B64" t="s">
        <v>43</v>
      </c>
      <c r="C64" t="s">
        <v>47</v>
      </c>
      <c r="D64" t="s">
        <v>111</v>
      </c>
      <c r="E64" t="s">
        <v>14</v>
      </c>
      <c r="F64" t="s">
        <v>1753</v>
      </c>
      <c r="G64" t="s">
        <v>160</v>
      </c>
      <c r="H64" t="s">
        <v>880</v>
      </c>
      <c r="I64">
        <v>8.35</v>
      </c>
      <c r="J64" s="41">
        <f>I64/'enter the discount'!$D$7</f>
        <v>1.9544965123355649</v>
      </c>
      <c r="K64" s="41">
        <f>J64*(1-IFERROR(VLOOKUP(H64,'enter the discount'!$D$10:$E$40,2,FALSE),0))</f>
        <v>1.9544965123355649</v>
      </c>
      <c r="L64" s="43" t="s">
        <v>858</v>
      </c>
      <c r="M64" t="s">
        <v>522</v>
      </c>
      <c r="N64" t="s">
        <v>926</v>
      </c>
      <c r="O64" t="s">
        <v>2723</v>
      </c>
      <c r="P64">
        <v>100</v>
      </c>
      <c r="Q64">
        <v>6000</v>
      </c>
      <c r="R64" t="s">
        <v>2465</v>
      </c>
      <c r="S64" s="42" t="str">
        <f>HYPERLINK("https://sklep.kobi.pl/produkt/led-gu10-smd-1w-4000k")</f>
        <v>https://sklep.kobi.pl/produkt/led-gu10-smd-1w-4000k</v>
      </c>
      <c r="T64" s="42" t="str">
        <f>HYPERLINK("https://eprel.ec.europa.eu/qr/659856         ")</f>
        <v xml:space="preserve">https://eprel.ec.europa.eu/qr/659856         </v>
      </c>
      <c r="U64">
        <v>1.7999999999999999E-2</v>
      </c>
      <c r="V64">
        <v>2.8000000000000001E-2</v>
      </c>
      <c r="W64">
        <v>50</v>
      </c>
      <c r="X64">
        <v>60</v>
      </c>
      <c r="Y64">
        <v>50</v>
      </c>
    </row>
    <row r="65" spans="1:25" ht="15" x14ac:dyDescent="0.25">
      <c r="A65" t="s">
        <v>21</v>
      </c>
      <c r="B65" t="s">
        <v>43</v>
      </c>
      <c r="C65" t="s">
        <v>47</v>
      </c>
      <c r="D65" t="s">
        <v>111</v>
      </c>
      <c r="E65" t="s">
        <v>14</v>
      </c>
      <c r="F65" t="s">
        <v>1754</v>
      </c>
      <c r="G65" t="s">
        <v>161</v>
      </c>
      <c r="H65" t="s">
        <v>880</v>
      </c>
      <c r="I65">
        <v>8.35</v>
      </c>
      <c r="J65" s="41">
        <f>I65/'enter the discount'!$D$7</f>
        <v>1.9544965123355649</v>
      </c>
      <c r="K65" s="41">
        <f>J65*(1-IFERROR(VLOOKUP(H65,'enter the discount'!$D$10:$E$40,2,FALSE),0))</f>
        <v>1.9544965123355649</v>
      </c>
      <c r="L65" s="43" t="s">
        <v>858</v>
      </c>
      <c r="M65" t="s">
        <v>523</v>
      </c>
      <c r="N65" t="s">
        <v>926</v>
      </c>
      <c r="O65" t="s">
        <v>2723</v>
      </c>
      <c r="P65">
        <v>100</v>
      </c>
      <c r="Q65">
        <v>6000</v>
      </c>
      <c r="R65" t="s">
        <v>2465</v>
      </c>
      <c r="S65" s="42" t="str">
        <f>HYPERLINK("https://sklep.kobi.pl/produkt/led-gu10-smd-1w-6000k")</f>
        <v>https://sklep.kobi.pl/produkt/led-gu10-smd-1w-6000k</v>
      </c>
      <c r="T65" s="42" t="str">
        <f>HYPERLINK("https://eprel.ec.europa.eu/qr/659858         ")</f>
        <v xml:space="preserve">https://eprel.ec.europa.eu/qr/659858         </v>
      </c>
      <c r="U65">
        <v>1.7999999999999999E-2</v>
      </c>
      <c r="V65">
        <v>2.8000000000000001E-2</v>
      </c>
      <c r="W65">
        <v>50</v>
      </c>
      <c r="X65">
        <v>60</v>
      </c>
      <c r="Y65">
        <v>50</v>
      </c>
    </row>
    <row r="66" spans="1:25" ht="15" x14ac:dyDescent="0.25">
      <c r="A66" t="s">
        <v>21</v>
      </c>
      <c r="B66" t="s">
        <v>43</v>
      </c>
      <c r="C66" t="s">
        <v>47</v>
      </c>
      <c r="D66" t="s">
        <v>113</v>
      </c>
      <c r="E66" t="s">
        <v>14</v>
      </c>
      <c r="F66" t="s">
        <v>1755</v>
      </c>
      <c r="G66" t="s">
        <v>162</v>
      </c>
      <c r="H66" t="s">
        <v>880</v>
      </c>
      <c r="I66">
        <v>11.29</v>
      </c>
      <c r="J66" s="41">
        <f>I66/'enter the discount'!$D$7</f>
        <v>2.6426665418285662</v>
      </c>
      <c r="K66" s="41">
        <f>J66*(1-IFERROR(VLOOKUP(H66,'enter the discount'!$D$10:$E$40,2,FALSE),0))</f>
        <v>2.6426665418285662</v>
      </c>
      <c r="L66" s="43" t="s">
        <v>859</v>
      </c>
      <c r="M66" t="s">
        <v>524</v>
      </c>
      <c r="N66" t="s">
        <v>926</v>
      </c>
      <c r="O66" t="s">
        <v>2723</v>
      </c>
      <c r="P66">
        <v>100</v>
      </c>
      <c r="Q66">
        <v>6600</v>
      </c>
      <c r="R66" t="s">
        <v>2466</v>
      </c>
      <c r="S66" s="42" t="str">
        <f>HYPERLINK("https://sklep.kobi.pl/produkt/led-gu10-3w-3000k-premium")</f>
        <v>https://sklep.kobi.pl/produkt/led-gu10-3w-3000k-premium</v>
      </c>
      <c r="T66" s="42" t="str">
        <f>HYPERLINK("https://eprel.ec.europa.eu/qr/659875         ")</f>
        <v xml:space="preserve">https://eprel.ec.europa.eu/qr/659875         </v>
      </c>
      <c r="U66">
        <v>2.5999999999999999E-2</v>
      </c>
      <c r="V66">
        <v>3.6999999999999998E-2</v>
      </c>
      <c r="W66">
        <v>50</v>
      </c>
      <c r="X66">
        <v>65</v>
      </c>
      <c r="Y66">
        <v>50</v>
      </c>
    </row>
    <row r="67" spans="1:25" ht="15" x14ac:dyDescent="0.25">
      <c r="A67" t="s">
        <v>21</v>
      </c>
      <c r="B67" t="s">
        <v>43</v>
      </c>
      <c r="C67" t="s">
        <v>47</v>
      </c>
      <c r="D67" t="s">
        <v>113</v>
      </c>
      <c r="E67" t="s">
        <v>14</v>
      </c>
      <c r="F67" t="s">
        <v>1756</v>
      </c>
      <c r="G67" t="s">
        <v>163</v>
      </c>
      <c r="H67" t="s">
        <v>880</v>
      </c>
      <c r="I67">
        <v>11.29</v>
      </c>
      <c r="J67" s="41">
        <f>I67/'enter the discount'!$D$7</f>
        <v>2.6426665418285662</v>
      </c>
      <c r="K67" s="41">
        <f>J67*(1-IFERROR(VLOOKUP(H67,'enter the discount'!$D$10:$E$40,2,FALSE),0))</f>
        <v>2.6426665418285662</v>
      </c>
      <c r="L67" s="43" t="s">
        <v>859</v>
      </c>
      <c r="M67" t="s">
        <v>525</v>
      </c>
      <c r="N67" t="s">
        <v>926</v>
      </c>
      <c r="O67" t="s">
        <v>2723</v>
      </c>
      <c r="P67">
        <v>100</v>
      </c>
      <c r="Q67">
        <v>6600</v>
      </c>
      <c r="R67" t="s">
        <v>2466</v>
      </c>
      <c r="S67" s="42" t="str">
        <f>HYPERLINK("https://sklep.kobi.pl/produkt/led-gu10-3w-4000k-premium")</f>
        <v>https://sklep.kobi.pl/produkt/led-gu10-3w-4000k-premium</v>
      </c>
      <c r="T67" s="42" t="str">
        <f>HYPERLINK("https://eprel.ec.europa.eu/qr/659878         ")</f>
        <v xml:space="preserve">https://eprel.ec.europa.eu/qr/659878         </v>
      </c>
      <c r="U67">
        <v>2.5999999999999999E-2</v>
      </c>
      <c r="V67">
        <v>3.6999999999999998E-2</v>
      </c>
      <c r="W67">
        <v>50</v>
      </c>
      <c r="X67">
        <v>65</v>
      </c>
      <c r="Y67">
        <v>50</v>
      </c>
    </row>
    <row r="68" spans="1:25" ht="15" x14ac:dyDescent="0.25">
      <c r="A68" t="s">
        <v>21</v>
      </c>
      <c r="B68" t="s">
        <v>43</v>
      </c>
      <c r="C68" t="s">
        <v>47</v>
      </c>
      <c r="D68" t="s">
        <v>113</v>
      </c>
      <c r="E68" t="s">
        <v>14</v>
      </c>
      <c r="F68" t="s">
        <v>1757</v>
      </c>
      <c r="G68" t="s">
        <v>164</v>
      </c>
      <c r="H68" t="s">
        <v>880</v>
      </c>
      <c r="I68">
        <v>11.29</v>
      </c>
      <c r="J68" s="41">
        <f>I68/'enter the discount'!$D$7</f>
        <v>2.6426665418285662</v>
      </c>
      <c r="K68" s="41">
        <f>J68*(1-IFERROR(VLOOKUP(H68,'enter the discount'!$D$10:$E$40,2,FALSE),0))</f>
        <v>2.6426665418285662</v>
      </c>
      <c r="L68" s="43" t="s">
        <v>859</v>
      </c>
      <c r="M68" t="s">
        <v>526</v>
      </c>
      <c r="N68" t="s">
        <v>926</v>
      </c>
      <c r="O68" t="s">
        <v>2723</v>
      </c>
      <c r="P68">
        <v>100</v>
      </c>
      <c r="Q68">
        <v>6600</v>
      </c>
      <c r="R68" t="s">
        <v>2466</v>
      </c>
      <c r="S68" s="42" t="str">
        <f>HYPERLINK("https://sklep.kobi.pl/produkt/led-gu10-3w-6200k-premium")</f>
        <v>https://sklep.kobi.pl/produkt/led-gu10-3w-6200k-premium</v>
      </c>
      <c r="T68" s="42" t="str">
        <f>HYPERLINK("https://eprel.ec.europa.eu/qr/659881         ")</f>
        <v xml:space="preserve">https://eprel.ec.europa.eu/qr/659881         </v>
      </c>
      <c r="U68">
        <v>2.5999999999999999E-2</v>
      </c>
      <c r="V68">
        <v>3.6999999999999998E-2</v>
      </c>
      <c r="W68">
        <v>50</v>
      </c>
      <c r="X68">
        <v>65</v>
      </c>
      <c r="Y68">
        <v>50</v>
      </c>
    </row>
    <row r="69" spans="1:25" ht="15" x14ac:dyDescent="0.25">
      <c r="A69" t="s">
        <v>21</v>
      </c>
      <c r="B69" t="s">
        <v>43</v>
      </c>
      <c r="C69" t="s">
        <v>47</v>
      </c>
      <c r="D69" t="s">
        <v>111</v>
      </c>
      <c r="E69" t="s">
        <v>14</v>
      </c>
      <c r="F69" t="s">
        <v>1758</v>
      </c>
      <c r="G69" t="s">
        <v>165</v>
      </c>
      <c r="H69" t="s">
        <v>880</v>
      </c>
      <c r="I69">
        <v>8.94</v>
      </c>
      <c r="J69" s="41">
        <f>I69/'enter the discount'!$D$7</f>
        <v>2.0925986611113712</v>
      </c>
      <c r="K69" s="41">
        <f>J69*(1-IFERROR(VLOOKUP(H69,'enter the discount'!$D$10:$E$40,2,FALSE),0))</f>
        <v>2.0925986611113712</v>
      </c>
      <c r="L69" s="43" t="s">
        <v>860</v>
      </c>
      <c r="M69" t="s">
        <v>527</v>
      </c>
      <c r="N69" t="s">
        <v>926</v>
      </c>
      <c r="O69" t="s">
        <v>2723</v>
      </c>
      <c r="P69">
        <v>100</v>
      </c>
      <c r="Q69">
        <v>6000</v>
      </c>
      <c r="R69" t="s">
        <v>2465</v>
      </c>
      <c r="S69" s="42" t="str">
        <f>HYPERLINK("https://sklep.kobi.pl/produkt/led-gu10-smd-5w-3000k")</f>
        <v>https://sklep.kobi.pl/produkt/led-gu10-smd-5w-3000k</v>
      </c>
      <c r="T69" s="42" t="str">
        <f>HYPERLINK("https://eprel.ec.europa.eu/qr/659894         ")</f>
        <v xml:space="preserve">https://eprel.ec.europa.eu/qr/659894         </v>
      </c>
      <c r="U69">
        <v>2.1000000000000001E-2</v>
      </c>
      <c r="V69">
        <v>2.8000000000000001E-2</v>
      </c>
      <c r="W69">
        <v>50</v>
      </c>
      <c r="X69">
        <v>65</v>
      </c>
      <c r="Y69">
        <v>50</v>
      </c>
    </row>
    <row r="70" spans="1:25" ht="15" x14ac:dyDescent="0.25">
      <c r="A70" t="s">
        <v>21</v>
      </c>
      <c r="B70" t="s">
        <v>43</v>
      </c>
      <c r="C70" t="s">
        <v>47</v>
      </c>
      <c r="D70" t="s">
        <v>111</v>
      </c>
      <c r="E70" t="s">
        <v>14</v>
      </c>
      <c r="F70" t="s">
        <v>1759</v>
      </c>
      <c r="G70" t="s">
        <v>167</v>
      </c>
      <c r="H70" t="s">
        <v>880</v>
      </c>
      <c r="I70">
        <v>8.94</v>
      </c>
      <c r="J70" s="41">
        <f>I70/'enter the discount'!$D$7</f>
        <v>2.0925986611113712</v>
      </c>
      <c r="K70" s="41">
        <f>J70*(1-IFERROR(VLOOKUP(H70,'enter the discount'!$D$10:$E$40,2,FALSE),0))</f>
        <v>2.0925986611113712</v>
      </c>
      <c r="L70" s="43" t="s">
        <v>860</v>
      </c>
      <c r="M70" t="s">
        <v>529</v>
      </c>
      <c r="N70" t="s">
        <v>926</v>
      </c>
      <c r="O70" t="s">
        <v>2723</v>
      </c>
      <c r="P70">
        <v>100</v>
      </c>
      <c r="Q70">
        <v>6000</v>
      </c>
      <c r="R70" t="s">
        <v>2465</v>
      </c>
      <c r="S70" s="42" t="str">
        <f>HYPERLINK("https://sklep.kobi.pl/produkt/led-gu10-smd-5w-4000k")</f>
        <v>https://sklep.kobi.pl/produkt/led-gu10-smd-5w-4000k</v>
      </c>
      <c r="T70" s="42" t="str">
        <f>HYPERLINK("https://eprel.ec.europa.eu/qr/659904         ")</f>
        <v xml:space="preserve">https://eprel.ec.europa.eu/qr/659904         </v>
      </c>
      <c r="U70">
        <v>2.1000000000000001E-2</v>
      </c>
      <c r="V70">
        <v>2.8000000000000001E-2</v>
      </c>
      <c r="W70">
        <v>50</v>
      </c>
      <c r="X70">
        <v>65</v>
      </c>
      <c r="Y70">
        <v>50</v>
      </c>
    </row>
    <row r="71" spans="1:25" ht="15" x14ac:dyDescent="0.25">
      <c r="A71" t="s">
        <v>21</v>
      </c>
      <c r="B71" t="s">
        <v>43</v>
      </c>
      <c r="C71" t="s">
        <v>47</v>
      </c>
      <c r="D71" t="s">
        <v>111</v>
      </c>
      <c r="E71" t="s">
        <v>14</v>
      </c>
      <c r="F71" t="s">
        <v>1760</v>
      </c>
      <c r="G71" t="s">
        <v>169</v>
      </c>
      <c r="H71" t="s">
        <v>880</v>
      </c>
      <c r="I71">
        <v>8.94</v>
      </c>
      <c r="J71" s="41">
        <f>I71/'enter the discount'!$D$7</f>
        <v>2.0925986611113712</v>
      </c>
      <c r="K71" s="41">
        <f>J71*(1-IFERROR(VLOOKUP(H71,'enter the discount'!$D$10:$E$40,2,FALSE),0))</f>
        <v>2.0925986611113712</v>
      </c>
      <c r="L71" s="43" t="s">
        <v>860</v>
      </c>
      <c r="M71" t="s">
        <v>531</v>
      </c>
      <c r="N71" t="s">
        <v>926</v>
      </c>
      <c r="O71" t="s">
        <v>2723</v>
      </c>
      <c r="P71">
        <v>100</v>
      </c>
      <c r="Q71">
        <v>6000</v>
      </c>
      <c r="R71" t="s">
        <v>2465</v>
      </c>
      <c r="S71" s="42" t="str">
        <f>HYPERLINK("https://sklep.kobi.pl/produkt/led-gu10-smd-5w-6000k")</f>
        <v>https://sklep.kobi.pl/produkt/led-gu10-smd-5w-6000k</v>
      </c>
      <c r="T71" s="42" t="str">
        <f>HYPERLINK("https://eprel.ec.europa.eu/qr/660091         ")</f>
        <v xml:space="preserve">https://eprel.ec.europa.eu/qr/660091         </v>
      </c>
      <c r="U71">
        <v>2.1000000000000001E-2</v>
      </c>
      <c r="V71">
        <v>2.8000000000000001E-2</v>
      </c>
      <c r="W71">
        <v>50</v>
      </c>
      <c r="X71">
        <v>65</v>
      </c>
      <c r="Y71">
        <v>50</v>
      </c>
    </row>
    <row r="72" spans="1:25" ht="15" x14ac:dyDescent="0.25">
      <c r="A72" t="s">
        <v>21</v>
      </c>
      <c r="B72" t="s">
        <v>43</v>
      </c>
      <c r="C72" t="s">
        <v>47</v>
      </c>
      <c r="D72" t="s">
        <v>113</v>
      </c>
      <c r="E72" t="s">
        <v>14</v>
      </c>
      <c r="F72" t="s">
        <v>1761</v>
      </c>
      <c r="G72" t="s">
        <v>166</v>
      </c>
      <c r="H72" t="s">
        <v>880</v>
      </c>
      <c r="I72">
        <v>11.51</v>
      </c>
      <c r="J72" s="41">
        <f>I72/'enter the discount'!$D$7</f>
        <v>2.6941622583212399</v>
      </c>
      <c r="K72" s="41">
        <f>J72*(1-IFERROR(VLOOKUP(H72,'enter the discount'!$D$10:$E$40,2,FALSE),0))</f>
        <v>2.6941622583212399</v>
      </c>
      <c r="L72" s="43" t="s">
        <v>859</v>
      </c>
      <c r="M72" t="s">
        <v>528</v>
      </c>
      <c r="N72" t="s">
        <v>926</v>
      </c>
      <c r="O72" t="s">
        <v>2723</v>
      </c>
      <c r="P72">
        <v>100</v>
      </c>
      <c r="Q72">
        <v>7200</v>
      </c>
      <c r="R72" t="s">
        <v>2466</v>
      </c>
      <c r="S72" s="42" t="str">
        <f>HYPERLINK("https://sklep.kobi.pl/produkt/led-gu10-5w-3000k-premium")</f>
        <v>https://sklep.kobi.pl/produkt/led-gu10-5w-3000k-premium</v>
      </c>
      <c r="T72" s="42" t="str">
        <f>HYPERLINK("https://eprel.ec.europa.eu/qr/659902         ")</f>
        <v xml:space="preserve">https://eprel.ec.europa.eu/qr/659902         </v>
      </c>
      <c r="U72">
        <v>2.5000000000000001E-2</v>
      </c>
      <c r="V72">
        <v>3.6999999999999998E-2</v>
      </c>
      <c r="W72">
        <v>50</v>
      </c>
      <c r="X72">
        <v>65</v>
      </c>
      <c r="Y72">
        <v>50</v>
      </c>
    </row>
    <row r="73" spans="1:25" ht="15" x14ac:dyDescent="0.25">
      <c r="A73" t="s">
        <v>21</v>
      </c>
      <c r="B73" t="s">
        <v>43</v>
      </c>
      <c r="C73" t="s">
        <v>47</v>
      </c>
      <c r="D73" t="s">
        <v>113</v>
      </c>
      <c r="E73" t="s">
        <v>14</v>
      </c>
      <c r="F73" t="s">
        <v>1762</v>
      </c>
      <c r="G73" t="s">
        <v>168</v>
      </c>
      <c r="H73" t="s">
        <v>880</v>
      </c>
      <c r="I73">
        <v>11.51</v>
      </c>
      <c r="J73" s="41">
        <f>I73/'enter the discount'!$D$7</f>
        <v>2.6941622583212399</v>
      </c>
      <c r="K73" s="41">
        <f>J73*(1-IFERROR(VLOOKUP(H73,'enter the discount'!$D$10:$E$40,2,FALSE),0))</f>
        <v>2.6941622583212399</v>
      </c>
      <c r="L73" s="43" t="s">
        <v>859</v>
      </c>
      <c r="M73" t="s">
        <v>530</v>
      </c>
      <c r="N73" t="s">
        <v>926</v>
      </c>
      <c r="O73" t="s">
        <v>2723</v>
      </c>
      <c r="P73">
        <v>100</v>
      </c>
      <c r="Q73">
        <v>7200</v>
      </c>
      <c r="R73" t="s">
        <v>2466</v>
      </c>
      <c r="S73" s="42" t="str">
        <f>HYPERLINK("https://sklep.kobi.pl/produkt/led-gu10-5w-4000k-premium")</f>
        <v>https://sklep.kobi.pl/produkt/led-gu10-5w-4000k-premium</v>
      </c>
      <c r="T73" s="42" t="str">
        <f>HYPERLINK("https://eprel.ec.europa.eu/qr/660087         ")</f>
        <v xml:space="preserve">https://eprel.ec.europa.eu/qr/660087         </v>
      </c>
      <c r="U73">
        <v>2.5000000000000001E-2</v>
      </c>
      <c r="V73">
        <v>3.6999999999999998E-2</v>
      </c>
      <c r="W73">
        <v>50</v>
      </c>
      <c r="X73">
        <v>65</v>
      </c>
      <c r="Y73">
        <v>50</v>
      </c>
    </row>
    <row r="74" spans="1:25" ht="15" x14ac:dyDescent="0.25">
      <c r="A74" t="s">
        <v>21</v>
      </c>
      <c r="B74" t="s">
        <v>43</v>
      </c>
      <c r="C74" t="s">
        <v>47</v>
      </c>
      <c r="D74" t="s">
        <v>113</v>
      </c>
      <c r="E74" t="s">
        <v>14</v>
      </c>
      <c r="F74" t="s">
        <v>1763</v>
      </c>
      <c r="G74" t="s">
        <v>170</v>
      </c>
      <c r="H74" t="s">
        <v>880</v>
      </c>
      <c r="I74">
        <v>11.51</v>
      </c>
      <c r="J74" s="41">
        <f>I74/'enter the discount'!$D$7</f>
        <v>2.6941622583212399</v>
      </c>
      <c r="K74" s="41">
        <f>J74*(1-IFERROR(VLOOKUP(H74,'enter the discount'!$D$10:$E$40,2,FALSE),0))</f>
        <v>2.6941622583212399</v>
      </c>
      <c r="L74" s="43" t="s">
        <v>859</v>
      </c>
      <c r="M74" t="s">
        <v>532</v>
      </c>
      <c r="N74" t="s">
        <v>926</v>
      </c>
      <c r="O74" t="s">
        <v>2723</v>
      </c>
      <c r="P74">
        <v>100</v>
      </c>
      <c r="Q74">
        <v>7200</v>
      </c>
      <c r="R74" t="s">
        <v>2466</v>
      </c>
      <c r="S74" s="42" t="str">
        <f>HYPERLINK("https://sklep.kobi.pl/produkt/led-gu10-5w-6500k-premium")</f>
        <v>https://sklep.kobi.pl/produkt/led-gu10-5w-6500k-premium</v>
      </c>
      <c r="T74" s="42" t="str">
        <f>HYPERLINK("https://eprel.ec.europa.eu/qr/660096         ")</f>
        <v xml:space="preserve">https://eprel.ec.europa.eu/qr/660096         </v>
      </c>
      <c r="U74">
        <v>2.5000000000000001E-2</v>
      </c>
      <c r="V74">
        <v>3.6999999999999998E-2</v>
      </c>
      <c r="W74">
        <v>50</v>
      </c>
      <c r="X74">
        <v>65</v>
      </c>
      <c r="Y74">
        <v>50</v>
      </c>
    </row>
    <row r="75" spans="1:25" ht="15" x14ac:dyDescent="0.25">
      <c r="A75" t="s">
        <v>21</v>
      </c>
      <c r="B75" t="s">
        <v>43</v>
      </c>
      <c r="C75" t="s">
        <v>47</v>
      </c>
      <c r="D75" t="s">
        <v>111</v>
      </c>
      <c r="E75" t="s">
        <v>14</v>
      </c>
      <c r="F75" t="s">
        <v>1764</v>
      </c>
      <c r="G75" t="s">
        <v>171</v>
      </c>
      <c r="H75" t="s">
        <v>880</v>
      </c>
      <c r="I75">
        <v>11.85</v>
      </c>
      <c r="J75" s="41">
        <f>I75/'enter the discount'!$D$7</f>
        <v>2.7737465474462808</v>
      </c>
      <c r="K75" s="41">
        <f>J75*(1-IFERROR(VLOOKUP(H75,'enter the discount'!$D$10:$E$40,2,FALSE),0))</f>
        <v>2.7737465474462808</v>
      </c>
      <c r="L75" s="43" t="s">
        <v>858</v>
      </c>
      <c r="M75" t="s">
        <v>533</v>
      </c>
      <c r="N75" t="s">
        <v>926</v>
      </c>
      <c r="O75" t="s">
        <v>2723</v>
      </c>
      <c r="P75">
        <v>100</v>
      </c>
      <c r="Q75">
        <v>6000</v>
      </c>
      <c r="R75" t="s">
        <v>2465</v>
      </c>
      <c r="S75" s="42" t="str">
        <f>HYPERLINK("https://sklep.kobi.pl/produkt/led-gu10-smd-7w-3000k")</f>
        <v>https://sklep.kobi.pl/produkt/led-gu10-smd-7w-3000k</v>
      </c>
      <c r="T75" s="42" t="str">
        <f>HYPERLINK("https://eprel.ec.europa.eu/qr/660097         ")</f>
        <v xml:space="preserve">https://eprel.ec.europa.eu/qr/660097         </v>
      </c>
      <c r="U75">
        <v>2.1999999999999999E-2</v>
      </c>
      <c r="V75">
        <v>0.03</v>
      </c>
      <c r="W75">
        <v>50</v>
      </c>
      <c r="X75">
        <v>65</v>
      </c>
      <c r="Y75">
        <v>50</v>
      </c>
    </row>
    <row r="76" spans="1:25" ht="15" x14ac:dyDescent="0.25">
      <c r="A76" t="s">
        <v>21</v>
      </c>
      <c r="B76" t="s">
        <v>43</v>
      </c>
      <c r="C76" t="s">
        <v>47</v>
      </c>
      <c r="D76" t="s">
        <v>111</v>
      </c>
      <c r="E76" t="s">
        <v>14</v>
      </c>
      <c r="F76" t="s">
        <v>1765</v>
      </c>
      <c r="G76" t="s">
        <v>173</v>
      </c>
      <c r="H76" t="s">
        <v>880</v>
      </c>
      <c r="I76">
        <v>11.85</v>
      </c>
      <c r="J76" s="41">
        <f>I76/'enter the discount'!$D$7</f>
        <v>2.7737465474462808</v>
      </c>
      <c r="K76" s="41">
        <f>J76*(1-IFERROR(VLOOKUP(H76,'enter the discount'!$D$10:$E$40,2,FALSE),0))</f>
        <v>2.7737465474462808</v>
      </c>
      <c r="L76" s="43" t="s">
        <v>858</v>
      </c>
      <c r="M76" t="s">
        <v>535</v>
      </c>
      <c r="N76" t="s">
        <v>926</v>
      </c>
      <c r="O76" t="s">
        <v>2723</v>
      </c>
      <c r="P76">
        <v>100</v>
      </c>
      <c r="Q76">
        <v>6000</v>
      </c>
      <c r="R76" t="s">
        <v>2465</v>
      </c>
      <c r="S76" s="42" t="str">
        <f>HYPERLINK("https://sklep.kobi.pl/produkt/led-gu10-smd-7w-4000k")</f>
        <v>https://sklep.kobi.pl/produkt/led-gu10-smd-7w-4000k</v>
      </c>
      <c r="T76" s="42" t="str">
        <f>HYPERLINK("https://eprel.ec.europa.eu/qr/660103         ")</f>
        <v xml:space="preserve">https://eprel.ec.europa.eu/qr/660103         </v>
      </c>
      <c r="U76">
        <v>2.1999999999999999E-2</v>
      </c>
      <c r="V76">
        <v>0.03</v>
      </c>
      <c r="W76">
        <v>50</v>
      </c>
      <c r="X76">
        <v>65</v>
      </c>
      <c r="Y76">
        <v>50</v>
      </c>
    </row>
    <row r="77" spans="1:25" ht="15" x14ac:dyDescent="0.25">
      <c r="A77" t="s">
        <v>21</v>
      </c>
      <c r="B77" t="s">
        <v>43</v>
      </c>
      <c r="C77" t="s">
        <v>47</v>
      </c>
      <c r="D77" t="s">
        <v>111</v>
      </c>
      <c r="E77" t="s">
        <v>14</v>
      </c>
      <c r="F77" t="s">
        <v>1766</v>
      </c>
      <c r="G77" t="s">
        <v>175</v>
      </c>
      <c r="H77" t="s">
        <v>880</v>
      </c>
      <c r="I77">
        <v>11.85</v>
      </c>
      <c r="J77" s="41">
        <f>I77/'enter the discount'!$D$7</f>
        <v>2.7737465474462808</v>
      </c>
      <c r="K77" s="41">
        <f>J77*(1-IFERROR(VLOOKUP(H77,'enter the discount'!$D$10:$E$40,2,FALSE),0))</f>
        <v>2.7737465474462808</v>
      </c>
      <c r="L77" s="43" t="s">
        <v>858</v>
      </c>
      <c r="M77" t="s">
        <v>537</v>
      </c>
      <c r="N77" t="s">
        <v>926</v>
      </c>
      <c r="O77" t="s">
        <v>2723</v>
      </c>
      <c r="P77">
        <v>100</v>
      </c>
      <c r="Q77">
        <v>6000</v>
      </c>
      <c r="R77" t="s">
        <v>2465</v>
      </c>
      <c r="S77" s="42" t="str">
        <f>HYPERLINK("https://sklep.kobi.pl/produkt/led-gu10-smd-7w-6000k")</f>
        <v>https://sklep.kobi.pl/produkt/led-gu10-smd-7w-6000k</v>
      </c>
      <c r="T77" s="42" t="str">
        <f>HYPERLINK("https://eprel.ec.europa.eu/qr/660110         ")</f>
        <v xml:space="preserve">https://eprel.ec.europa.eu/qr/660110         </v>
      </c>
      <c r="U77">
        <v>2.1999999999999999E-2</v>
      </c>
      <c r="V77">
        <v>0.03</v>
      </c>
      <c r="W77">
        <v>50</v>
      </c>
      <c r="X77">
        <v>65</v>
      </c>
      <c r="Y77">
        <v>50</v>
      </c>
    </row>
    <row r="78" spans="1:25" ht="15" x14ac:dyDescent="0.25">
      <c r="A78" t="s">
        <v>21</v>
      </c>
      <c r="B78" t="s">
        <v>43</v>
      </c>
      <c r="C78" t="s">
        <v>47</v>
      </c>
      <c r="D78" t="s">
        <v>112</v>
      </c>
      <c r="E78" t="s">
        <v>14</v>
      </c>
      <c r="F78" t="s">
        <v>1767</v>
      </c>
      <c r="G78" t="s">
        <v>1408</v>
      </c>
      <c r="H78" t="s">
        <v>880</v>
      </c>
      <c r="I78">
        <v>10.3</v>
      </c>
      <c r="J78" s="41">
        <f>I78/'enter the discount'!$D$7</f>
        <v>2.4109358176115352</v>
      </c>
      <c r="K78" s="41">
        <f>J78*(1-IFERROR(VLOOKUP(H78,'enter the discount'!$D$10:$E$40,2,FALSE),0))</f>
        <v>2.4109358176115352</v>
      </c>
      <c r="L78" s="43" t="s">
        <v>858</v>
      </c>
      <c r="M78" t="s">
        <v>1409</v>
      </c>
      <c r="N78" t="s">
        <v>926</v>
      </c>
      <c r="O78" t="s">
        <v>2723</v>
      </c>
      <c r="P78">
        <v>100</v>
      </c>
      <c r="Q78">
        <v>5400</v>
      </c>
      <c r="R78" t="s">
        <v>2465</v>
      </c>
      <c r="S78"/>
      <c r="T78" s="42" t="str">
        <f>HYPERLINK("https://eprel.ec.europa.eu/qr/660292         ")</f>
        <v xml:space="preserve">https://eprel.ec.europa.eu/qr/660292         </v>
      </c>
      <c r="U78">
        <v>2.3E-2</v>
      </c>
      <c r="V78">
        <v>3.5000000000000003E-2</v>
      </c>
      <c r="W78">
        <v>50</v>
      </c>
      <c r="X78">
        <v>65</v>
      </c>
      <c r="Y78">
        <v>50</v>
      </c>
    </row>
    <row r="79" spans="1:25" ht="15" x14ac:dyDescent="0.25">
      <c r="A79" t="s">
        <v>21</v>
      </c>
      <c r="B79" t="s">
        <v>43</v>
      </c>
      <c r="C79" t="s">
        <v>47</v>
      </c>
      <c r="D79" t="s">
        <v>112</v>
      </c>
      <c r="E79" t="s">
        <v>14</v>
      </c>
      <c r="F79" t="s">
        <v>1768</v>
      </c>
      <c r="G79" t="s">
        <v>1410</v>
      </c>
      <c r="H79" t="s">
        <v>880</v>
      </c>
      <c r="I79">
        <v>10.3</v>
      </c>
      <c r="J79" s="41">
        <f>I79/'enter the discount'!$D$7</f>
        <v>2.4109358176115352</v>
      </c>
      <c r="K79" s="41">
        <f>J79*(1-IFERROR(VLOOKUP(H79,'enter the discount'!$D$10:$E$40,2,FALSE),0))</f>
        <v>2.4109358176115352</v>
      </c>
      <c r="L79" s="43" t="s">
        <v>858</v>
      </c>
      <c r="M79" t="s">
        <v>1411</v>
      </c>
      <c r="N79" t="s">
        <v>926</v>
      </c>
      <c r="O79" t="s">
        <v>2723</v>
      </c>
      <c r="P79">
        <v>100</v>
      </c>
      <c r="Q79">
        <v>5400</v>
      </c>
      <c r="R79" t="s">
        <v>2465</v>
      </c>
      <c r="S79"/>
      <c r="T79" s="42" t="str">
        <f>HYPERLINK("https://eprel.ec.europa.eu/qr/660294         ")</f>
        <v xml:space="preserve">https://eprel.ec.europa.eu/qr/660294         </v>
      </c>
      <c r="U79">
        <v>2.3E-2</v>
      </c>
      <c r="V79">
        <v>3.5000000000000003E-2</v>
      </c>
      <c r="W79">
        <v>50</v>
      </c>
      <c r="X79">
        <v>65</v>
      </c>
      <c r="Y79">
        <v>50</v>
      </c>
    </row>
    <row r="80" spans="1:25" ht="15" x14ac:dyDescent="0.25">
      <c r="A80" t="s">
        <v>21</v>
      </c>
      <c r="B80" t="s">
        <v>43</v>
      </c>
      <c r="C80" t="s">
        <v>47</v>
      </c>
      <c r="D80" t="s">
        <v>113</v>
      </c>
      <c r="E80" t="s">
        <v>14</v>
      </c>
      <c r="F80" t="s">
        <v>1769</v>
      </c>
      <c r="G80" t="s">
        <v>172</v>
      </c>
      <c r="H80" t="s">
        <v>880</v>
      </c>
      <c r="I80">
        <v>14.88</v>
      </c>
      <c r="J80" s="41">
        <f>I80/'enter the discount'!$D$7</f>
        <v>3.4829830064135576</v>
      </c>
      <c r="K80" s="41">
        <f>J80*(1-IFERROR(VLOOKUP(H80,'enter the discount'!$D$10:$E$40,2,FALSE),0))</f>
        <v>3.4829830064135576</v>
      </c>
      <c r="L80" s="43" t="s">
        <v>858</v>
      </c>
      <c r="M80" t="s">
        <v>534</v>
      </c>
      <c r="N80" t="s">
        <v>926</v>
      </c>
      <c r="O80" t="s">
        <v>2723</v>
      </c>
      <c r="P80">
        <v>100</v>
      </c>
      <c r="Q80">
        <v>6600</v>
      </c>
      <c r="R80" t="s">
        <v>2466</v>
      </c>
      <c r="S80" s="42" t="str">
        <f>HYPERLINK("https://sklep.kobi.pl/produkt/led-gu10-7w-3000k-premium")</f>
        <v>https://sklep.kobi.pl/produkt/led-gu10-7w-3000k-premium</v>
      </c>
      <c r="T80" s="42" t="str">
        <f>HYPERLINK("https://eprel.ec.europa.eu/qr/660099         ")</f>
        <v xml:space="preserve">https://eprel.ec.europa.eu/qr/660099         </v>
      </c>
      <c r="U80">
        <v>2.7E-2</v>
      </c>
      <c r="V80">
        <v>0.04</v>
      </c>
      <c r="W80">
        <v>50</v>
      </c>
      <c r="X80">
        <v>65</v>
      </c>
      <c r="Y80">
        <v>50</v>
      </c>
    </row>
    <row r="81" spans="1:25" ht="15" x14ac:dyDescent="0.25">
      <c r="A81" t="s">
        <v>21</v>
      </c>
      <c r="B81" t="s">
        <v>43</v>
      </c>
      <c r="C81" t="s">
        <v>47</v>
      </c>
      <c r="D81" t="s">
        <v>113</v>
      </c>
      <c r="E81" t="s">
        <v>14</v>
      </c>
      <c r="F81" t="s">
        <v>1770</v>
      </c>
      <c r="G81" t="s">
        <v>174</v>
      </c>
      <c r="H81" t="s">
        <v>880</v>
      </c>
      <c r="I81">
        <v>14.88</v>
      </c>
      <c r="J81" s="41">
        <f>I81/'enter the discount'!$D$7</f>
        <v>3.4829830064135576</v>
      </c>
      <c r="K81" s="41">
        <f>J81*(1-IFERROR(VLOOKUP(H81,'enter the discount'!$D$10:$E$40,2,FALSE),0))</f>
        <v>3.4829830064135576</v>
      </c>
      <c r="L81" s="43" t="s">
        <v>858</v>
      </c>
      <c r="M81" t="s">
        <v>536</v>
      </c>
      <c r="N81" t="s">
        <v>926</v>
      </c>
      <c r="O81" t="s">
        <v>2723</v>
      </c>
      <c r="P81">
        <v>100</v>
      </c>
      <c r="Q81">
        <v>6600</v>
      </c>
      <c r="R81" t="s">
        <v>2466</v>
      </c>
      <c r="S81" s="42" t="str">
        <f>HYPERLINK("https://sklep.kobi.pl/produkt/led-gu10-7w-4000k-premium")</f>
        <v>https://sklep.kobi.pl/produkt/led-gu10-7w-4000k-premium</v>
      </c>
      <c r="T81" s="42" t="str">
        <f>HYPERLINK("https://eprel.ec.europa.eu/qr/660106         ")</f>
        <v xml:space="preserve">https://eprel.ec.europa.eu/qr/660106         </v>
      </c>
      <c r="U81">
        <v>2.7E-2</v>
      </c>
      <c r="V81">
        <v>0.04</v>
      </c>
      <c r="W81">
        <v>50</v>
      </c>
      <c r="X81">
        <v>65</v>
      </c>
      <c r="Y81">
        <v>50</v>
      </c>
    </row>
    <row r="82" spans="1:25" ht="15" x14ac:dyDescent="0.25">
      <c r="A82" t="s">
        <v>21</v>
      </c>
      <c r="B82" t="s">
        <v>43</v>
      </c>
      <c r="C82" t="s">
        <v>47</v>
      </c>
      <c r="D82" t="s">
        <v>113</v>
      </c>
      <c r="E82" t="s">
        <v>14</v>
      </c>
      <c r="F82" t="s">
        <v>1771</v>
      </c>
      <c r="G82" t="s">
        <v>176</v>
      </c>
      <c r="H82" t="s">
        <v>880</v>
      </c>
      <c r="I82">
        <v>14.88</v>
      </c>
      <c r="J82" s="41">
        <f>I82/'enter the discount'!$D$7</f>
        <v>3.4829830064135576</v>
      </c>
      <c r="K82" s="41">
        <f>J82*(1-IFERROR(VLOOKUP(H82,'enter the discount'!$D$10:$E$40,2,FALSE),0))</f>
        <v>3.4829830064135576</v>
      </c>
      <c r="L82" s="43" t="s">
        <v>859</v>
      </c>
      <c r="M82" t="s">
        <v>538</v>
      </c>
      <c r="N82" t="s">
        <v>926</v>
      </c>
      <c r="O82" t="s">
        <v>2723</v>
      </c>
      <c r="P82">
        <v>100</v>
      </c>
      <c r="Q82">
        <v>6600</v>
      </c>
      <c r="R82" t="s">
        <v>2466</v>
      </c>
      <c r="S82" s="42" t="str">
        <f>HYPERLINK("https://sklep.kobi.pl/produkt/led-gu10-7w-6500k-premium")</f>
        <v>https://sklep.kobi.pl/produkt/led-gu10-7w-6500k-premium</v>
      </c>
      <c r="T82" s="42" t="str">
        <f>HYPERLINK("https://eprel.ec.europa.eu/qr/660149         ")</f>
        <v xml:space="preserve">https://eprel.ec.europa.eu/qr/660149         </v>
      </c>
      <c r="U82">
        <v>2.7E-2</v>
      </c>
      <c r="V82">
        <v>0.04</v>
      </c>
      <c r="W82">
        <v>50</v>
      </c>
      <c r="X82">
        <v>65</v>
      </c>
      <c r="Y82">
        <v>50</v>
      </c>
    </row>
    <row r="83" spans="1:25" ht="15" x14ac:dyDescent="0.25">
      <c r="A83" t="s">
        <v>21</v>
      </c>
      <c r="B83" t="s">
        <v>43</v>
      </c>
      <c r="C83" t="s">
        <v>47</v>
      </c>
      <c r="D83" t="s">
        <v>113</v>
      </c>
      <c r="E83" t="s">
        <v>14</v>
      </c>
      <c r="F83" t="s">
        <v>1772</v>
      </c>
      <c r="G83" t="s">
        <v>938</v>
      </c>
      <c r="H83" t="s">
        <v>880</v>
      </c>
      <c r="I83">
        <v>24.12</v>
      </c>
      <c r="J83" s="41">
        <f>I83/'enter the discount'!$D$7</f>
        <v>5.6458030991058479</v>
      </c>
      <c r="K83" s="41">
        <f>J83*(1-IFERROR(VLOOKUP(H83,'enter the discount'!$D$10:$E$40,2,FALSE),0))</f>
        <v>5.6458030991058479</v>
      </c>
      <c r="L83" s="43" t="s">
        <v>859</v>
      </c>
      <c r="M83" t="s">
        <v>939</v>
      </c>
      <c r="N83" t="s">
        <v>926</v>
      </c>
      <c r="O83" t="s">
        <v>2723</v>
      </c>
      <c r="P83">
        <v>100</v>
      </c>
      <c r="Q83">
        <v>6000</v>
      </c>
      <c r="R83" t="s">
        <v>2465</v>
      </c>
      <c r="S83" s="42" t="str">
        <f>HYPERLINK("https://sklep.kobi.pl/produkt/led-gu10-9w-3000k-premium")</f>
        <v>https://sklep.kobi.pl/produkt/led-gu10-9w-3000k-premium</v>
      </c>
      <c r="T83" s="42" t="str">
        <f>HYPERLINK("https://eprel.ec.europa.eu/qr/793979         ")</f>
        <v xml:space="preserve">https://eprel.ec.europa.eu/qr/793979         </v>
      </c>
      <c r="U83">
        <v>5.8000000000000003E-2</v>
      </c>
      <c r="V83">
        <v>6.7000000000000004E-2</v>
      </c>
      <c r="W83">
        <v>50</v>
      </c>
      <c r="X83">
        <v>65</v>
      </c>
      <c r="Y83">
        <v>50</v>
      </c>
    </row>
    <row r="84" spans="1:25" ht="15" x14ac:dyDescent="0.25">
      <c r="A84" t="s">
        <v>21</v>
      </c>
      <c r="B84" t="s">
        <v>43</v>
      </c>
      <c r="C84" t="s">
        <v>47</v>
      </c>
      <c r="D84" t="s">
        <v>113</v>
      </c>
      <c r="E84" t="s">
        <v>14</v>
      </c>
      <c r="F84" t="s">
        <v>1773</v>
      </c>
      <c r="G84" t="s">
        <v>924</v>
      </c>
      <c r="H84" t="s">
        <v>880</v>
      </c>
      <c r="I84">
        <v>24.12</v>
      </c>
      <c r="J84" s="41">
        <f>I84/'enter the discount'!$D$7</f>
        <v>5.6458030991058479</v>
      </c>
      <c r="K84" s="41">
        <f>J84*(1-IFERROR(VLOOKUP(H84,'enter the discount'!$D$10:$E$40,2,FALSE),0))</f>
        <v>5.6458030991058479</v>
      </c>
      <c r="L84" s="43" t="s">
        <v>859</v>
      </c>
      <c r="M84" t="s">
        <v>925</v>
      </c>
      <c r="N84" t="s">
        <v>926</v>
      </c>
      <c r="O84" t="s">
        <v>2723</v>
      </c>
      <c r="P84">
        <v>100</v>
      </c>
      <c r="Q84">
        <v>6000</v>
      </c>
      <c r="R84" t="s">
        <v>2465</v>
      </c>
      <c r="S84" s="42" t="str">
        <f>HYPERLINK("https://sklep.kobi.pl/produkt/led-gu10-9w-4000k-premium")</f>
        <v>https://sklep.kobi.pl/produkt/led-gu10-9w-4000k-premium</v>
      </c>
      <c r="T84" s="42" t="str">
        <f>HYPERLINK("https://eprel.ec.europa.eu/qr/794019         ")</f>
        <v xml:space="preserve">https://eprel.ec.europa.eu/qr/794019         </v>
      </c>
      <c r="U84">
        <v>5.8000000000000003E-2</v>
      </c>
      <c r="V84">
        <v>6.7000000000000004E-2</v>
      </c>
      <c r="W84">
        <v>0</v>
      </c>
      <c r="X84">
        <v>0</v>
      </c>
      <c r="Y84">
        <v>0</v>
      </c>
    </row>
    <row r="85" spans="1:25" ht="15" x14ac:dyDescent="0.25">
      <c r="A85" t="s">
        <v>21</v>
      </c>
      <c r="B85" t="s">
        <v>43</v>
      </c>
      <c r="C85" t="s">
        <v>47</v>
      </c>
      <c r="D85" t="s">
        <v>113</v>
      </c>
      <c r="E85" t="s">
        <v>14</v>
      </c>
      <c r="F85" t="s">
        <v>1774</v>
      </c>
      <c r="G85" t="s">
        <v>957</v>
      </c>
      <c r="H85" t="s">
        <v>880</v>
      </c>
      <c r="I85">
        <v>24.12</v>
      </c>
      <c r="J85" s="41">
        <f>I85/'enter the discount'!$D$7</f>
        <v>5.6458030991058479</v>
      </c>
      <c r="K85" s="41">
        <f>J85*(1-IFERROR(VLOOKUP(H85,'enter the discount'!$D$10:$E$40,2,FALSE),0))</f>
        <v>5.6458030991058479</v>
      </c>
      <c r="L85" s="43" t="s">
        <v>859</v>
      </c>
      <c r="M85" t="s">
        <v>958</v>
      </c>
      <c r="N85" t="s">
        <v>926</v>
      </c>
      <c r="O85" t="s">
        <v>2723</v>
      </c>
      <c r="P85">
        <v>100</v>
      </c>
      <c r="Q85">
        <v>6000</v>
      </c>
      <c r="R85" t="s">
        <v>2465</v>
      </c>
      <c r="S85" s="42" t="str">
        <f>HYPERLINK("https://sklep.kobi.pl/produkt/led-gu10-9w-6000k-premium")</f>
        <v>https://sklep.kobi.pl/produkt/led-gu10-9w-6000k-premium</v>
      </c>
      <c r="T85" s="42" t="str">
        <f>HYPERLINK("https://eprel.ec.europa.eu/qr/794024         ")</f>
        <v xml:space="preserve">https://eprel.ec.europa.eu/qr/794024         </v>
      </c>
      <c r="U85">
        <v>5.8000000000000003E-2</v>
      </c>
      <c r="V85">
        <v>6.7000000000000004E-2</v>
      </c>
      <c r="W85">
        <v>50</v>
      </c>
      <c r="X85">
        <v>65</v>
      </c>
      <c r="Y85">
        <v>50</v>
      </c>
    </row>
    <row r="86" spans="1:25" ht="15" x14ac:dyDescent="0.25">
      <c r="A86" t="s">
        <v>21</v>
      </c>
      <c r="B86" t="s">
        <v>43</v>
      </c>
      <c r="C86" t="s">
        <v>110</v>
      </c>
      <c r="D86" t="s">
        <v>111</v>
      </c>
      <c r="E86" t="s">
        <v>14</v>
      </c>
      <c r="F86" t="s">
        <v>1775</v>
      </c>
      <c r="G86" t="s">
        <v>1050</v>
      </c>
      <c r="H86" t="s">
        <v>879</v>
      </c>
      <c r="I86">
        <v>55</v>
      </c>
      <c r="J86" s="41">
        <f>I86/'enter the discount'!$D$7</f>
        <v>12.873929123168391</v>
      </c>
      <c r="K86" s="41">
        <f>J86*(1-IFERROR(VLOOKUP(H86,'enter the discount'!$D$10:$E$40,2,FALSE),0))</f>
        <v>12.873929123168391</v>
      </c>
      <c r="L86" s="43" t="s">
        <v>859</v>
      </c>
      <c r="M86" t="s">
        <v>1051</v>
      </c>
      <c r="N86" t="s">
        <v>926</v>
      </c>
      <c r="O86" t="s">
        <v>2723</v>
      </c>
      <c r="P86">
        <v>24</v>
      </c>
      <c r="Q86">
        <v>0</v>
      </c>
      <c r="R86" t="s">
        <v>2465</v>
      </c>
      <c r="S86" s="42" t="str">
        <f>HYPERLINK("https://sklep.kobi.pl/produkt/led-j78-8w-r7s-3000k")</f>
        <v>https://sklep.kobi.pl/produkt/led-j78-8w-r7s-3000k</v>
      </c>
      <c r="T86" s="42" t="str">
        <f>HYPERLINK("https://eprel.ec.europa.eu/qr/1243613        ")</f>
        <v xml:space="preserve">https://eprel.ec.europa.eu/qr/1243613        </v>
      </c>
      <c r="U86">
        <v>0.04</v>
      </c>
      <c r="V86">
        <v>0</v>
      </c>
      <c r="W86">
        <v>0</v>
      </c>
      <c r="X86">
        <v>0</v>
      </c>
      <c r="Y86">
        <v>0</v>
      </c>
    </row>
    <row r="87" spans="1:25" ht="15" x14ac:dyDescent="0.25">
      <c r="A87" t="s">
        <v>21</v>
      </c>
      <c r="B87" t="s">
        <v>43</v>
      </c>
      <c r="C87" t="s">
        <v>110</v>
      </c>
      <c r="D87" t="s">
        <v>111</v>
      </c>
      <c r="E87" t="s">
        <v>14</v>
      </c>
      <c r="F87" t="s">
        <v>1776</v>
      </c>
      <c r="G87" t="s">
        <v>1052</v>
      </c>
      <c r="H87" t="s">
        <v>879</v>
      </c>
      <c r="I87">
        <v>55</v>
      </c>
      <c r="J87" s="41">
        <f>I87/'enter the discount'!$D$7</f>
        <v>12.873929123168391</v>
      </c>
      <c r="K87" s="41">
        <f>J87*(1-IFERROR(VLOOKUP(H87,'enter the discount'!$D$10:$E$40,2,FALSE),0))</f>
        <v>12.873929123168391</v>
      </c>
      <c r="L87" s="43" t="s">
        <v>859</v>
      </c>
      <c r="M87" t="s">
        <v>1053</v>
      </c>
      <c r="N87" t="s">
        <v>926</v>
      </c>
      <c r="O87" t="s">
        <v>2723</v>
      </c>
      <c r="P87">
        <v>24</v>
      </c>
      <c r="Q87">
        <v>0</v>
      </c>
      <c r="R87" t="s">
        <v>2465</v>
      </c>
      <c r="S87" s="42" t="str">
        <f>HYPERLINK("https://sklep.kobi.pl/produkt/led-j78-8w-r7s-4000k")</f>
        <v>https://sklep.kobi.pl/produkt/led-j78-8w-r7s-4000k</v>
      </c>
      <c r="T87" s="42" t="str">
        <f>HYPERLINK("https://eprel.ec.europa.eu/qr/1243615        ")</f>
        <v xml:space="preserve">https://eprel.ec.europa.eu/qr/1243615        </v>
      </c>
      <c r="U87">
        <v>0.04</v>
      </c>
      <c r="V87">
        <v>0</v>
      </c>
      <c r="W87">
        <v>0</v>
      </c>
      <c r="X87">
        <v>0</v>
      </c>
      <c r="Y87">
        <v>0</v>
      </c>
    </row>
    <row r="88" spans="1:25" ht="15" x14ac:dyDescent="0.25">
      <c r="A88" t="s">
        <v>21</v>
      </c>
      <c r="B88" t="s">
        <v>43</v>
      </c>
      <c r="C88" t="s">
        <v>84</v>
      </c>
      <c r="D88" t="s">
        <v>111</v>
      </c>
      <c r="E88" t="s">
        <v>14</v>
      </c>
      <c r="F88" t="s">
        <v>1777</v>
      </c>
      <c r="G88" t="s">
        <v>1054</v>
      </c>
      <c r="H88" t="s">
        <v>879</v>
      </c>
      <c r="I88">
        <v>65</v>
      </c>
      <c r="J88" s="41">
        <f>I88/'enter the discount'!$D$7</f>
        <v>15.214643509199009</v>
      </c>
      <c r="K88" s="41">
        <f>J88*(1-IFERROR(VLOOKUP(H88,'enter the discount'!$D$10:$E$40,2,FALSE),0))</f>
        <v>15.214643509199009</v>
      </c>
      <c r="L88" s="43" t="s">
        <v>859</v>
      </c>
      <c r="M88" t="s">
        <v>1055</v>
      </c>
      <c r="N88" t="s">
        <v>926</v>
      </c>
      <c r="O88" t="s">
        <v>2723</v>
      </c>
      <c r="P88">
        <v>24</v>
      </c>
      <c r="Q88">
        <v>0</v>
      </c>
      <c r="R88" t="s">
        <v>2465</v>
      </c>
      <c r="S88" s="42" t="str">
        <f>HYPERLINK("https://sklep.kobi.pl/produkt/led-j118-15w-r7s-3000k")</f>
        <v>https://sklep.kobi.pl/produkt/led-j118-15w-r7s-3000k</v>
      </c>
      <c r="T88" s="42" t="str">
        <f>HYPERLINK("https://eprel.ec.europa.eu/qr/1243616        ")</f>
        <v xml:space="preserve">https://eprel.ec.europa.eu/qr/1243616        </v>
      </c>
      <c r="U88">
        <v>0.06</v>
      </c>
      <c r="V88">
        <v>0</v>
      </c>
      <c r="W88">
        <v>0</v>
      </c>
      <c r="X88">
        <v>0</v>
      </c>
      <c r="Y88">
        <v>0</v>
      </c>
    </row>
    <row r="89" spans="1:25" ht="15" x14ac:dyDescent="0.25">
      <c r="A89" t="s">
        <v>21</v>
      </c>
      <c r="B89" t="s">
        <v>43</v>
      </c>
      <c r="C89" t="s">
        <v>84</v>
      </c>
      <c r="D89" t="s">
        <v>111</v>
      </c>
      <c r="E89" t="s">
        <v>14</v>
      </c>
      <c r="F89" t="s">
        <v>1778</v>
      </c>
      <c r="G89" t="s">
        <v>1056</v>
      </c>
      <c r="H89" t="s">
        <v>879</v>
      </c>
      <c r="I89">
        <v>65</v>
      </c>
      <c r="J89" s="41">
        <f>I89/'enter the discount'!$D$7</f>
        <v>15.214643509199009</v>
      </c>
      <c r="K89" s="41">
        <f>J89*(1-IFERROR(VLOOKUP(H89,'enter the discount'!$D$10:$E$40,2,FALSE),0))</f>
        <v>15.214643509199009</v>
      </c>
      <c r="L89" s="43" t="s">
        <v>859</v>
      </c>
      <c r="M89" t="s">
        <v>1057</v>
      </c>
      <c r="N89" t="s">
        <v>926</v>
      </c>
      <c r="O89" t="s">
        <v>2723</v>
      </c>
      <c r="P89">
        <v>24</v>
      </c>
      <c r="Q89">
        <v>0</v>
      </c>
      <c r="R89" t="s">
        <v>2465</v>
      </c>
      <c r="S89" s="42" t="str">
        <f>HYPERLINK("https://sklep.kobi.pl/produkt/led-j118-15w-r7s-4000k")</f>
        <v>https://sklep.kobi.pl/produkt/led-j118-15w-r7s-4000k</v>
      </c>
      <c r="T89" s="42" t="str">
        <f>HYPERLINK("https://eprel.ec.europa.eu/qr/1243618        ")</f>
        <v xml:space="preserve">https://eprel.ec.europa.eu/qr/1243618        </v>
      </c>
      <c r="U89">
        <v>0.06</v>
      </c>
      <c r="V89">
        <v>0</v>
      </c>
      <c r="W89">
        <v>0</v>
      </c>
      <c r="X89">
        <v>0</v>
      </c>
      <c r="Y89">
        <v>0</v>
      </c>
    </row>
    <row r="90" spans="1:25" ht="15" x14ac:dyDescent="0.25">
      <c r="A90" t="s">
        <v>21</v>
      </c>
      <c r="B90" t="s">
        <v>43</v>
      </c>
      <c r="C90" t="s">
        <v>62</v>
      </c>
      <c r="D90" t="s">
        <v>111</v>
      </c>
      <c r="E90" t="s">
        <v>14</v>
      </c>
      <c r="F90" t="s">
        <v>1779</v>
      </c>
      <c r="G90" t="s">
        <v>177</v>
      </c>
      <c r="H90" t="s">
        <v>879</v>
      </c>
      <c r="I90">
        <v>9.33</v>
      </c>
      <c r="J90" s="41">
        <f>I90/'enter the discount'!$D$7</f>
        <v>2.1838865221665653</v>
      </c>
      <c r="K90" s="41">
        <f>J90*(1-IFERROR(VLOOKUP(H90,'enter the discount'!$D$10:$E$40,2,FALSE),0))</f>
        <v>2.1838865221665653</v>
      </c>
      <c r="L90" s="43" t="s">
        <v>858</v>
      </c>
      <c r="M90" t="s">
        <v>539</v>
      </c>
      <c r="N90" t="s">
        <v>926</v>
      </c>
      <c r="O90" t="s">
        <v>2723</v>
      </c>
      <c r="P90">
        <v>100</v>
      </c>
      <c r="Q90">
        <v>4800</v>
      </c>
      <c r="R90" t="s">
        <v>2465</v>
      </c>
      <c r="S90" s="42" t="str">
        <f>HYPERLINK("https://sklep.kobi.pl/produkt/led-mb-45w-e14-3000k-cb")</f>
        <v>https://sklep.kobi.pl/produkt/led-mb-45w-e14-3000k-cb</v>
      </c>
      <c r="T90" s="42" t="str">
        <f>HYPERLINK("https://eprel.ec.europa.eu/qr/660644         ")</f>
        <v xml:space="preserve">https://eprel.ec.europa.eu/qr/660644         </v>
      </c>
      <c r="U90">
        <v>1.7000000000000001E-2</v>
      </c>
      <c r="V90">
        <v>2.5000000000000001E-2</v>
      </c>
      <c r="W90">
        <v>46</v>
      </c>
      <c r="X90">
        <v>46</v>
      </c>
      <c r="Y90">
        <v>86</v>
      </c>
    </row>
    <row r="91" spans="1:25" ht="15" x14ac:dyDescent="0.25">
      <c r="A91" t="s">
        <v>21</v>
      </c>
      <c r="B91" t="s">
        <v>43</v>
      </c>
      <c r="C91" t="s">
        <v>62</v>
      </c>
      <c r="D91" t="s">
        <v>111</v>
      </c>
      <c r="E91" t="s">
        <v>14</v>
      </c>
      <c r="F91" t="s">
        <v>1780</v>
      </c>
      <c r="G91" t="s">
        <v>178</v>
      </c>
      <c r="H91" t="s">
        <v>879</v>
      </c>
      <c r="I91">
        <v>9.33</v>
      </c>
      <c r="J91" s="41">
        <f>I91/'enter the discount'!$D$7</f>
        <v>2.1838865221665653</v>
      </c>
      <c r="K91" s="41">
        <f>J91*(1-IFERROR(VLOOKUP(H91,'enter the discount'!$D$10:$E$40,2,FALSE),0))</f>
        <v>2.1838865221665653</v>
      </c>
      <c r="L91" s="43" t="s">
        <v>858</v>
      </c>
      <c r="M91" t="s">
        <v>540</v>
      </c>
      <c r="N91" t="s">
        <v>926</v>
      </c>
      <c r="O91" t="s">
        <v>2723</v>
      </c>
      <c r="P91">
        <v>100</v>
      </c>
      <c r="Q91">
        <v>4800</v>
      </c>
      <c r="R91" t="s">
        <v>2465</v>
      </c>
      <c r="S91" s="42" t="str">
        <f>HYPERLINK("https://sklep.kobi.pl/produkt/led-mb-45w-e14-4000k")</f>
        <v>https://sklep.kobi.pl/produkt/led-mb-45w-e14-4000k</v>
      </c>
      <c r="T91" s="42" t="str">
        <f>HYPERLINK("https://eprel.ec.europa.eu/qr/660645         ")</f>
        <v xml:space="preserve">https://eprel.ec.europa.eu/qr/660645         </v>
      </c>
      <c r="U91">
        <v>1.7000000000000001E-2</v>
      </c>
      <c r="V91">
        <v>2.5000000000000001E-2</v>
      </c>
      <c r="W91">
        <v>45</v>
      </c>
      <c r="X91">
        <v>65</v>
      </c>
      <c r="Y91">
        <v>35</v>
      </c>
    </row>
    <row r="92" spans="1:25" ht="15" x14ac:dyDescent="0.25">
      <c r="A92" t="s">
        <v>21</v>
      </c>
      <c r="B92" t="s">
        <v>43</v>
      </c>
      <c r="C92" t="s">
        <v>62</v>
      </c>
      <c r="D92" t="s">
        <v>111</v>
      </c>
      <c r="E92" t="s">
        <v>14</v>
      </c>
      <c r="F92" t="s">
        <v>1781</v>
      </c>
      <c r="G92" t="s">
        <v>179</v>
      </c>
      <c r="H92" t="s">
        <v>879</v>
      </c>
      <c r="I92">
        <v>9.33</v>
      </c>
      <c r="J92" s="41">
        <f>I92/'enter the discount'!$D$7</f>
        <v>2.1838865221665653</v>
      </c>
      <c r="K92" s="41">
        <f>J92*(1-IFERROR(VLOOKUP(H92,'enter the discount'!$D$10:$E$40,2,FALSE),0))</f>
        <v>2.1838865221665653</v>
      </c>
      <c r="L92" s="43" t="s">
        <v>858</v>
      </c>
      <c r="M92" t="s">
        <v>541</v>
      </c>
      <c r="N92" t="s">
        <v>926</v>
      </c>
      <c r="O92" t="s">
        <v>2723</v>
      </c>
      <c r="P92">
        <v>100</v>
      </c>
      <c r="Q92">
        <v>4800</v>
      </c>
      <c r="R92" t="s">
        <v>2465</v>
      </c>
      <c r="S92" s="42" t="str">
        <f>HYPERLINK("https://sklep.kobi.pl/produkt/led-mb-45w-e14-6000k-zb")</f>
        <v>https://sklep.kobi.pl/produkt/led-mb-45w-e14-6000k-zb</v>
      </c>
      <c r="T92" s="42" t="str">
        <f>HYPERLINK("https://eprel.ec.europa.eu/qr/660647         ")</f>
        <v xml:space="preserve">https://eprel.ec.europa.eu/qr/660647         </v>
      </c>
      <c r="U92">
        <v>1.7000000000000001E-2</v>
      </c>
      <c r="V92">
        <v>2.5000000000000001E-2</v>
      </c>
      <c r="W92">
        <v>46</v>
      </c>
      <c r="X92">
        <v>46</v>
      </c>
      <c r="Y92">
        <v>86</v>
      </c>
    </row>
    <row r="93" spans="1:25" ht="15" x14ac:dyDescent="0.25">
      <c r="A93" t="s">
        <v>21</v>
      </c>
      <c r="B93" t="s">
        <v>43</v>
      </c>
      <c r="C93" t="s">
        <v>62</v>
      </c>
      <c r="D93" t="s">
        <v>111</v>
      </c>
      <c r="E93" t="s">
        <v>14</v>
      </c>
      <c r="F93" t="s">
        <v>1782</v>
      </c>
      <c r="G93" t="s">
        <v>180</v>
      </c>
      <c r="H93" t="s">
        <v>879</v>
      </c>
      <c r="I93">
        <v>10.02</v>
      </c>
      <c r="J93" s="41">
        <f>I93/'enter the discount'!$D$7</f>
        <v>2.3453958148026777</v>
      </c>
      <c r="K93" s="41">
        <f>J93*(1-IFERROR(VLOOKUP(H93,'enter the discount'!$D$10:$E$40,2,FALSE),0))</f>
        <v>2.3453958148026777</v>
      </c>
      <c r="L93" s="43" t="s">
        <v>860</v>
      </c>
      <c r="M93" t="s">
        <v>542</v>
      </c>
      <c r="N93" t="s">
        <v>926</v>
      </c>
      <c r="O93" t="s">
        <v>2723</v>
      </c>
      <c r="P93">
        <v>100</v>
      </c>
      <c r="Q93">
        <v>4800</v>
      </c>
      <c r="R93" t="s">
        <v>2465</v>
      </c>
      <c r="S93" s="42" t="str">
        <f>HYPERLINK("https://sklep.kobi.pl/produkt/led-mb-6w-e14-3000k-cb")</f>
        <v>https://sklep.kobi.pl/produkt/led-mb-6w-e14-3000k-cb</v>
      </c>
      <c r="T93" s="42" t="str">
        <f>HYPERLINK("https://eprel.ec.europa.eu/qr/660651         ")</f>
        <v xml:space="preserve">https://eprel.ec.europa.eu/qr/660651         </v>
      </c>
      <c r="U93">
        <v>1.4999999999999999E-2</v>
      </c>
      <c r="V93">
        <v>2.7E-2</v>
      </c>
      <c r="W93">
        <v>46</v>
      </c>
      <c r="X93">
        <v>46</v>
      </c>
      <c r="Y93">
        <v>85</v>
      </c>
    </row>
    <row r="94" spans="1:25" ht="15" x14ac:dyDescent="0.25">
      <c r="A94" t="s">
        <v>21</v>
      </c>
      <c r="B94" t="s">
        <v>43</v>
      </c>
      <c r="C94" t="s">
        <v>62</v>
      </c>
      <c r="D94" t="s">
        <v>111</v>
      </c>
      <c r="E94" t="s">
        <v>14</v>
      </c>
      <c r="F94" t="s">
        <v>1783</v>
      </c>
      <c r="G94" t="s">
        <v>181</v>
      </c>
      <c r="H94" t="s">
        <v>879</v>
      </c>
      <c r="I94">
        <v>10.02</v>
      </c>
      <c r="J94" s="41">
        <f>I94/'enter the discount'!$D$7</f>
        <v>2.3453958148026777</v>
      </c>
      <c r="K94" s="41">
        <f>J94*(1-IFERROR(VLOOKUP(H94,'enter the discount'!$D$10:$E$40,2,FALSE),0))</f>
        <v>2.3453958148026777</v>
      </c>
      <c r="L94" s="43" t="s">
        <v>860</v>
      </c>
      <c r="M94" t="s">
        <v>543</v>
      </c>
      <c r="N94" t="s">
        <v>926</v>
      </c>
      <c r="O94" t="s">
        <v>2723</v>
      </c>
      <c r="P94">
        <v>100</v>
      </c>
      <c r="Q94">
        <v>4800</v>
      </c>
      <c r="R94" t="s">
        <v>2465</v>
      </c>
      <c r="S94" s="42" t="str">
        <f>HYPERLINK("https://sklep.kobi.pl/produkt/led-mb-6w-e14-4000k-nb")</f>
        <v>https://sklep.kobi.pl/produkt/led-mb-6w-e14-4000k-nb</v>
      </c>
      <c r="T94" s="42" t="str">
        <f>HYPERLINK("https://eprel.ec.europa.eu/qr/660653         ")</f>
        <v xml:space="preserve">https://eprel.ec.europa.eu/qr/660653         </v>
      </c>
      <c r="U94">
        <v>1.4999999999999999E-2</v>
      </c>
      <c r="V94">
        <v>2.7E-2</v>
      </c>
      <c r="W94">
        <v>46</v>
      </c>
      <c r="X94">
        <v>46</v>
      </c>
      <c r="Y94">
        <v>85</v>
      </c>
    </row>
    <row r="95" spans="1:25" ht="15" x14ac:dyDescent="0.25">
      <c r="A95" t="s">
        <v>21</v>
      </c>
      <c r="B95" t="s">
        <v>43</v>
      </c>
      <c r="C95" t="s">
        <v>62</v>
      </c>
      <c r="D95" t="s">
        <v>111</v>
      </c>
      <c r="E95" t="s">
        <v>14</v>
      </c>
      <c r="F95" t="s">
        <v>1784</v>
      </c>
      <c r="G95" t="s">
        <v>182</v>
      </c>
      <c r="H95" t="s">
        <v>879</v>
      </c>
      <c r="I95">
        <v>10.02</v>
      </c>
      <c r="J95" s="41">
        <f>I95/'enter the discount'!$D$7</f>
        <v>2.3453958148026777</v>
      </c>
      <c r="K95" s="41">
        <f>J95*(1-IFERROR(VLOOKUP(H95,'enter the discount'!$D$10:$E$40,2,FALSE),0))</f>
        <v>2.3453958148026777</v>
      </c>
      <c r="L95" s="43" t="s">
        <v>860</v>
      </c>
      <c r="M95" t="s">
        <v>544</v>
      </c>
      <c r="N95" t="s">
        <v>926</v>
      </c>
      <c r="O95" t="s">
        <v>2723</v>
      </c>
      <c r="P95">
        <v>100</v>
      </c>
      <c r="Q95">
        <v>4800</v>
      </c>
      <c r="R95" t="s">
        <v>2465</v>
      </c>
      <c r="S95" s="42" t="str">
        <f>HYPERLINK("https://sklep.kobi.pl/produkt/led-mb-6w-e14-6000k-zb")</f>
        <v>https://sklep.kobi.pl/produkt/led-mb-6w-e14-6000k-zb</v>
      </c>
      <c r="T95" s="42" t="str">
        <f>HYPERLINK("https://eprel.ec.europa.eu/qr/660654         ")</f>
        <v xml:space="preserve">https://eprel.ec.europa.eu/qr/660654         </v>
      </c>
      <c r="U95">
        <v>1.4999999999999999E-2</v>
      </c>
      <c r="V95">
        <v>2.7E-2</v>
      </c>
      <c r="W95">
        <v>46</v>
      </c>
      <c r="X95">
        <v>46</v>
      </c>
      <c r="Y95">
        <v>85</v>
      </c>
    </row>
    <row r="96" spans="1:25" ht="15" x14ac:dyDescent="0.25">
      <c r="A96" t="s">
        <v>21</v>
      </c>
      <c r="B96" t="s">
        <v>43</v>
      </c>
      <c r="C96" t="s">
        <v>62</v>
      </c>
      <c r="D96" t="s">
        <v>112</v>
      </c>
      <c r="E96" t="s">
        <v>14</v>
      </c>
      <c r="F96" t="s">
        <v>1785</v>
      </c>
      <c r="G96" t="s">
        <v>183</v>
      </c>
      <c r="H96" t="s">
        <v>879</v>
      </c>
      <c r="I96">
        <v>8</v>
      </c>
      <c r="J96" s="41">
        <f>I96/'enter the discount'!$D$7</f>
        <v>1.8725715088244934</v>
      </c>
      <c r="K96" s="41">
        <f>J96*(1-IFERROR(VLOOKUP(H96,'enter the discount'!$D$10:$E$40,2,FALSE),0))</f>
        <v>1.8725715088244934</v>
      </c>
      <c r="L96" s="43" t="s">
        <v>858</v>
      </c>
      <c r="M96" t="s">
        <v>545</v>
      </c>
      <c r="N96" t="s">
        <v>926</v>
      </c>
      <c r="O96" t="s">
        <v>2723</v>
      </c>
      <c r="P96">
        <v>100</v>
      </c>
      <c r="Q96">
        <v>5600</v>
      </c>
      <c r="R96" t="s">
        <v>2465</v>
      </c>
      <c r="S96" s="42" t="str">
        <f>HYPERLINK("https://sklep.kobi.pl/produkt/led-mb-7w-e14-3000k-led2b")</f>
        <v>https://sklep.kobi.pl/produkt/led-mb-7w-e14-3000k-led2b</v>
      </c>
      <c r="T96" s="42" t="str">
        <f>HYPERLINK("https://eprel.ec.europa.eu/qr/660300         ")</f>
        <v xml:space="preserve">https://eprel.ec.europa.eu/qr/660300         </v>
      </c>
      <c r="U96">
        <v>1.4999999999999999E-2</v>
      </c>
      <c r="V96">
        <v>2.5000000000000001E-2</v>
      </c>
      <c r="W96">
        <v>50</v>
      </c>
      <c r="X96">
        <v>65</v>
      </c>
      <c r="Y96">
        <v>45</v>
      </c>
    </row>
    <row r="97" spans="1:25" ht="15" x14ac:dyDescent="0.25">
      <c r="A97" t="s">
        <v>21</v>
      </c>
      <c r="B97" t="s">
        <v>43</v>
      </c>
      <c r="C97" t="s">
        <v>62</v>
      </c>
      <c r="D97" t="s">
        <v>112</v>
      </c>
      <c r="E97" t="s">
        <v>14</v>
      </c>
      <c r="F97" t="s">
        <v>1786</v>
      </c>
      <c r="G97" t="s">
        <v>184</v>
      </c>
      <c r="H97" t="s">
        <v>879</v>
      </c>
      <c r="I97">
        <v>8</v>
      </c>
      <c r="J97" s="41">
        <f>I97/'enter the discount'!$D$7</f>
        <v>1.8725715088244934</v>
      </c>
      <c r="K97" s="41">
        <f>J97*(1-IFERROR(VLOOKUP(H97,'enter the discount'!$D$10:$E$40,2,FALSE),0))</f>
        <v>1.8725715088244934</v>
      </c>
      <c r="L97" s="43" t="s">
        <v>858</v>
      </c>
      <c r="M97" t="s">
        <v>546</v>
      </c>
      <c r="N97" t="s">
        <v>926</v>
      </c>
      <c r="O97" t="s">
        <v>2723</v>
      </c>
      <c r="P97">
        <v>100</v>
      </c>
      <c r="Q97">
        <v>5600</v>
      </c>
      <c r="R97" t="s">
        <v>2465</v>
      </c>
      <c r="S97" s="42" t="str">
        <f>HYPERLINK("https://sklep.kobi.pl/produkt/led-mb-7w-e14-4000k-led2b")</f>
        <v>https://sklep.kobi.pl/produkt/led-mb-7w-e14-4000k-led2b</v>
      </c>
      <c r="T97" s="42" t="str">
        <f>HYPERLINK("https://eprel.ec.europa.eu/qr/660301         ")</f>
        <v xml:space="preserve">https://eprel.ec.europa.eu/qr/660301         </v>
      </c>
      <c r="U97">
        <v>1.4999999999999999E-2</v>
      </c>
      <c r="V97">
        <v>2.5000000000000001E-2</v>
      </c>
      <c r="W97">
        <v>45</v>
      </c>
      <c r="X97">
        <v>65</v>
      </c>
      <c r="Y97">
        <v>45</v>
      </c>
    </row>
    <row r="98" spans="1:25" ht="15" x14ac:dyDescent="0.25">
      <c r="A98" t="s">
        <v>21</v>
      </c>
      <c r="B98" t="s">
        <v>43</v>
      </c>
      <c r="C98" t="s">
        <v>62</v>
      </c>
      <c r="D98" t="s">
        <v>112</v>
      </c>
      <c r="E98" t="s">
        <v>14</v>
      </c>
      <c r="F98" t="s">
        <v>1787</v>
      </c>
      <c r="G98" t="s">
        <v>185</v>
      </c>
      <c r="H98" t="s">
        <v>879</v>
      </c>
      <c r="I98">
        <v>8</v>
      </c>
      <c r="J98" s="41">
        <f>I98/'enter the discount'!$D$7</f>
        <v>1.8725715088244934</v>
      </c>
      <c r="K98" s="41">
        <f>J98*(1-IFERROR(VLOOKUP(H98,'enter the discount'!$D$10:$E$40,2,FALSE),0))</f>
        <v>1.8725715088244934</v>
      </c>
      <c r="L98" s="43" t="s">
        <v>858</v>
      </c>
      <c r="M98" t="s">
        <v>547</v>
      </c>
      <c r="N98" t="s">
        <v>926</v>
      </c>
      <c r="O98" t="s">
        <v>2723</v>
      </c>
      <c r="P98">
        <v>100</v>
      </c>
      <c r="Q98">
        <v>5600</v>
      </c>
      <c r="R98" t="s">
        <v>2465</v>
      </c>
      <c r="S98" s="42" t="str">
        <f>HYPERLINK("https://sklep.kobi.pl/produkt/led-mb-7w-e14-6000k-led2b")</f>
        <v>https://sklep.kobi.pl/produkt/led-mb-7w-e14-6000k-led2b</v>
      </c>
      <c r="T98" s="42" t="str">
        <f>HYPERLINK("https://eprel.ec.europa.eu/qr/660302         ")</f>
        <v xml:space="preserve">https://eprel.ec.europa.eu/qr/660302         </v>
      </c>
      <c r="U98">
        <v>1.4999999999999999E-2</v>
      </c>
      <c r="V98">
        <v>2.5000000000000001E-2</v>
      </c>
      <c r="W98">
        <v>45</v>
      </c>
      <c r="X98">
        <v>65</v>
      </c>
      <c r="Y98">
        <v>45</v>
      </c>
    </row>
    <row r="99" spans="1:25" ht="15" x14ac:dyDescent="0.25">
      <c r="A99" t="s">
        <v>21</v>
      </c>
      <c r="B99" t="s">
        <v>43</v>
      </c>
      <c r="C99" t="s">
        <v>62</v>
      </c>
      <c r="D99" t="s">
        <v>112</v>
      </c>
      <c r="E99" t="s">
        <v>2721</v>
      </c>
      <c r="F99" t="s">
        <v>2497</v>
      </c>
      <c r="G99" t="s">
        <v>2498</v>
      </c>
      <c r="H99" t="s">
        <v>879</v>
      </c>
      <c r="I99">
        <v>9.5</v>
      </c>
      <c r="J99" s="41">
        <f>I99/'enter the discount'!$D$7</f>
        <v>2.2236786667290858</v>
      </c>
      <c r="K99" s="41">
        <f>J99*(1-IFERROR(VLOOKUP(H99,'enter the discount'!$D$10:$E$40,2,FALSE),0))</f>
        <v>2.2236786667290858</v>
      </c>
      <c r="L99" s="43" t="s">
        <v>858</v>
      </c>
      <c r="M99" t="s">
        <v>2528</v>
      </c>
      <c r="N99" t="s">
        <v>926</v>
      </c>
      <c r="O99" t="s">
        <v>2723</v>
      </c>
      <c r="P99">
        <v>100</v>
      </c>
      <c r="Q99">
        <v>0</v>
      </c>
      <c r="R99" t="s">
        <v>2465</v>
      </c>
      <c r="S99" s="42" t="str">
        <f>HYPERLINK("https://sklep.kobi.pl/produkt/led-mb-85w-e14-3000k-led2b")</f>
        <v>https://sklep.kobi.pl/produkt/led-mb-85w-e14-3000k-led2b</v>
      </c>
      <c r="T99" s="42" t="str">
        <f>HYPERLINK("https://eprel.ec.europa.eu/qr/2044404        ")</f>
        <v xml:space="preserve">https://eprel.ec.europa.eu/qr/2044404        </v>
      </c>
      <c r="U99">
        <v>0.02</v>
      </c>
      <c r="V99">
        <v>0</v>
      </c>
      <c r="W99">
        <v>0</v>
      </c>
      <c r="X99">
        <v>0</v>
      </c>
      <c r="Y99">
        <v>0</v>
      </c>
    </row>
    <row r="100" spans="1:25" ht="15" x14ac:dyDescent="0.25">
      <c r="A100" t="s">
        <v>21</v>
      </c>
      <c r="B100" t="s">
        <v>43</v>
      </c>
      <c r="C100" t="s">
        <v>62</v>
      </c>
      <c r="D100" t="s">
        <v>112</v>
      </c>
      <c r="E100" t="s">
        <v>2721</v>
      </c>
      <c r="F100" t="s">
        <v>2499</v>
      </c>
      <c r="G100" t="s">
        <v>2500</v>
      </c>
      <c r="H100" t="s">
        <v>879</v>
      </c>
      <c r="I100">
        <v>9.5</v>
      </c>
      <c r="J100" s="41">
        <f>I100/'enter the discount'!$D$7</f>
        <v>2.2236786667290858</v>
      </c>
      <c r="K100" s="41">
        <f>J100*(1-IFERROR(VLOOKUP(H100,'enter the discount'!$D$10:$E$40,2,FALSE),0))</f>
        <v>2.2236786667290858</v>
      </c>
      <c r="L100" s="43" t="s">
        <v>858</v>
      </c>
      <c r="M100" t="s">
        <v>2529</v>
      </c>
      <c r="N100" t="s">
        <v>926</v>
      </c>
      <c r="O100" t="s">
        <v>2723</v>
      </c>
      <c r="P100">
        <v>100</v>
      </c>
      <c r="Q100">
        <v>0</v>
      </c>
      <c r="R100" t="s">
        <v>2465</v>
      </c>
      <c r="S100" s="42" t="str">
        <f>HYPERLINK("https://sklep.kobi.pl/produkt/led-mb-85w-e14-4000k-led2b")</f>
        <v>https://sklep.kobi.pl/produkt/led-mb-85w-e14-4000k-led2b</v>
      </c>
      <c r="T100" s="42" t="str">
        <f>HYPERLINK("https://eprel.ec.europa.eu/qr/2044417        ")</f>
        <v xml:space="preserve">https://eprel.ec.europa.eu/qr/2044417        </v>
      </c>
      <c r="U100">
        <v>0.02</v>
      </c>
      <c r="V100">
        <v>0</v>
      </c>
      <c r="W100">
        <v>0</v>
      </c>
      <c r="X100">
        <v>0</v>
      </c>
      <c r="Y100">
        <v>0</v>
      </c>
    </row>
    <row r="101" spans="1:25" ht="15" x14ac:dyDescent="0.25">
      <c r="A101" t="s">
        <v>21</v>
      </c>
      <c r="B101" t="s">
        <v>43</v>
      </c>
      <c r="C101" t="s">
        <v>62</v>
      </c>
      <c r="D101" t="s">
        <v>112</v>
      </c>
      <c r="E101" t="s">
        <v>2721</v>
      </c>
      <c r="F101" t="s">
        <v>2501</v>
      </c>
      <c r="G101" t="s">
        <v>2502</v>
      </c>
      <c r="H101" t="s">
        <v>879</v>
      </c>
      <c r="I101">
        <v>9.5</v>
      </c>
      <c r="J101" s="41">
        <f>I101/'enter the discount'!$D$7</f>
        <v>2.2236786667290858</v>
      </c>
      <c r="K101" s="41">
        <f>J101*(1-IFERROR(VLOOKUP(H101,'enter the discount'!$D$10:$E$40,2,FALSE),0))</f>
        <v>2.2236786667290858</v>
      </c>
      <c r="L101" s="43" t="s">
        <v>858</v>
      </c>
      <c r="M101" t="s">
        <v>2530</v>
      </c>
      <c r="N101" t="s">
        <v>926</v>
      </c>
      <c r="O101" t="s">
        <v>2723</v>
      </c>
      <c r="P101">
        <v>100</v>
      </c>
      <c r="Q101">
        <v>0</v>
      </c>
      <c r="R101" t="s">
        <v>2465</v>
      </c>
      <c r="S101" s="42" t="str">
        <f>HYPERLINK("https://sklep.kobi.pl/produkt/led-mb-85w-e14-6500k-led2b")</f>
        <v>https://sklep.kobi.pl/produkt/led-mb-85w-e14-6500k-led2b</v>
      </c>
      <c r="T101" s="42" t="str">
        <f>HYPERLINK("https://eprel.ec.europa.eu/qr/2044430        ")</f>
        <v xml:space="preserve">https://eprel.ec.europa.eu/qr/2044430        </v>
      </c>
      <c r="U101">
        <v>0.02</v>
      </c>
      <c r="V101">
        <v>0</v>
      </c>
      <c r="W101">
        <v>0</v>
      </c>
      <c r="X101">
        <v>0</v>
      </c>
      <c r="Y101">
        <v>0</v>
      </c>
    </row>
    <row r="102" spans="1:25" ht="15" x14ac:dyDescent="0.25">
      <c r="A102" t="s">
        <v>21</v>
      </c>
      <c r="B102" t="s">
        <v>43</v>
      </c>
      <c r="C102" t="s">
        <v>62</v>
      </c>
      <c r="D102" t="s">
        <v>113</v>
      </c>
      <c r="E102" t="s">
        <v>14</v>
      </c>
      <c r="F102" t="s">
        <v>1788</v>
      </c>
      <c r="G102" t="s">
        <v>186</v>
      </c>
      <c r="H102" t="s">
        <v>879</v>
      </c>
      <c r="I102">
        <v>21.2</v>
      </c>
      <c r="J102" s="41">
        <f>I102/'enter the discount'!$D$7</f>
        <v>4.9623144983849068</v>
      </c>
      <c r="K102" s="41">
        <f>J102*(1-IFERROR(VLOOKUP(H102,'enter the discount'!$D$10:$E$40,2,FALSE),0))</f>
        <v>4.9623144983849068</v>
      </c>
      <c r="L102" s="43" t="s">
        <v>858</v>
      </c>
      <c r="M102" t="s">
        <v>548</v>
      </c>
      <c r="N102" t="s">
        <v>926</v>
      </c>
      <c r="O102" t="s">
        <v>2723</v>
      </c>
      <c r="P102">
        <v>100</v>
      </c>
      <c r="Q102">
        <v>4200</v>
      </c>
      <c r="R102" t="s">
        <v>2465</v>
      </c>
      <c r="S102" s="42" t="str">
        <f>HYPERLINK("https://sklep.kobi.pl/produkt/led-mb-9w-e14-3000k-cb-premium")</f>
        <v>https://sklep.kobi.pl/produkt/led-mb-9w-e14-3000k-cb-premium</v>
      </c>
      <c r="T102" s="42" t="str">
        <f>HYPERLINK("https://eprel.ec.europa.eu/qr/660660         ")</f>
        <v xml:space="preserve">https://eprel.ec.europa.eu/qr/660660         </v>
      </c>
      <c r="U102">
        <v>4.3999999999999997E-2</v>
      </c>
      <c r="V102">
        <v>6.5000000000000002E-2</v>
      </c>
      <c r="W102">
        <v>50</v>
      </c>
      <c r="X102">
        <v>50</v>
      </c>
      <c r="Y102">
        <v>105</v>
      </c>
    </row>
    <row r="103" spans="1:25" ht="15" x14ac:dyDescent="0.25">
      <c r="A103" t="s">
        <v>21</v>
      </c>
      <c r="B103" t="s">
        <v>43</v>
      </c>
      <c r="C103" t="s">
        <v>62</v>
      </c>
      <c r="D103" t="s">
        <v>113</v>
      </c>
      <c r="E103" t="s">
        <v>14</v>
      </c>
      <c r="F103" t="s">
        <v>1789</v>
      </c>
      <c r="G103" t="s">
        <v>187</v>
      </c>
      <c r="H103" t="s">
        <v>879</v>
      </c>
      <c r="I103">
        <v>21.2</v>
      </c>
      <c r="J103" s="41">
        <f>I103/'enter the discount'!$D$7</f>
        <v>4.9623144983849068</v>
      </c>
      <c r="K103" s="41">
        <f>J103*(1-IFERROR(VLOOKUP(H103,'enter the discount'!$D$10:$E$40,2,FALSE),0))</f>
        <v>4.9623144983849068</v>
      </c>
      <c r="L103" s="43" t="s">
        <v>858</v>
      </c>
      <c r="M103" t="s">
        <v>549</v>
      </c>
      <c r="N103" t="s">
        <v>926</v>
      </c>
      <c r="O103" t="s">
        <v>2723</v>
      </c>
      <c r="P103">
        <v>100</v>
      </c>
      <c r="Q103">
        <v>4200</v>
      </c>
      <c r="R103" t="s">
        <v>2465</v>
      </c>
      <c r="S103" s="42" t="str">
        <f>HYPERLINK("https://sklep.kobi.pl/produkt/led-mb-9w-e14-4000k-nb-premium")</f>
        <v>https://sklep.kobi.pl/produkt/led-mb-9w-e14-4000k-nb-premium</v>
      </c>
      <c r="T103" s="42" t="str">
        <f>HYPERLINK("https://eprel.ec.europa.eu/qr/660661         ")</f>
        <v xml:space="preserve">https://eprel.ec.europa.eu/qr/660661         </v>
      </c>
      <c r="U103">
        <v>4.3999999999999997E-2</v>
      </c>
      <c r="V103">
        <v>6.5000000000000002E-2</v>
      </c>
      <c r="W103">
        <v>50</v>
      </c>
      <c r="X103">
        <v>50</v>
      </c>
      <c r="Y103">
        <v>105</v>
      </c>
    </row>
    <row r="104" spans="1:25" ht="15" x14ac:dyDescent="0.25">
      <c r="A104" t="s">
        <v>21</v>
      </c>
      <c r="B104" t="s">
        <v>43</v>
      </c>
      <c r="C104" t="s">
        <v>62</v>
      </c>
      <c r="D104" t="s">
        <v>113</v>
      </c>
      <c r="E104" t="s">
        <v>14</v>
      </c>
      <c r="F104" t="s">
        <v>1790</v>
      </c>
      <c r="G104" t="s">
        <v>188</v>
      </c>
      <c r="H104" t="s">
        <v>879</v>
      </c>
      <c r="I104">
        <v>21.2</v>
      </c>
      <c r="J104" s="41">
        <f>I104/'enter the discount'!$D$7</f>
        <v>4.9623144983849068</v>
      </c>
      <c r="K104" s="41">
        <f>J104*(1-IFERROR(VLOOKUP(H104,'enter the discount'!$D$10:$E$40,2,FALSE),0))</f>
        <v>4.9623144983849068</v>
      </c>
      <c r="L104" s="43" t="s">
        <v>858</v>
      </c>
      <c r="M104" t="s">
        <v>550</v>
      </c>
      <c r="N104" t="s">
        <v>926</v>
      </c>
      <c r="O104" t="s">
        <v>2723</v>
      </c>
      <c r="P104">
        <v>100</v>
      </c>
      <c r="Q104">
        <v>4200</v>
      </c>
      <c r="R104" t="s">
        <v>2465</v>
      </c>
      <c r="S104" s="42" t="str">
        <f>HYPERLINK("https://sklep.kobi.pl/produkt/led-mb-9w-e14-6000k-zb-premium")</f>
        <v>https://sklep.kobi.pl/produkt/led-mb-9w-e14-6000k-zb-premium</v>
      </c>
      <c r="T104" s="42" t="str">
        <f>HYPERLINK("https://eprel.ec.europa.eu/qr/660663         ")</f>
        <v xml:space="preserve">https://eprel.ec.europa.eu/qr/660663         </v>
      </c>
      <c r="U104">
        <v>4.3999999999999997E-2</v>
      </c>
      <c r="V104">
        <v>6.5000000000000002E-2</v>
      </c>
      <c r="W104">
        <v>50</v>
      </c>
      <c r="X104">
        <v>125</v>
      </c>
      <c r="Y104">
        <v>45</v>
      </c>
    </row>
    <row r="105" spans="1:25" ht="15" x14ac:dyDescent="0.25">
      <c r="A105" t="s">
        <v>21</v>
      </c>
      <c r="B105" t="s">
        <v>43</v>
      </c>
      <c r="C105" t="s">
        <v>63</v>
      </c>
      <c r="D105" t="s">
        <v>111</v>
      </c>
      <c r="E105" t="s">
        <v>14</v>
      </c>
      <c r="F105" t="s">
        <v>1791</v>
      </c>
      <c r="G105" t="s">
        <v>189</v>
      </c>
      <c r="H105" t="s">
        <v>879</v>
      </c>
      <c r="I105">
        <v>9.33</v>
      </c>
      <c r="J105" s="41">
        <f>I105/'enter the discount'!$D$7</f>
        <v>2.1838865221665653</v>
      </c>
      <c r="K105" s="41">
        <f>J105*(1-IFERROR(VLOOKUP(H105,'enter the discount'!$D$10:$E$40,2,FALSE),0))</f>
        <v>2.1838865221665653</v>
      </c>
      <c r="L105" s="43" t="s">
        <v>858</v>
      </c>
      <c r="M105" t="s">
        <v>551</v>
      </c>
      <c r="N105" t="s">
        <v>926</v>
      </c>
      <c r="O105" t="s">
        <v>2723</v>
      </c>
      <c r="P105">
        <v>100</v>
      </c>
      <c r="Q105">
        <v>4800</v>
      </c>
      <c r="R105" t="s">
        <v>2465</v>
      </c>
      <c r="S105" s="42" t="str">
        <f>HYPERLINK("https://sklep.kobi.pl/produkt/led-mb-45w-e27-3000k-cb")</f>
        <v>https://sklep.kobi.pl/produkt/led-mb-45w-e27-3000k-cb</v>
      </c>
      <c r="T105" s="42" t="str">
        <f>HYPERLINK("https://eprel.ec.europa.eu/qr/660665         ")</f>
        <v xml:space="preserve">https://eprel.ec.europa.eu/qr/660665         </v>
      </c>
      <c r="U105">
        <v>1.7999999999999999E-2</v>
      </c>
      <c r="V105">
        <v>2.7E-2</v>
      </c>
      <c r="W105">
        <v>48</v>
      </c>
      <c r="X105">
        <v>49</v>
      </c>
      <c r="Y105">
        <v>87</v>
      </c>
    </row>
    <row r="106" spans="1:25" ht="15" x14ac:dyDescent="0.25">
      <c r="A106" t="s">
        <v>21</v>
      </c>
      <c r="B106" t="s">
        <v>43</v>
      </c>
      <c r="C106" t="s">
        <v>63</v>
      </c>
      <c r="D106" t="s">
        <v>111</v>
      </c>
      <c r="E106" t="s">
        <v>14</v>
      </c>
      <c r="F106" t="s">
        <v>1792</v>
      </c>
      <c r="G106" t="s">
        <v>190</v>
      </c>
      <c r="H106" t="s">
        <v>879</v>
      </c>
      <c r="I106">
        <v>9.33</v>
      </c>
      <c r="J106" s="41">
        <f>I106/'enter the discount'!$D$7</f>
        <v>2.1838865221665653</v>
      </c>
      <c r="K106" s="41">
        <f>J106*(1-IFERROR(VLOOKUP(H106,'enter the discount'!$D$10:$E$40,2,FALSE),0))</f>
        <v>2.1838865221665653</v>
      </c>
      <c r="L106" s="43" t="s">
        <v>858</v>
      </c>
      <c r="M106" t="s">
        <v>552</v>
      </c>
      <c r="N106" t="s">
        <v>926</v>
      </c>
      <c r="O106" t="s">
        <v>2723</v>
      </c>
      <c r="P106">
        <v>100</v>
      </c>
      <c r="Q106">
        <v>4800</v>
      </c>
      <c r="R106" t="s">
        <v>2465</v>
      </c>
      <c r="S106" s="42" t="str">
        <f>HYPERLINK("https://sklep.kobi.pl/produkt/led-mb-45w-e27-4000k")</f>
        <v>https://sklep.kobi.pl/produkt/led-mb-45w-e27-4000k</v>
      </c>
      <c r="T106" s="42" t="str">
        <f>HYPERLINK("https://eprel.ec.europa.eu/qr/660667         ")</f>
        <v xml:space="preserve">https://eprel.ec.europa.eu/qr/660667         </v>
      </c>
      <c r="U106">
        <v>1.7999999999999999E-2</v>
      </c>
      <c r="V106">
        <v>2.7E-2</v>
      </c>
      <c r="W106">
        <v>45</v>
      </c>
      <c r="X106">
        <v>65</v>
      </c>
      <c r="Y106">
        <v>45</v>
      </c>
    </row>
    <row r="107" spans="1:25" ht="15" x14ac:dyDescent="0.25">
      <c r="A107" t="s">
        <v>21</v>
      </c>
      <c r="B107" t="s">
        <v>43</v>
      </c>
      <c r="C107" t="s">
        <v>63</v>
      </c>
      <c r="D107" t="s">
        <v>111</v>
      </c>
      <c r="E107" t="s">
        <v>14</v>
      </c>
      <c r="F107" t="s">
        <v>1793</v>
      </c>
      <c r="G107" t="s">
        <v>191</v>
      </c>
      <c r="H107" t="s">
        <v>879</v>
      </c>
      <c r="I107">
        <v>9.33</v>
      </c>
      <c r="J107" s="41">
        <f>I107/'enter the discount'!$D$7</f>
        <v>2.1838865221665653</v>
      </c>
      <c r="K107" s="41">
        <f>J107*(1-IFERROR(VLOOKUP(H107,'enter the discount'!$D$10:$E$40,2,FALSE),0))</f>
        <v>2.1838865221665653</v>
      </c>
      <c r="L107" s="43" t="s">
        <v>858</v>
      </c>
      <c r="M107" t="s">
        <v>553</v>
      </c>
      <c r="N107" t="s">
        <v>926</v>
      </c>
      <c r="O107" t="s">
        <v>2723</v>
      </c>
      <c r="P107">
        <v>100</v>
      </c>
      <c r="Q107">
        <v>4800</v>
      </c>
      <c r="R107" t="s">
        <v>2465</v>
      </c>
      <c r="S107" s="42" t="str">
        <f>HYPERLINK("https://sklep.kobi.pl/produkt/led-mb-45w-e27-6000k-zb")</f>
        <v>https://sklep.kobi.pl/produkt/led-mb-45w-e27-6000k-zb</v>
      </c>
      <c r="T107" s="42" t="str">
        <f>HYPERLINK("https://eprel.ec.europa.eu/qr/660668         ")</f>
        <v xml:space="preserve">https://eprel.ec.europa.eu/qr/660668         </v>
      </c>
      <c r="U107">
        <v>1.7999999999999999E-2</v>
      </c>
      <c r="V107">
        <v>2.7E-2</v>
      </c>
      <c r="W107">
        <v>48</v>
      </c>
      <c r="X107">
        <v>49</v>
      </c>
      <c r="Y107">
        <v>87</v>
      </c>
    </row>
    <row r="108" spans="1:25" ht="15" x14ac:dyDescent="0.25">
      <c r="A108" t="s">
        <v>21</v>
      </c>
      <c r="B108" t="s">
        <v>43</v>
      </c>
      <c r="C108" t="s">
        <v>63</v>
      </c>
      <c r="D108" t="s">
        <v>111</v>
      </c>
      <c r="E108" t="s">
        <v>14</v>
      </c>
      <c r="F108" t="s">
        <v>1794</v>
      </c>
      <c r="G108" t="s">
        <v>192</v>
      </c>
      <c r="H108" t="s">
        <v>879</v>
      </c>
      <c r="I108">
        <v>10.02</v>
      </c>
      <c r="J108" s="41">
        <f>I108/'enter the discount'!$D$7</f>
        <v>2.3453958148026777</v>
      </c>
      <c r="K108" s="41">
        <f>J108*(1-IFERROR(VLOOKUP(H108,'enter the discount'!$D$10:$E$40,2,FALSE),0))</f>
        <v>2.3453958148026777</v>
      </c>
      <c r="L108" s="43" t="s">
        <v>860</v>
      </c>
      <c r="M108" t="s">
        <v>554</v>
      </c>
      <c r="N108" t="s">
        <v>926</v>
      </c>
      <c r="O108" t="s">
        <v>2723</v>
      </c>
      <c r="P108">
        <v>100</v>
      </c>
      <c r="Q108">
        <v>4800</v>
      </c>
      <c r="R108" t="s">
        <v>2465</v>
      </c>
      <c r="S108" s="42" t="str">
        <f>HYPERLINK("https://sklep.kobi.pl/produkt/led-mb-6w-e27-3000k-cb")</f>
        <v>https://sklep.kobi.pl/produkt/led-mb-6w-e27-3000k-cb</v>
      </c>
      <c r="T108" s="42" t="str">
        <f>HYPERLINK("https://eprel.ec.europa.eu/qr/660670         ")</f>
        <v xml:space="preserve">https://eprel.ec.europa.eu/qr/660670         </v>
      </c>
      <c r="U108">
        <v>2.1000000000000001E-2</v>
      </c>
      <c r="V108">
        <v>2.8000000000000001E-2</v>
      </c>
      <c r="W108">
        <v>46</v>
      </c>
      <c r="X108">
        <v>76</v>
      </c>
      <c r="Y108">
        <v>85</v>
      </c>
    </row>
    <row r="109" spans="1:25" ht="15" x14ac:dyDescent="0.25">
      <c r="A109" t="s">
        <v>21</v>
      </c>
      <c r="B109" t="s">
        <v>43</v>
      </c>
      <c r="C109" t="s">
        <v>63</v>
      </c>
      <c r="D109" t="s">
        <v>111</v>
      </c>
      <c r="E109" t="s">
        <v>14</v>
      </c>
      <c r="F109" t="s">
        <v>1795</v>
      </c>
      <c r="G109" t="s">
        <v>193</v>
      </c>
      <c r="H109" t="s">
        <v>879</v>
      </c>
      <c r="I109">
        <v>10.02</v>
      </c>
      <c r="J109" s="41">
        <f>I109/'enter the discount'!$D$7</f>
        <v>2.3453958148026777</v>
      </c>
      <c r="K109" s="41">
        <f>J109*(1-IFERROR(VLOOKUP(H109,'enter the discount'!$D$10:$E$40,2,FALSE),0))</f>
        <v>2.3453958148026777</v>
      </c>
      <c r="L109" s="43" t="s">
        <v>860</v>
      </c>
      <c r="M109" t="s">
        <v>555</v>
      </c>
      <c r="N109" t="s">
        <v>926</v>
      </c>
      <c r="O109" t="s">
        <v>2723</v>
      </c>
      <c r="P109">
        <v>100</v>
      </c>
      <c r="Q109">
        <v>4800</v>
      </c>
      <c r="R109" t="s">
        <v>2465</v>
      </c>
      <c r="S109" s="42" t="str">
        <f>HYPERLINK("https://sklep.kobi.pl/produkt/led-mb-6w-e27-4000k-nb")</f>
        <v>https://sklep.kobi.pl/produkt/led-mb-6w-e27-4000k-nb</v>
      </c>
      <c r="T109" s="42" t="str">
        <f>HYPERLINK("https://eprel.ec.europa.eu/qr/660671         ")</f>
        <v xml:space="preserve">https://eprel.ec.europa.eu/qr/660671         </v>
      </c>
      <c r="U109">
        <v>2.1000000000000001E-2</v>
      </c>
      <c r="V109">
        <v>2.8000000000000001E-2</v>
      </c>
      <c r="W109">
        <v>45</v>
      </c>
      <c r="X109">
        <v>47</v>
      </c>
      <c r="Y109">
        <v>86</v>
      </c>
    </row>
    <row r="110" spans="1:25" ht="15" x14ac:dyDescent="0.25">
      <c r="A110" t="s">
        <v>21</v>
      </c>
      <c r="B110" t="s">
        <v>43</v>
      </c>
      <c r="C110" t="s">
        <v>63</v>
      </c>
      <c r="D110" t="s">
        <v>111</v>
      </c>
      <c r="E110" t="s">
        <v>14</v>
      </c>
      <c r="F110" t="s">
        <v>1796</v>
      </c>
      <c r="G110" t="s">
        <v>194</v>
      </c>
      <c r="H110" t="s">
        <v>879</v>
      </c>
      <c r="I110">
        <v>10.02</v>
      </c>
      <c r="J110" s="41">
        <f>I110/'enter the discount'!$D$7</f>
        <v>2.3453958148026777</v>
      </c>
      <c r="K110" s="41">
        <f>J110*(1-IFERROR(VLOOKUP(H110,'enter the discount'!$D$10:$E$40,2,FALSE),0))</f>
        <v>2.3453958148026777</v>
      </c>
      <c r="L110" s="43" t="s">
        <v>860</v>
      </c>
      <c r="M110" t="s">
        <v>556</v>
      </c>
      <c r="N110" t="s">
        <v>926</v>
      </c>
      <c r="O110" t="s">
        <v>2723</v>
      </c>
      <c r="P110">
        <v>100</v>
      </c>
      <c r="Q110">
        <v>4800</v>
      </c>
      <c r="R110" t="s">
        <v>2465</v>
      </c>
      <c r="S110" s="42" t="str">
        <f>HYPERLINK("https://sklep.kobi.pl/produkt/led-mb-6w-e27-6000k-zb")</f>
        <v>https://sklep.kobi.pl/produkt/led-mb-6w-e27-6000k-zb</v>
      </c>
      <c r="T110" s="42" t="str">
        <f>HYPERLINK("https://eprel.ec.europa.eu/qr/660672         ")</f>
        <v xml:space="preserve">https://eprel.ec.europa.eu/qr/660672         </v>
      </c>
      <c r="U110">
        <v>2.1000000000000001E-2</v>
      </c>
      <c r="V110">
        <v>2.8000000000000001E-2</v>
      </c>
      <c r="W110">
        <v>46</v>
      </c>
      <c r="X110">
        <v>47</v>
      </c>
      <c r="Y110">
        <v>86</v>
      </c>
    </row>
    <row r="111" spans="1:25" ht="15" x14ac:dyDescent="0.25">
      <c r="A111" t="s">
        <v>21</v>
      </c>
      <c r="B111" t="s">
        <v>43</v>
      </c>
      <c r="C111" t="s">
        <v>63</v>
      </c>
      <c r="D111" t="s">
        <v>112</v>
      </c>
      <c r="E111" t="s">
        <v>14</v>
      </c>
      <c r="F111" t="s">
        <v>1797</v>
      </c>
      <c r="G111" t="s">
        <v>195</v>
      </c>
      <c r="H111" t="s">
        <v>879</v>
      </c>
      <c r="I111">
        <v>8</v>
      </c>
      <c r="J111" s="41">
        <f>I111/'enter the discount'!$D$7</f>
        <v>1.8725715088244934</v>
      </c>
      <c r="K111" s="41">
        <f>J111*(1-IFERROR(VLOOKUP(H111,'enter the discount'!$D$10:$E$40,2,FALSE),0))</f>
        <v>1.8725715088244934</v>
      </c>
      <c r="L111" s="43" t="s">
        <v>858</v>
      </c>
      <c r="M111" t="s">
        <v>557</v>
      </c>
      <c r="N111" t="s">
        <v>926</v>
      </c>
      <c r="O111" t="s">
        <v>2723</v>
      </c>
      <c r="P111">
        <v>100</v>
      </c>
      <c r="Q111">
        <v>5600</v>
      </c>
      <c r="R111" t="s">
        <v>2465</v>
      </c>
      <c r="S111" s="42" t="str">
        <f>HYPERLINK("https://sklep.kobi.pl/produkt/led-mb-7w-e27-3000k-led2b")</f>
        <v>https://sklep.kobi.pl/produkt/led-mb-7w-e27-3000k-led2b</v>
      </c>
      <c r="T111" s="42" t="str">
        <f>HYPERLINK("https://eprel.ec.europa.eu/qr/660306         ")</f>
        <v xml:space="preserve">https://eprel.ec.europa.eu/qr/660306         </v>
      </c>
      <c r="U111">
        <v>1.6E-2</v>
      </c>
      <c r="V111">
        <v>2.5999999999999999E-2</v>
      </c>
      <c r="W111">
        <v>45</v>
      </c>
      <c r="X111">
        <v>65</v>
      </c>
      <c r="Y111">
        <v>45</v>
      </c>
    </row>
    <row r="112" spans="1:25" ht="15" x14ac:dyDescent="0.25">
      <c r="A112" t="s">
        <v>21</v>
      </c>
      <c r="B112" t="s">
        <v>43</v>
      </c>
      <c r="C112" t="s">
        <v>63</v>
      </c>
      <c r="D112" t="s">
        <v>112</v>
      </c>
      <c r="E112" t="s">
        <v>14</v>
      </c>
      <c r="F112" t="s">
        <v>1798</v>
      </c>
      <c r="G112" t="s">
        <v>196</v>
      </c>
      <c r="H112" t="s">
        <v>879</v>
      </c>
      <c r="I112">
        <v>8</v>
      </c>
      <c r="J112" s="41">
        <f>I112/'enter the discount'!$D$7</f>
        <v>1.8725715088244934</v>
      </c>
      <c r="K112" s="41">
        <f>J112*(1-IFERROR(VLOOKUP(H112,'enter the discount'!$D$10:$E$40,2,FALSE),0))</f>
        <v>1.8725715088244934</v>
      </c>
      <c r="L112" s="43" t="s">
        <v>858</v>
      </c>
      <c r="M112" t="s">
        <v>558</v>
      </c>
      <c r="N112" t="s">
        <v>926</v>
      </c>
      <c r="O112" t="s">
        <v>2723</v>
      </c>
      <c r="P112">
        <v>100</v>
      </c>
      <c r="Q112">
        <v>5600</v>
      </c>
      <c r="R112" t="s">
        <v>2465</v>
      </c>
      <c r="S112" s="42" t="str">
        <f>HYPERLINK("https://sklep.kobi.pl/produkt/led-mb-7w-e27-4000k-led2b")</f>
        <v>https://sklep.kobi.pl/produkt/led-mb-7w-e27-4000k-led2b</v>
      </c>
      <c r="T112" s="42" t="str">
        <f>HYPERLINK("https://eprel.ec.europa.eu/qr/660307         ")</f>
        <v xml:space="preserve">https://eprel.ec.europa.eu/qr/660307         </v>
      </c>
      <c r="U112">
        <v>1.6E-2</v>
      </c>
      <c r="V112">
        <v>2.5999999999999999E-2</v>
      </c>
      <c r="W112">
        <v>45</v>
      </c>
      <c r="X112">
        <v>65</v>
      </c>
      <c r="Y112">
        <v>45</v>
      </c>
    </row>
    <row r="113" spans="1:25" ht="15" x14ac:dyDescent="0.25">
      <c r="A113" t="s">
        <v>21</v>
      </c>
      <c r="B113" t="s">
        <v>43</v>
      </c>
      <c r="C113" t="s">
        <v>63</v>
      </c>
      <c r="D113" t="s">
        <v>112</v>
      </c>
      <c r="E113" t="s">
        <v>14</v>
      </c>
      <c r="F113" t="s">
        <v>1799</v>
      </c>
      <c r="G113" t="s">
        <v>197</v>
      </c>
      <c r="H113" t="s">
        <v>879</v>
      </c>
      <c r="I113">
        <v>8</v>
      </c>
      <c r="J113" s="41">
        <f>I113/'enter the discount'!$D$7</f>
        <v>1.8725715088244934</v>
      </c>
      <c r="K113" s="41">
        <f>J113*(1-IFERROR(VLOOKUP(H113,'enter the discount'!$D$10:$E$40,2,FALSE),0))</f>
        <v>1.8725715088244934</v>
      </c>
      <c r="L113" s="43" t="s">
        <v>858</v>
      </c>
      <c r="M113" t="s">
        <v>559</v>
      </c>
      <c r="N113" t="s">
        <v>926</v>
      </c>
      <c r="O113" t="s">
        <v>2723</v>
      </c>
      <c r="P113">
        <v>100</v>
      </c>
      <c r="Q113">
        <v>5600</v>
      </c>
      <c r="R113" t="s">
        <v>2465</v>
      </c>
      <c r="S113" s="42" t="str">
        <f>HYPERLINK("https://sklep.kobi.pl/produkt/led-mb-7w-e27-6000k-led2b")</f>
        <v>https://sklep.kobi.pl/produkt/led-mb-7w-e27-6000k-led2b</v>
      </c>
      <c r="T113" s="42" t="str">
        <f>HYPERLINK("https://eprel.ec.europa.eu/qr/660308         ")</f>
        <v xml:space="preserve">https://eprel.ec.europa.eu/qr/660308         </v>
      </c>
      <c r="U113">
        <v>1.6E-2</v>
      </c>
      <c r="V113">
        <v>2.5999999999999999E-2</v>
      </c>
      <c r="W113">
        <v>45</v>
      </c>
      <c r="X113">
        <v>65</v>
      </c>
      <c r="Y113">
        <v>45</v>
      </c>
    </row>
    <row r="114" spans="1:25" ht="15" x14ac:dyDescent="0.25">
      <c r="A114" t="s">
        <v>21</v>
      </c>
      <c r="B114" t="s">
        <v>43</v>
      </c>
      <c r="C114" t="s">
        <v>63</v>
      </c>
      <c r="D114" t="s">
        <v>112</v>
      </c>
      <c r="E114" t="s">
        <v>2721</v>
      </c>
      <c r="F114" t="s">
        <v>2503</v>
      </c>
      <c r="G114" t="s">
        <v>2504</v>
      </c>
      <c r="H114" t="s">
        <v>879</v>
      </c>
      <c r="I114">
        <v>9.5</v>
      </c>
      <c r="J114" s="41">
        <f>I114/'enter the discount'!$D$7</f>
        <v>2.2236786667290858</v>
      </c>
      <c r="K114" s="41">
        <f>J114*(1-IFERROR(VLOOKUP(H114,'enter the discount'!$D$10:$E$40,2,FALSE),0))</f>
        <v>2.2236786667290858</v>
      </c>
      <c r="L114" s="43" t="s">
        <v>858</v>
      </c>
      <c r="M114" t="s">
        <v>2531</v>
      </c>
      <c r="N114" t="s">
        <v>926</v>
      </c>
      <c r="O114" t="s">
        <v>2723</v>
      </c>
      <c r="P114">
        <v>100</v>
      </c>
      <c r="Q114">
        <v>0</v>
      </c>
      <c r="R114" t="s">
        <v>2465</v>
      </c>
      <c r="S114" s="42" t="str">
        <f>HYPERLINK("https://sklep.kobi.pl/produkt/led-mb-85w-e27-3000k-led2b")</f>
        <v>https://sklep.kobi.pl/produkt/led-mb-85w-e27-3000k-led2b</v>
      </c>
      <c r="T114" s="42" t="str">
        <f>HYPERLINK("https://eprel.ec.europa.eu/qr/2044481        ")</f>
        <v xml:space="preserve">https://eprel.ec.europa.eu/qr/2044481        </v>
      </c>
      <c r="U114">
        <v>0.02</v>
      </c>
      <c r="V114">
        <v>0</v>
      </c>
      <c r="W114">
        <v>0</v>
      </c>
      <c r="X114">
        <v>0</v>
      </c>
      <c r="Y114">
        <v>0</v>
      </c>
    </row>
    <row r="115" spans="1:25" ht="15" x14ac:dyDescent="0.25">
      <c r="A115" t="s">
        <v>21</v>
      </c>
      <c r="B115" t="s">
        <v>43</v>
      </c>
      <c r="C115" t="s">
        <v>63</v>
      </c>
      <c r="D115" t="s">
        <v>112</v>
      </c>
      <c r="E115" t="s">
        <v>2721</v>
      </c>
      <c r="F115" t="s">
        <v>2505</v>
      </c>
      <c r="G115" t="s">
        <v>2506</v>
      </c>
      <c r="H115" t="s">
        <v>879</v>
      </c>
      <c r="I115">
        <v>9.5</v>
      </c>
      <c r="J115" s="41">
        <f>I115/'enter the discount'!$D$7</f>
        <v>2.2236786667290858</v>
      </c>
      <c r="K115" s="41">
        <f>J115*(1-IFERROR(VLOOKUP(H115,'enter the discount'!$D$10:$E$40,2,FALSE),0))</f>
        <v>2.2236786667290858</v>
      </c>
      <c r="L115" s="43" t="s">
        <v>858</v>
      </c>
      <c r="M115" t="s">
        <v>2532</v>
      </c>
      <c r="N115" t="s">
        <v>926</v>
      </c>
      <c r="O115" t="s">
        <v>2723</v>
      </c>
      <c r="P115">
        <v>100</v>
      </c>
      <c r="Q115">
        <v>0</v>
      </c>
      <c r="R115" t="s">
        <v>2465</v>
      </c>
      <c r="S115" s="42" t="str">
        <f>HYPERLINK("https://sklep.kobi.pl/produkt/led-mb-85w-e27-4000k-led2b")</f>
        <v>https://sklep.kobi.pl/produkt/led-mb-85w-e27-4000k-led2b</v>
      </c>
      <c r="T115" s="42" t="str">
        <f>HYPERLINK("https://eprel.ec.europa.eu/qr/2044536        ")</f>
        <v xml:space="preserve">https://eprel.ec.europa.eu/qr/2044536        </v>
      </c>
      <c r="U115">
        <v>0.02</v>
      </c>
      <c r="V115">
        <v>0</v>
      </c>
      <c r="W115">
        <v>0</v>
      </c>
      <c r="X115">
        <v>0</v>
      </c>
      <c r="Y115">
        <v>0</v>
      </c>
    </row>
    <row r="116" spans="1:25" ht="15" x14ac:dyDescent="0.25">
      <c r="A116" t="s">
        <v>21</v>
      </c>
      <c r="B116" t="s">
        <v>43</v>
      </c>
      <c r="C116" t="s">
        <v>63</v>
      </c>
      <c r="D116" t="s">
        <v>112</v>
      </c>
      <c r="E116" t="s">
        <v>2721</v>
      </c>
      <c r="F116" t="s">
        <v>2507</v>
      </c>
      <c r="G116" t="s">
        <v>2508</v>
      </c>
      <c r="H116" t="s">
        <v>879</v>
      </c>
      <c r="I116">
        <v>9.5</v>
      </c>
      <c r="J116" s="41">
        <f>I116/'enter the discount'!$D$7</f>
        <v>2.2236786667290858</v>
      </c>
      <c r="K116" s="41">
        <f>J116*(1-IFERROR(VLOOKUP(H116,'enter the discount'!$D$10:$E$40,2,FALSE),0))</f>
        <v>2.2236786667290858</v>
      </c>
      <c r="L116" s="43" t="s">
        <v>858</v>
      </c>
      <c r="M116" t="s">
        <v>2533</v>
      </c>
      <c r="N116" t="s">
        <v>926</v>
      </c>
      <c r="O116" t="s">
        <v>2723</v>
      </c>
      <c r="P116">
        <v>100</v>
      </c>
      <c r="Q116">
        <v>0</v>
      </c>
      <c r="R116" t="s">
        <v>2465</v>
      </c>
      <c r="S116" s="42" t="str">
        <f>HYPERLINK("https://sklep.kobi.pl/produkt/led-mb-85w-e27-6500k-led2b")</f>
        <v>https://sklep.kobi.pl/produkt/led-mb-85w-e27-6500k-led2b</v>
      </c>
      <c r="T116" s="42" t="str">
        <f>HYPERLINK("https://eprel.ec.europa.eu/qr/2044546        ")</f>
        <v xml:space="preserve">https://eprel.ec.europa.eu/qr/2044546        </v>
      </c>
      <c r="U116">
        <v>0.02</v>
      </c>
      <c r="V116">
        <v>0</v>
      </c>
      <c r="W116">
        <v>0</v>
      </c>
      <c r="X116">
        <v>0</v>
      </c>
      <c r="Y116">
        <v>0</v>
      </c>
    </row>
    <row r="117" spans="1:25" ht="15" x14ac:dyDescent="0.25">
      <c r="A117" t="s">
        <v>21</v>
      </c>
      <c r="B117" t="s">
        <v>43</v>
      </c>
      <c r="C117" t="s">
        <v>63</v>
      </c>
      <c r="D117" t="s">
        <v>113</v>
      </c>
      <c r="E117" t="s">
        <v>14</v>
      </c>
      <c r="F117" t="s">
        <v>1800</v>
      </c>
      <c r="G117" t="s">
        <v>198</v>
      </c>
      <c r="H117" t="s">
        <v>879</v>
      </c>
      <c r="I117">
        <v>21.2</v>
      </c>
      <c r="J117" s="41">
        <f>I117/'enter the discount'!$D$7</f>
        <v>4.9623144983849068</v>
      </c>
      <c r="K117" s="41">
        <f>J117*(1-IFERROR(VLOOKUP(H117,'enter the discount'!$D$10:$E$40,2,FALSE),0))</f>
        <v>4.9623144983849068</v>
      </c>
      <c r="L117" s="43" t="s">
        <v>858</v>
      </c>
      <c r="M117" t="s">
        <v>560</v>
      </c>
      <c r="N117" t="s">
        <v>926</v>
      </c>
      <c r="O117" t="s">
        <v>2723</v>
      </c>
      <c r="P117">
        <v>100</v>
      </c>
      <c r="Q117">
        <v>4200</v>
      </c>
      <c r="R117" t="s">
        <v>2465</v>
      </c>
      <c r="S117" s="42" t="str">
        <f>HYPERLINK("https://sklep.kobi.pl/produkt/led-mb-9w-e27-3000k-cb-premium")</f>
        <v>https://sklep.kobi.pl/produkt/led-mb-9w-e27-3000k-cb-premium</v>
      </c>
      <c r="T117" s="42" t="str">
        <f>HYPERLINK("https://eprel.ec.europa.eu/qr/660675         ")</f>
        <v xml:space="preserve">https://eprel.ec.europa.eu/qr/660675         </v>
      </c>
      <c r="U117">
        <v>5.5E-2</v>
      </c>
      <c r="V117">
        <v>7.1999999999999995E-2</v>
      </c>
      <c r="W117">
        <v>50</v>
      </c>
      <c r="X117">
        <v>50</v>
      </c>
      <c r="Y117">
        <v>106</v>
      </c>
    </row>
    <row r="118" spans="1:25" ht="15" x14ac:dyDescent="0.25">
      <c r="A118" t="s">
        <v>21</v>
      </c>
      <c r="B118" t="s">
        <v>43</v>
      </c>
      <c r="C118" t="s">
        <v>63</v>
      </c>
      <c r="D118" t="s">
        <v>113</v>
      </c>
      <c r="E118" t="s">
        <v>14</v>
      </c>
      <c r="F118" t="s">
        <v>1801</v>
      </c>
      <c r="G118" t="s">
        <v>199</v>
      </c>
      <c r="H118" t="s">
        <v>879</v>
      </c>
      <c r="I118">
        <v>21.2</v>
      </c>
      <c r="J118" s="41">
        <f>I118/'enter the discount'!$D$7</f>
        <v>4.9623144983849068</v>
      </c>
      <c r="K118" s="41">
        <f>J118*(1-IFERROR(VLOOKUP(H118,'enter the discount'!$D$10:$E$40,2,FALSE),0))</f>
        <v>4.9623144983849068</v>
      </c>
      <c r="L118" s="43" t="s">
        <v>858</v>
      </c>
      <c r="M118" t="s">
        <v>561</v>
      </c>
      <c r="N118" t="s">
        <v>926</v>
      </c>
      <c r="O118" t="s">
        <v>2723</v>
      </c>
      <c r="P118">
        <v>100</v>
      </c>
      <c r="Q118">
        <v>4200</v>
      </c>
      <c r="R118" t="s">
        <v>2465</v>
      </c>
      <c r="S118" s="42" t="str">
        <f>HYPERLINK("https://sklep.kobi.pl/produkt/led-mb-9w-e27-4000k-nb-premium")</f>
        <v>https://sklep.kobi.pl/produkt/led-mb-9w-e27-4000k-nb-premium</v>
      </c>
      <c r="T118" s="42" t="str">
        <f>HYPERLINK("https://eprel.ec.europa.eu/qr/660677         ")</f>
        <v xml:space="preserve">https://eprel.ec.europa.eu/qr/660677         </v>
      </c>
      <c r="U118">
        <v>5.5E-2</v>
      </c>
      <c r="V118">
        <v>7.1999999999999995E-2</v>
      </c>
      <c r="W118">
        <v>50</v>
      </c>
      <c r="X118">
        <v>50</v>
      </c>
      <c r="Y118">
        <v>106</v>
      </c>
    </row>
    <row r="119" spans="1:25" ht="15" x14ac:dyDescent="0.25">
      <c r="A119" t="s">
        <v>21</v>
      </c>
      <c r="B119" t="s">
        <v>43</v>
      </c>
      <c r="C119" t="s">
        <v>63</v>
      </c>
      <c r="D119" t="s">
        <v>113</v>
      </c>
      <c r="E119" t="s">
        <v>14</v>
      </c>
      <c r="F119" t="s">
        <v>1802</v>
      </c>
      <c r="G119" t="s">
        <v>200</v>
      </c>
      <c r="H119" t="s">
        <v>879</v>
      </c>
      <c r="I119">
        <v>21.2</v>
      </c>
      <c r="J119" s="41">
        <f>I119/'enter the discount'!$D$7</f>
        <v>4.9623144983849068</v>
      </c>
      <c r="K119" s="41">
        <f>J119*(1-IFERROR(VLOOKUP(H119,'enter the discount'!$D$10:$E$40,2,FALSE),0))</f>
        <v>4.9623144983849068</v>
      </c>
      <c r="L119" s="43" t="s">
        <v>858</v>
      </c>
      <c r="M119" t="s">
        <v>562</v>
      </c>
      <c r="N119" t="s">
        <v>926</v>
      </c>
      <c r="O119" t="s">
        <v>2723</v>
      </c>
      <c r="P119">
        <v>100</v>
      </c>
      <c r="Q119">
        <v>4200</v>
      </c>
      <c r="R119" t="s">
        <v>2465</v>
      </c>
      <c r="S119" s="42" t="str">
        <f>HYPERLINK("https://sklep.kobi.pl/produkt/led-mb-9w-e27-6000k-zb-premium")</f>
        <v>https://sklep.kobi.pl/produkt/led-mb-9w-e27-6000k-zb-premium</v>
      </c>
      <c r="T119" s="42" t="str">
        <f>HYPERLINK("https://eprel.ec.europa.eu/qr/660678         ")</f>
        <v xml:space="preserve">https://eprel.ec.europa.eu/qr/660678         </v>
      </c>
      <c r="U119">
        <v>5.5E-2</v>
      </c>
      <c r="V119">
        <v>7.1999999999999995E-2</v>
      </c>
      <c r="W119">
        <v>50</v>
      </c>
      <c r="X119">
        <v>125</v>
      </c>
      <c r="Y119">
        <v>45</v>
      </c>
    </row>
    <row r="120" spans="1:25" ht="15" x14ac:dyDescent="0.25">
      <c r="A120" t="s">
        <v>21</v>
      </c>
      <c r="B120" t="s">
        <v>43</v>
      </c>
      <c r="C120" t="s">
        <v>97</v>
      </c>
      <c r="D120" t="s">
        <v>111</v>
      </c>
      <c r="E120" t="s">
        <v>14</v>
      </c>
      <c r="F120" t="s">
        <v>1803</v>
      </c>
      <c r="G120" t="s">
        <v>201</v>
      </c>
      <c r="H120" t="s">
        <v>880</v>
      </c>
      <c r="I120">
        <v>17.54</v>
      </c>
      <c r="J120" s="41">
        <f>I120/'enter the discount'!$D$7</f>
        <v>4.1056130330977014</v>
      </c>
      <c r="K120" s="41">
        <f>J120*(1-IFERROR(VLOOKUP(H120,'enter the discount'!$D$10:$E$40,2,FALSE),0))</f>
        <v>4.1056130330977014</v>
      </c>
      <c r="L120" s="43" t="s">
        <v>858</v>
      </c>
      <c r="M120" t="s">
        <v>563</v>
      </c>
      <c r="N120" t="s">
        <v>926</v>
      </c>
      <c r="O120" t="s">
        <v>2723</v>
      </c>
      <c r="P120">
        <v>100</v>
      </c>
      <c r="Q120">
        <v>0</v>
      </c>
      <c r="R120" t="s">
        <v>2465</v>
      </c>
      <c r="S120" s="42" t="str">
        <f>HYPERLINK("https://sklep.kobi.pl/produkt/led-mr11-4w-gu10-3000k")</f>
        <v>https://sklep.kobi.pl/produkt/led-mr11-4w-gu10-3000k</v>
      </c>
      <c r="T120" s="42" t="str">
        <f>HYPERLINK("https://eprel.ec.europa.eu/qr/660632         ")</f>
        <v xml:space="preserve">https://eprel.ec.europa.eu/qr/660632         </v>
      </c>
      <c r="U120">
        <v>2.9000000000000001E-2</v>
      </c>
      <c r="V120">
        <v>3.5999999999999997E-2</v>
      </c>
      <c r="W120">
        <v>35</v>
      </c>
      <c r="X120">
        <v>55</v>
      </c>
      <c r="Y120">
        <v>35</v>
      </c>
    </row>
    <row r="121" spans="1:25" ht="15" x14ac:dyDescent="0.25">
      <c r="A121" t="s">
        <v>21</v>
      </c>
      <c r="B121" t="s">
        <v>43</v>
      </c>
      <c r="C121" t="s">
        <v>97</v>
      </c>
      <c r="D121" t="s">
        <v>111</v>
      </c>
      <c r="E121" t="s">
        <v>14</v>
      </c>
      <c r="F121" t="s">
        <v>1804</v>
      </c>
      <c r="G121" t="s">
        <v>202</v>
      </c>
      <c r="H121" t="s">
        <v>880</v>
      </c>
      <c r="I121">
        <v>17.54</v>
      </c>
      <c r="J121" s="41">
        <f>I121/'enter the discount'!$D$7</f>
        <v>4.1056130330977014</v>
      </c>
      <c r="K121" s="41">
        <f>J121*(1-IFERROR(VLOOKUP(H121,'enter the discount'!$D$10:$E$40,2,FALSE),0))</f>
        <v>4.1056130330977014</v>
      </c>
      <c r="L121" s="43" t="s">
        <v>858</v>
      </c>
      <c r="M121" t="s">
        <v>564</v>
      </c>
      <c r="N121" t="s">
        <v>926</v>
      </c>
      <c r="O121" t="s">
        <v>2723</v>
      </c>
      <c r="P121">
        <v>100</v>
      </c>
      <c r="Q121">
        <v>0</v>
      </c>
      <c r="R121" t="s">
        <v>2465</v>
      </c>
      <c r="S121" s="42" t="str">
        <f>HYPERLINK("https://sklep.kobi.pl/produkt/led-mr11-4w-gu10-4000k")</f>
        <v>https://sklep.kobi.pl/produkt/led-mr11-4w-gu10-4000k</v>
      </c>
      <c r="T121" s="42" t="str">
        <f>HYPERLINK("https://eprel.ec.europa.eu/qr/660634         ")</f>
        <v xml:space="preserve">https://eprel.ec.europa.eu/qr/660634         </v>
      </c>
      <c r="U121">
        <v>2.9000000000000001E-2</v>
      </c>
      <c r="V121">
        <v>3.5999999999999997E-2</v>
      </c>
      <c r="W121">
        <v>35</v>
      </c>
      <c r="X121">
        <v>55</v>
      </c>
      <c r="Y121">
        <v>35</v>
      </c>
    </row>
    <row r="122" spans="1:25" ht="15" x14ac:dyDescent="0.25">
      <c r="A122" t="s">
        <v>21</v>
      </c>
      <c r="B122" t="s">
        <v>43</v>
      </c>
      <c r="C122" t="s">
        <v>97</v>
      </c>
      <c r="D122" t="s">
        <v>111</v>
      </c>
      <c r="E122" t="s">
        <v>14</v>
      </c>
      <c r="F122" t="s">
        <v>1805</v>
      </c>
      <c r="G122" t="s">
        <v>203</v>
      </c>
      <c r="H122" t="s">
        <v>880</v>
      </c>
      <c r="I122">
        <v>17.54</v>
      </c>
      <c r="J122" s="41">
        <f>I122/'enter the discount'!$D$7</f>
        <v>4.1056130330977014</v>
      </c>
      <c r="K122" s="41">
        <f>J122*(1-IFERROR(VLOOKUP(H122,'enter the discount'!$D$10:$E$40,2,FALSE),0))</f>
        <v>4.1056130330977014</v>
      </c>
      <c r="L122" s="43" t="s">
        <v>858</v>
      </c>
      <c r="M122" t="s">
        <v>565</v>
      </c>
      <c r="N122" t="s">
        <v>926</v>
      </c>
      <c r="O122" t="s">
        <v>2723</v>
      </c>
      <c r="P122">
        <v>100</v>
      </c>
      <c r="Q122">
        <v>0</v>
      </c>
      <c r="R122" t="s">
        <v>2465</v>
      </c>
      <c r="S122" s="42" t="str">
        <f>HYPERLINK("https://sklep.kobi.pl/produkt/led-mr11-4w-gu10-6000k")</f>
        <v>https://sklep.kobi.pl/produkt/led-mr11-4w-gu10-6000k</v>
      </c>
      <c r="T122" s="42" t="str">
        <f>HYPERLINK("https://eprel.ec.europa.eu/qr/660638         ")</f>
        <v xml:space="preserve">https://eprel.ec.europa.eu/qr/660638         </v>
      </c>
      <c r="U122">
        <v>2.9000000000000001E-2</v>
      </c>
      <c r="V122">
        <v>3.5999999999999997E-2</v>
      </c>
      <c r="W122">
        <v>35</v>
      </c>
      <c r="X122">
        <v>55</v>
      </c>
      <c r="Y122">
        <v>35</v>
      </c>
    </row>
    <row r="123" spans="1:25" ht="15" x14ac:dyDescent="0.25">
      <c r="A123" t="s">
        <v>21</v>
      </c>
      <c r="B123" t="s">
        <v>43</v>
      </c>
      <c r="C123" t="s">
        <v>67</v>
      </c>
      <c r="D123" t="s">
        <v>111</v>
      </c>
      <c r="E123" t="s">
        <v>14</v>
      </c>
      <c r="F123" t="s">
        <v>1806</v>
      </c>
      <c r="G123" t="s">
        <v>204</v>
      </c>
      <c r="H123" t="s">
        <v>879</v>
      </c>
      <c r="I123">
        <v>10.65</v>
      </c>
      <c r="J123" s="41">
        <f>I123/'enter the discount'!$D$7</f>
        <v>2.4928608211226067</v>
      </c>
      <c r="K123" s="41">
        <f>J123*(1-IFERROR(VLOOKUP(H123,'enter the discount'!$D$10:$E$40,2,FALSE),0))</f>
        <v>2.4928608211226067</v>
      </c>
      <c r="L123" s="43" t="s">
        <v>860</v>
      </c>
      <c r="M123" t="s">
        <v>566</v>
      </c>
      <c r="N123" t="s">
        <v>926</v>
      </c>
      <c r="O123" t="s">
        <v>2723</v>
      </c>
      <c r="P123">
        <v>100</v>
      </c>
      <c r="Q123">
        <v>4800</v>
      </c>
      <c r="R123" t="s">
        <v>2465</v>
      </c>
      <c r="S123" s="42" t="str">
        <f>HYPERLINK("https://sklep.kobi.pl/produkt/led-r50-5w-e14-3000k-cb")</f>
        <v>https://sklep.kobi.pl/produkt/led-r50-5w-e14-3000k-cb</v>
      </c>
      <c r="T123" s="42" t="str">
        <f>HYPERLINK("https://eprel.ec.europa.eu/qr/660746         ")</f>
        <v xml:space="preserve">https://eprel.ec.europa.eu/qr/660746         </v>
      </c>
      <c r="U123">
        <v>2.1999999999999999E-2</v>
      </c>
      <c r="V123">
        <v>4.1000000000000002E-2</v>
      </c>
      <c r="W123">
        <v>50</v>
      </c>
      <c r="X123">
        <v>51</v>
      </c>
      <c r="Y123">
        <v>90</v>
      </c>
    </row>
    <row r="124" spans="1:25" ht="15" x14ac:dyDescent="0.25">
      <c r="A124" t="s">
        <v>21</v>
      </c>
      <c r="B124" t="s">
        <v>43</v>
      </c>
      <c r="C124" t="s">
        <v>67</v>
      </c>
      <c r="D124" t="s">
        <v>111</v>
      </c>
      <c r="E124" t="s">
        <v>14</v>
      </c>
      <c r="F124" t="s">
        <v>1807</v>
      </c>
      <c r="G124" t="s">
        <v>205</v>
      </c>
      <c r="H124" t="s">
        <v>879</v>
      </c>
      <c r="I124">
        <v>10.65</v>
      </c>
      <c r="J124" s="41">
        <f>I124/'enter the discount'!$D$7</f>
        <v>2.4928608211226067</v>
      </c>
      <c r="K124" s="41">
        <f>J124*(1-IFERROR(VLOOKUP(H124,'enter the discount'!$D$10:$E$40,2,FALSE),0))</f>
        <v>2.4928608211226067</v>
      </c>
      <c r="L124" s="43" t="s">
        <v>860</v>
      </c>
      <c r="M124" t="s">
        <v>567</v>
      </c>
      <c r="N124" t="s">
        <v>926</v>
      </c>
      <c r="O124" t="s">
        <v>2723</v>
      </c>
      <c r="P124">
        <v>100</v>
      </c>
      <c r="Q124">
        <v>4800</v>
      </c>
      <c r="R124" t="s">
        <v>2465</v>
      </c>
      <c r="S124" s="42" t="str">
        <f>HYPERLINK("https://sklep.kobi.pl/produkt/led-r50-5w-e14-4000k-nb")</f>
        <v>https://sklep.kobi.pl/produkt/led-r50-5w-e14-4000k-nb</v>
      </c>
      <c r="T124" s="42" t="str">
        <f>HYPERLINK("https://eprel.ec.europa.eu/qr/660747         ")</f>
        <v xml:space="preserve">https://eprel.ec.europa.eu/qr/660747         </v>
      </c>
      <c r="U124">
        <v>2.1999999999999999E-2</v>
      </c>
      <c r="V124">
        <v>4.1000000000000002E-2</v>
      </c>
      <c r="W124">
        <v>50</v>
      </c>
      <c r="X124">
        <v>51</v>
      </c>
      <c r="Y124">
        <v>90</v>
      </c>
    </row>
    <row r="125" spans="1:25" ht="15" x14ac:dyDescent="0.25">
      <c r="A125" t="s">
        <v>21</v>
      </c>
      <c r="B125" t="s">
        <v>43</v>
      </c>
      <c r="C125" t="s">
        <v>65</v>
      </c>
      <c r="D125" t="s">
        <v>111</v>
      </c>
      <c r="E125" t="s">
        <v>14</v>
      </c>
      <c r="F125" t="s">
        <v>1808</v>
      </c>
      <c r="G125" t="s">
        <v>206</v>
      </c>
      <c r="H125" t="s">
        <v>879</v>
      </c>
      <c r="I125">
        <v>12.64</v>
      </c>
      <c r="J125" s="41">
        <f>I125/'enter the discount'!$D$7</f>
        <v>2.9586629839426997</v>
      </c>
      <c r="K125" s="41">
        <f>J125*(1-IFERROR(VLOOKUP(H125,'enter the discount'!$D$10:$E$40,2,FALSE),0))</f>
        <v>2.9586629839426997</v>
      </c>
      <c r="L125" s="43" t="s">
        <v>858</v>
      </c>
      <c r="M125" t="s">
        <v>568</v>
      </c>
      <c r="N125" t="s">
        <v>926</v>
      </c>
      <c r="O125" t="s">
        <v>2723</v>
      </c>
      <c r="P125">
        <v>100</v>
      </c>
      <c r="Q125">
        <v>2500</v>
      </c>
      <c r="R125" t="s">
        <v>2465</v>
      </c>
      <c r="S125" s="42" t="str">
        <f>HYPERLINK("https://sklep.kobi.pl/produkt/led-r63-8w-e27-3000k-cb")</f>
        <v>https://sklep.kobi.pl/produkt/led-r63-8w-e27-3000k-cb</v>
      </c>
      <c r="T125" s="42" t="str">
        <f>HYPERLINK("https://eprel.ec.europa.eu/qr/660751         ")</f>
        <v xml:space="preserve">https://eprel.ec.europa.eu/qr/660751         </v>
      </c>
      <c r="U125">
        <v>3.7999999999999999E-2</v>
      </c>
      <c r="V125">
        <v>5.8999999999999997E-2</v>
      </c>
      <c r="W125">
        <v>64</v>
      </c>
      <c r="X125">
        <v>63</v>
      </c>
      <c r="Y125">
        <v>105</v>
      </c>
    </row>
    <row r="126" spans="1:25" ht="15" x14ac:dyDescent="0.25">
      <c r="A126" t="s">
        <v>21</v>
      </c>
      <c r="B126" t="s">
        <v>43</v>
      </c>
      <c r="C126" t="s">
        <v>65</v>
      </c>
      <c r="D126" t="s">
        <v>111</v>
      </c>
      <c r="E126" t="s">
        <v>14</v>
      </c>
      <c r="F126" t="s">
        <v>1809</v>
      </c>
      <c r="G126" t="s">
        <v>207</v>
      </c>
      <c r="H126" t="s">
        <v>879</v>
      </c>
      <c r="I126">
        <v>12.64</v>
      </c>
      <c r="J126" s="41">
        <f>I126/'enter the discount'!$D$7</f>
        <v>2.9586629839426997</v>
      </c>
      <c r="K126" s="41">
        <f>J126*(1-IFERROR(VLOOKUP(H126,'enter the discount'!$D$10:$E$40,2,FALSE),0))</f>
        <v>2.9586629839426997</v>
      </c>
      <c r="L126" s="43" t="s">
        <v>858</v>
      </c>
      <c r="M126" t="s">
        <v>569</v>
      </c>
      <c r="N126" t="s">
        <v>926</v>
      </c>
      <c r="O126" t="s">
        <v>2723</v>
      </c>
      <c r="P126">
        <v>100</v>
      </c>
      <c r="Q126">
        <v>2500</v>
      </c>
      <c r="R126" t="s">
        <v>2465</v>
      </c>
      <c r="S126" s="42" t="str">
        <f>HYPERLINK("https://sklep.kobi.pl/produkt/led-r63-8w-e27-4000k-nb")</f>
        <v>https://sklep.kobi.pl/produkt/led-r63-8w-e27-4000k-nb</v>
      </c>
      <c r="T126" s="42" t="str">
        <f>HYPERLINK("https://eprel.ec.europa.eu/qr/660752         ")</f>
        <v xml:space="preserve">https://eprel.ec.europa.eu/qr/660752         </v>
      </c>
      <c r="U126">
        <v>3.7999999999999999E-2</v>
      </c>
      <c r="V126">
        <v>5.8999999999999997E-2</v>
      </c>
      <c r="W126">
        <v>63</v>
      </c>
      <c r="X126">
        <v>65</v>
      </c>
      <c r="Y126">
        <v>105</v>
      </c>
    </row>
    <row r="127" spans="1:25" ht="15" x14ac:dyDescent="0.25">
      <c r="A127" t="s">
        <v>21</v>
      </c>
      <c r="B127" t="s">
        <v>43</v>
      </c>
      <c r="C127" t="s">
        <v>65</v>
      </c>
      <c r="D127" t="s">
        <v>111</v>
      </c>
      <c r="E127" t="s">
        <v>2722</v>
      </c>
      <c r="F127" t="s">
        <v>1810</v>
      </c>
      <c r="G127" t="s">
        <v>208</v>
      </c>
      <c r="H127" t="s">
        <v>879</v>
      </c>
      <c r="I127">
        <v>12.64</v>
      </c>
      <c r="J127" s="41">
        <f>I127/'enter the discount'!$D$7</f>
        <v>2.9586629839426997</v>
      </c>
      <c r="K127" s="41">
        <f>J127*(1-IFERROR(VLOOKUP(H127,'enter the discount'!$D$10:$E$40,2,FALSE),0))</f>
        <v>2.9586629839426997</v>
      </c>
      <c r="L127" s="43" t="s">
        <v>858</v>
      </c>
      <c r="M127" t="s">
        <v>570</v>
      </c>
      <c r="N127" t="s">
        <v>926</v>
      </c>
      <c r="O127" t="s">
        <v>2723</v>
      </c>
      <c r="P127">
        <v>100</v>
      </c>
      <c r="Q127">
        <v>2500</v>
      </c>
      <c r="R127" t="s">
        <v>2465</v>
      </c>
      <c r="S127" s="42" t="str">
        <f>HYPERLINK("https://sklep.kobi.pl/produkt/led-r63-8w-e27-4000k-zb")</f>
        <v>https://sklep.kobi.pl/produkt/led-r63-8w-e27-4000k-zb</v>
      </c>
      <c r="T127" s="42" t="str">
        <f>HYPERLINK("https://eprel.ec.europa.eu/qr/660753         ")</f>
        <v xml:space="preserve">https://eprel.ec.europa.eu/qr/660753         </v>
      </c>
      <c r="U127">
        <v>3.7999999999999999E-2</v>
      </c>
      <c r="V127">
        <v>5.8999999999999997E-2</v>
      </c>
      <c r="W127">
        <v>63</v>
      </c>
      <c r="X127">
        <v>63</v>
      </c>
      <c r="Y127">
        <v>105</v>
      </c>
    </row>
    <row r="128" spans="1:25" ht="15" x14ac:dyDescent="0.25">
      <c r="A128" t="s">
        <v>21</v>
      </c>
      <c r="B128" t="s">
        <v>43</v>
      </c>
      <c r="C128" t="s">
        <v>45</v>
      </c>
      <c r="D128" t="s">
        <v>111</v>
      </c>
      <c r="E128" t="s">
        <v>2722</v>
      </c>
      <c r="F128" t="s">
        <v>1811</v>
      </c>
      <c r="G128" t="s">
        <v>209</v>
      </c>
      <c r="H128" t="s">
        <v>879</v>
      </c>
      <c r="I128">
        <v>6.56</v>
      </c>
      <c r="J128" s="41">
        <f>I128/'enter the discount'!$D$7</f>
        <v>1.5355086372360844</v>
      </c>
      <c r="K128" s="41">
        <f>J128*(1-IFERROR(VLOOKUP(H128,'enter the discount'!$D$10:$E$40,2,FALSE),0))</f>
        <v>1.5355086372360844</v>
      </c>
      <c r="L128" s="43" t="s">
        <v>858</v>
      </c>
      <c r="M128" t="s">
        <v>571</v>
      </c>
      <c r="N128" t="s">
        <v>926</v>
      </c>
      <c r="O128" t="s">
        <v>2723</v>
      </c>
      <c r="P128">
        <v>100</v>
      </c>
      <c r="Q128">
        <v>3000</v>
      </c>
      <c r="R128" t="s">
        <v>2465</v>
      </c>
      <c r="S128" s="42" t="str">
        <f>HYPERLINK("https://sklep.kobi.pl/produkt/led-sw-15w-e14-4000k")</f>
        <v>https://sklep.kobi.pl/produkt/led-sw-15w-e14-4000k</v>
      </c>
      <c r="T128" s="42" t="str">
        <f>HYPERLINK("https://eprel.ec.europa.eu/qr/909569         ")</f>
        <v xml:space="preserve">https://eprel.ec.europa.eu/qr/909569         </v>
      </c>
      <c r="U128">
        <v>1.4999999999999999E-2</v>
      </c>
      <c r="V128">
        <v>2.5000000000000001E-2</v>
      </c>
      <c r="W128">
        <v>40</v>
      </c>
      <c r="X128">
        <v>100</v>
      </c>
      <c r="Y128">
        <v>35</v>
      </c>
    </row>
    <row r="129" spans="1:25" ht="15" x14ac:dyDescent="0.25">
      <c r="A129" t="s">
        <v>21</v>
      </c>
      <c r="B129" t="s">
        <v>43</v>
      </c>
      <c r="C129" t="s">
        <v>45</v>
      </c>
      <c r="D129" t="s">
        <v>111</v>
      </c>
      <c r="E129" t="s">
        <v>2722</v>
      </c>
      <c r="F129" t="s">
        <v>1812</v>
      </c>
      <c r="G129" t="s">
        <v>210</v>
      </c>
      <c r="H129" t="s">
        <v>879</v>
      </c>
      <c r="I129">
        <v>6.56</v>
      </c>
      <c r="J129" s="41">
        <f>I129/'enter the discount'!$D$7</f>
        <v>1.5355086372360844</v>
      </c>
      <c r="K129" s="41">
        <f>J129*(1-IFERROR(VLOOKUP(H129,'enter the discount'!$D$10:$E$40,2,FALSE),0))</f>
        <v>1.5355086372360844</v>
      </c>
      <c r="L129" s="43" t="s">
        <v>858</v>
      </c>
      <c r="M129" t="s">
        <v>572</v>
      </c>
      <c r="N129" t="s">
        <v>926</v>
      </c>
      <c r="O129" t="s">
        <v>2723</v>
      </c>
      <c r="P129">
        <v>100</v>
      </c>
      <c r="Q129">
        <v>3000</v>
      </c>
      <c r="R129" t="s">
        <v>2465</v>
      </c>
      <c r="S129" s="42" t="str">
        <f>HYPERLINK("https://sklep.kobi.pl/produkt/led-sw-15w-e14-6000k")</f>
        <v>https://sklep.kobi.pl/produkt/led-sw-15w-e14-6000k</v>
      </c>
      <c r="T129" s="42" t="str">
        <f>HYPERLINK("https://eprel.ec.europa.eu/qr/660756         ")</f>
        <v xml:space="preserve">https://eprel.ec.europa.eu/qr/660756         </v>
      </c>
      <c r="U129">
        <v>1.4999999999999999E-2</v>
      </c>
      <c r="V129">
        <v>2.5000000000000001E-2</v>
      </c>
      <c r="W129">
        <v>40</v>
      </c>
      <c r="X129">
        <v>100</v>
      </c>
      <c r="Y129">
        <v>35</v>
      </c>
    </row>
    <row r="130" spans="1:25" ht="15" x14ac:dyDescent="0.25">
      <c r="A130" t="s">
        <v>21</v>
      </c>
      <c r="B130" t="s">
        <v>43</v>
      </c>
      <c r="C130" t="s">
        <v>45</v>
      </c>
      <c r="D130" t="s">
        <v>111</v>
      </c>
      <c r="E130" t="s">
        <v>14</v>
      </c>
      <c r="F130" t="s">
        <v>1813</v>
      </c>
      <c r="G130" t="s">
        <v>211</v>
      </c>
      <c r="H130" t="s">
        <v>879</v>
      </c>
      <c r="I130">
        <v>6.88</v>
      </c>
      <c r="J130" s="41">
        <f>I130/'enter the discount'!$D$7</f>
        <v>1.6104114975890642</v>
      </c>
      <c r="K130" s="41">
        <f>J130*(1-IFERROR(VLOOKUP(H130,'enter the discount'!$D$10:$E$40,2,FALSE),0))</f>
        <v>1.6104114975890642</v>
      </c>
      <c r="L130" s="43" t="s">
        <v>860</v>
      </c>
      <c r="M130" t="s">
        <v>573</v>
      </c>
      <c r="N130" t="s">
        <v>926</v>
      </c>
      <c r="O130" t="s">
        <v>2723</v>
      </c>
      <c r="P130">
        <v>100</v>
      </c>
      <c r="Q130">
        <v>0</v>
      </c>
      <c r="R130" t="s">
        <v>2465</v>
      </c>
      <c r="S130" s="42" t="str">
        <f>HYPERLINK("https://sklep.kobi.pl/produkt/led-sw-3w-e14-3000k-cb")</f>
        <v>https://sklep.kobi.pl/produkt/led-sw-3w-e14-3000k-cb</v>
      </c>
      <c r="T130" s="42" t="str">
        <f>HYPERLINK("https://eprel.ec.europa.eu/qr/660758         ")</f>
        <v xml:space="preserve">https://eprel.ec.europa.eu/qr/660758         </v>
      </c>
      <c r="U130">
        <v>1.7000000000000001E-2</v>
      </c>
      <c r="V130">
        <v>2.5999999999999999E-2</v>
      </c>
      <c r="W130">
        <v>40</v>
      </c>
      <c r="X130">
        <v>40</v>
      </c>
      <c r="Y130">
        <v>100</v>
      </c>
    </row>
    <row r="131" spans="1:25" ht="15" x14ac:dyDescent="0.25">
      <c r="A131" t="s">
        <v>21</v>
      </c>
      <c r="B131" t="s">
        <v>43</v>
      </c>
      <c r="C131" t="s">
        <v>45</v>
      </c>
      <c r="D131" t="s">
        <v>111</v>
      </c>
      <c r="E131" t="s">
        <v>14</v>
      </c>
      <c r="F131" t="s">
        <v>1814</v>
      </c>
      <c r="G131" t="s">
        <v>212</v>
      </c>
      <c r="H131" t="s">
        <v>879</v>
      </c>
      <c r="I131">
        <v>9.33</v>
      </c>
      <c r="J131" s="41">
        <f>I131/'enter the discount'!$D$7</f>
        <v>2.1838865221665653</v>
      </c>
      <c r="K131" s="41">
        <f>J131*(1-IFERROR(VLOOKUP(H131,'enter the discount'!$D$10:$E$40,2,FALSE),0))</f>
        <v>2.1838865221665653</v>
      </c>
      <c r="L131" s="43" t="s">
        <v>858</v>
      </c>
      <c r="M131" t="s">
        <v>574</v>
      </c>
      <c r="N131" t="s">
        <v>926</v>
      </c>
      <c r="O131" t="s">
        <v>2723</v>
      </c>
      <c r="P131">
        <v>100</v>
      </c>
      <c r="Q131">
        <v>6000</v>
      </c>
      <c r="R131" t="s">
        <v>2465</v>
      </c>
      <c r="S131" s="42" t="str">
        <f>HYPERLINK("https://sklep.kobi.pl/produkt/led-sw-45w-e14-3000k-cb")</f>
        <v>https://sklep.kobi.pl/produkt/led-sw-45w-e14-3000k-cb</v>
      </c>
      <c r="T131" s="42" t="str">
        <f>HYPERLINK("https://eprel.ec.europa.eu/qr/660760         ")</f>
        <v xml:space="preserve">https://eprel.ec.europa.eu/qr/660760         </v>
      </c>
      <c r="U131">
        <v>1.7999999999999999E-2</v>
      </c>
      <c r="V131">
        <v>2.5000000000000001E-2</v>
      </c>
      <c r="W131">
        <v>39</v>
      </c>
      <c r="X131">
        <v>38</v>
      </c>
      <c r="Y131">
        <v>107</v>
      </c>
    </row>
    <row r="132" spans="1:25" ht="15" x14ac:dyDescent="0.25">
      <c r="A132" t="s">
        <v>21</v>
      </c>
      <c r="B132" t="s">
        <v>43</v>
      </c>
      <c r="C132" t="s">
        <v>45</v>
      </c>
      <c r="D132" t="s">
        <v>111</v>
      </c>
      <c r="E132" t="s">
        <v>14</v>
      </c>
      <c r="F132" t="s">
        <v>1815</v>
      </c>
      <c r="G132" t="s">
        <v>213</v>
      </c>
      <c r="H132" t="s">
        <v>879</v>
      </c>
      <c r="I132">
        <v>9.33</v>
      </c>
      <c r="J132" s="41">
        <f>I132/'enter the discount'!$D$7</f>
        <v>2.1838865221665653</v>
      </c>
      <c r="K132" s="41">
        <f>J132*(1-IFERROR(VLOOKUP(H132,'enter the discount'!$D$10:$E$40,2,FALSE),0))</f>
        <v>2.1838865221665653</v>
      </c>
      <c r="L132" s="43" t="s">
        <v>858</v>
      </c>
      <c r="M132" t="s">
        <v>575</v>
      </c>
      <c r="N132" t="s">
        <v>926</v>
      </c>
      <c r="O132" t="s">
        <v>2723</v>
      </c>
      <c r="P132">
        <v>100</v>
      </c>
      <c r="Q132">
        <v>6000</v>
      </c>
      <c r="R132" t="s">
        <v>2465</v>
      </c>
      <c r="S132" s="42" t="str">
        <f>HYPERLINK("https://sklep.kobi.pl/produkt/led-sw-45w-e14-4000k-nb")</f>
        <v>https://sklep.kobi.pl/produkt/led-sw-45w-e14-4000k-nb</v>
      </c>
      <c r="T132" s="42" t="str">
        <f>HYPERLINK("https://eprel.ec.europa.eu/qr/660762         ")</f>
        <v xml:space="preserve">https://eprel.ec.europa.eu/qr/660762         </v>
      </c>
      <c r="U132">
        <v>1.7999999999999999E-2</v>
      </c>
      <c r="V132">
        <v>2.5000000000000001E-2</v>
      </c>
      <c r="W132">
        <v>38</v>
      </c>
      <c r="X132">
        <v>38</v>
      </c>
      <c r="Y132">
        <v>106</v>
      </c>
    </row>
    <row r="133" spans="1:25" ht="15" x14ac:dyDescent="0.25">
      <c r="A133" t="s">
        <v>21</v>
      </c>
      <c r="B133" t="s">
        <v>43</v>
      </c>
      <c r="C133" t="s">
        <v>45</v>
      </c>
      <c r="D133" t="s">
        <v>111</v>
      </c>
      <c r="E133" t="s">
        <v>14</v>
      </c>
      <c r="F133" t="s">
        <v>1816</v>
      </c>
      <c r="G133" t="s">
        <v>214</v>
      </c>
      <c r="H133" t="s">
        <v>879</v>
      </c>
      <c r="I133">
        <v>9.33</v>
      </c>
      <c r="J133" s="41">
        <f>I133/'enter the discount'!$D$7</f>
        <v>2.1838865221665653</v>
      </c>
      <c r="K133" s="41">
        <f>J133*(1-IFERROR(VLOOKUP(H133,'enter the discount'!$D$10:$E$40,2,FALSE),0))</f>
        <v>2.1838865221665653</v>
      </c>
      <c r="L133" s="43" t="s">
        <v>858</v>
      </c>
      <c r="M133" t="s">
        <v>576</v>
      </c>
      <c r="N133" t="s">
        <v>926</v>
      </c>
      <c r="O133" t="s">
        <v>2723</v>
      </c>
      <c r="P133">
        <v>100</v>
      </c>
      <c r="Q133">
        <v>6000</v>
      </c>
      <c r="R133" t="s">
        <v>2465</v>
      </c>
      <c r="S133" s="42" t="str">
        <f>HYPERLINK("https://sklep.kobi.pl/produkt/led-sw-45w-e14-6000k-zb")</f>
        <v>https://sklep.kobi.pl/produkt/led-sw-45w-e14-6000k-zb</v>
      </c>
      <c r="T133" s="42" t="str">
        <f>HYPERLINK("https://eprel.ec.europa.eu/qr/660763         ")</f>
        <v xml:space="preserve">https://eprel.ec.europa.eu/qr/660763         </v>
      </c>
      <c r="U133">
        <v>1.7999999999999999E-2</v>
      </c>
      <c r="V133">
        <v>2.5000000000000001E-2</v>
      </c>
      <c r="W133">
        <v>38</v>
      </c>
      <c r="X133">
        <v>38</v>
      </c>
      <c r="Y133">
        <v>106</v>
      </c>
    </row>
    <row r="134" spans="1:25" ht="15" x14ac:dyDescent="0.25">
      <c r="A134" t="s">
        <v>21</v>
      </c>
      <c r="B134" t="s">
        <v>43</v>
      </c>
      <c r="C134" t="s">
        <v>45</v>
      </c>
      <c r="D134" t="s">
        <v>111</v>
      </c>
      <c r="E134" t="s">
        <v>14</v>
      </c>
      <c r="F134" t="s">
        <v>1817</v>
      </c>
      <c r="G134" t="s">
        <v>215</v>
      </c>
      <c r="H134" t="s">
        <v>879</v>
      </c>
      <c r="I134">
        <v>10.02</v>
      </c>
      <c r="J134" s="41">
        <f>I134/'enter the discount'!$D$7</f>
        <v>2.3453958148026777</v>
      </c>
      <c r="K134" s="41">
        <f>J134*(1-IFERROR(VLOOKUP(H134,'enter the discount'!$D$10:$E$40,2,FALSE),0))</f>
        <v>2.3453958148026777</v>
      </c>
      <c r="L134" s="43" t="s">
        <v>860</v>
      </c>
      <c r="M134" t="s">
        <v>577</v>
      </c>
      <c r="N134" t="s">
        <v>926</v>
      </c>
      <c r="O134" t="s">
        <v>2723</v>
      </c>
      <c r="P134">
        <v>100</v>
      </c>
      <c r="Q134">
        <v>6000</v>
      </c>
      <c r="R134" t="s">
        <v>2465</v>
      </c>
      <c r="S134" s="42" t="str">
        <f>HYPERLINK("https://sklep.kobi.pl/produkt/led-sw-6w-e14-3000k-cb")</f>
        <v>https://sklep.kobi.pl/produkt/led-sw-6w-e14-3000k-cb</v>
      </c>
      <c r="T134" s="42" t="str">
        <f>HYPERLINK("https://eprel.ec.europa.eu/qr/660765         ")</f>
        <v xml:space="preserve">https://eprel.ec.europa.eu/qr/660765         </v>
      </c>
      <c r="U134">
        <v>1.7999999999999999E-2</v>
      </c>
      <c r="V134">
        <v>2.5999999999999999E-2</v>
      </c>
      <c r="W134">
        <v>38</v>
      </c>
      <c r="X134">
        <v>38</v>
      </c>
      <c r="Y134">
        <v>106</v>
      </c>
    </row>
    <row r="135" spans="1:25" ht="15" x14ac:dyDescent="0.25">
      <c r="A135" t="s">
        <v>21</v>
      </c>
      <c r="B135" t="s">
        <v>43</v>
      </c>
      <c r="C135" t="s">
        <v>45</v>
      </c>
      <c r="D135" t="s">
        <v>111</v>
      </c>
      <c r="E135" t="s">
        <v>14</v>
      </c>
      <c r="F135" t="s">
        <v>1818</v>
      </c>
      <c r="G135" t="s">
        <v>216</v>
      </c>
      <c r="H135" t="s">
        <v>879</v>
      </c>
      <c r="I135">
        <v>10.02</v>
      </c>
      <c r="J135" s="41">
        <f>I135/'enter the discount'!$D$7</f>
        <v>2.3453958148026777</v>
      </c>
      <c r="K135" s="41">
        <f>J135*(1-IFERROR(VLOOKUP(H135,'enter the discount'!$D$10:$E$40,2,FALSE),0))</f>
        <v>2.3453958148026777</v>
      </c>
      <c r="L135" s="43" t="s">
        <v>860</v>
      </c>
      <c r="M135" t="s">
        <v>578</v>
      </c>
      <c r="N135" t="s">
        <v>926</v>
      </c>
      <c r="O135" t="s">
        <v>2723</v>
      </c>
      <c r="P135">
        <v>100</v>
      </c>
      <c r="Q135">
        <v>6000</v>
      </c>
      <c r="R135" t="s">
        <v>2465</v>
      </c>
      <c r="S135" s="42" t="str">
        <f>HYPERLINK("https://sklep.kobi.pl/produkt/led-sw-6w-e14-4000k-nb")</f>
        <v>https://sklep.kobi.pl/produkt/led-sw-6w-e14-4000k-nb</v>
      </c>
      <c r="T135" s="42" t="str">
        <f>HYPERLINK("https://eprel.ec.europa.eu/qr/660766         ")</f>
        <v xml:space="preserve">https://eprel.ec.europa.eu/qr/660766         </v>
      </c>
      <c r="U135">
        <v>1.7999999999999999E-2</v>
      </c>
      <c r="V135">
        <v>2.5999999999999999E-2</v>
      </c>
      <c r="W135">
        <v>38</v>
      </c>
      <c r="X135">
        <v>38</v>
      </c>
      <c r="Y135">
        <v>106</v>
      </c>
    </row>
    <row r="136" spans="1:25" ht="15" x14ac:dyDescent="0.25">
      <c r="A136" t="s">
        <v>21</v>
      </c>
      <c r="B136" t="s">
        <v>43</v>
      </c>
      <c r="C136" t="s">
        <v>45</v>
      </c>
      <c r="D136" t="s">
        <v>111</v>
      </c>
      <c r="E136" t="s">
        <v>14</v>
      </c>
      <c r="F136" t="s">
        <v>1819</v>
      </c>
      <c r="G136" t="s">
        <v>217</v>
      </c>
      <c r="H136" t="s">
        <v>879</v>
      </c>
      <c r="I136">
        <v>10.02</v>
      </c>
      <c r="J136" s="41">
        <f>I136/'enter the discount'!$D$7</f>
        <v>2.3453958148026777</v>
      </c>
      <c r="K136" s="41">
        <f>J136*(1-IFERROR(VLOOKUP(H136,'enter the discount'!$D$10:$E$40,2,FALSE),0))</f>
        <v>2.3453958148026777</v>
      </c>
      <c r="L136" s="43" t="s">
        <v>860</v>
      </c>
      <c r="M136" t="s">
        <v>579</v>
      </c>
      <c r="N136" t="s">
        <v>926</v>
      </c>
      <c r="O136" t="s">
        <v>2723</v>
      </c>
      <c r="P136">
        <v>100</v>
      </c>
      <c r="Q136">
        <v>6000</v>
      </c>
      <c r="R136" t="s">
        <v>2465</v>
      </c>
      <c r="S136" s="42" t="str">
        <f>HYPERLINK("https://sklep.kobi.pl/produkt/led-sw-6w-e14-6000k-zb")</f>
        <v>https://sklep.kobi.pl/produkt/led-sw-6w-e14-6000k-zb</v>
      </c>
      <c r="T136" s="42" t="str">
        <f>HYPERLINK("https://eprel.ec.europa.eu/qr/660767         ")</f>
        <v xml:space="preserve">https://eprel.ec.europa.eu/qr/660767         </v>
      </c>
      <c r="U136">
        <v>1.7999999999999999E-2</v>
      </c>
      <c r="V136">
        <v>2.5999999999999999E-2</v>
      </c>
      <c r="W136">
        <v>38</v>
      </c>
      <c r="X136">
        <v>38</v>
      </c>
      <c r="Y136">
        <v>106</v>
      </c>
    </row>
    <row r="137" spans="1:25" ht="15" x14ac:dyDescent="0.25">
      <c r="A137" t="s">
        <v>21</v>
      </c>
      <c r="B137" t="s">
        <v>43</v>
      </c>
      <c r="C137" t="s">
        <v>45</v>
      </c>
      <c r="D137" t="s">
        <v>112</v>
      </c>
      <c r="E137" t="s">
        <v>14</v>
      </c>
      <c r="F137" t="s">
        <v>1820</v>
      </c>
      <c r="G137" t="s">
        <v>218</v>
      </c>
      <c r="H137" t="s">
        <v>879</v>
      </c>
      <c r="I137">
        <v>8</v>
      </c>
      <c r="J137" s="41">
        <f>I137/'enter the discount'!$D$7</f>
        <v>1.8725715088244934</v>
      </c>
      <c r="K137" s="41">
        <f>J137*(1-IFERROR(VLOOKUP(H137,'enter the discount'!$D$10:$E$40,2,FALSE),0))</f>
        <v>1.8725715088244934</v>
      </c>
      <c r="L137" s="43" t="s">
        <v>858</v>
      </c>
      <c r="M137" t="s">
        <v>580</v>
      </c>
      <c r="N137" t="s">
        <v>926</v>
      </c>
      <c r="O137" t="s">
        <v>2723</v>
      </c>
      <c r="P137">
        <v>100</v>
      </c>
      <c r="Q137">
        <v>6000</v>
      </c>
      <c r="R137" t="s">
        <v>2465</v>
      </c>
      <c r="S137" s="42" t="str">
        <f>HYPERLINK("https://sklep.kobi.pl/produkt/led-sw-7w-e14-3000k-led2b")</f>
        <v>https://sklep.kobi.pl/produkt/led-sw-7w-e14-3000k-led2b</v>
      </c>
      <c r="T137" s="42" t="str">
        <f>HYPERLINK("https://eprel.ec.europa.eu/qr/660313         ")</f>
        <v xml:space="preserve">https://eprel.ec.europa.eu/qr/660313         </v>
      </c>
      <c r="U137">
        <v>1.6E-2</v>
      </c>
      <c r="V137">
        <v>2.5000000000000001E-2</v>
      </c>
      <c r="W137">
        <v>45</v>
      </c>
      <c r="X137">
        <v>85</v>
      </c>
      <c r="Y137">
        <v>45</v>
      </c>
    </row>
    <row r="138" spans="1:25" ht="15" x14ac:dyDescent="0.25">
      <c r="A138" t="s">
        <v>21</v>
      </c>
      <c r="B138" t="s">
        <v>43</v>
      </c>
      <c r="C138" t="s">
        <v>45</v>
      </c>
      <c r="D138" t="s">
        <v>112</v>
      </c>
      <c r="E138" t="s">
        <v>14</v>
      </c>
      <c r="F138" t="s">
        <v>1821</v>
      </c>
      <c r="G138" t="s">
        <v>219</v>
      </c>
      <c r="H138" t="s">
        <v>879</v>
      </c>
      <c r="I138">
        <v>8</v>
      </c>
      <c r="J138" s="41">
        <f>I138/'enter the discount'!$D$7</f>
        <v>1.8725715088244934</v>
      </c>
      <c r="K138" s="41">
        <f>J138*(1-IFERROR(VLOOKUP(H138,'enter the discount'!$D$10:$E$40,2,FALSE),0))</f>
        <v>1.8725715088244934</v>
      </c>
      <c r="L138" s="43" t="s">
        <v>858</v>
      </c>
      <c r="M138" t="s">
        <v>581</v>
      </c>
      <c r="N138" t="s">
        <v>926</v>
      </c>
      <c r="O138" t="s">
        <v>2723</v>
      </c>
      <c r="P138">
        <v>100</v>
      </c>
      <c r="Q138">
        <v>6000</v>
      </c>
      <c r="R138" t="s">
        <v>2465</v>
      </c>
      <c r="S138" s="42" t="str">
        <f>HYPERLINK("https://sklep.kobi.pl/produkt/led-sw-7w-e14-4000k-led2b")</f>
        <v>https://sklep.kobi.pl/produkt/led-sw-7w-e14-4000k-led2b</v>
      </c>
      <c r="T138" s="42" t="str">
        <f>HYPERLINK("https://eprel.ec.europa.eu/qr/660314         ")</f>
        <v xml:space="preserve">https://eprel.ec.europa.eu/qr/660314         </v>
      </c>
      <c r="U138">
        <v>1.6E-2</v>
      </c>
      <c r="V138">
        <v>2.5000000000000001E-2</v>
      </c>
      <c r="W138">
        <v>45</v>
      </c>
      <c r="X138">
        <v>85</v>
      </c>
      <c r="Y138">
        <v>45</v>
      </c>
    </row>
    <row r="139" spans="1:25" ht="15" x14ac:dyDescent="0.25">
      <c r="A139" t="s">
        <v>21</v>
      </c>
      <c r="B139" t="s">
        <v>43</v>
      </c>
      <c r="C139" t="s">
        <v>45</v>
      </c>
      <c r="D139" t="s">
        <v>112</v>
      </c>
      <c r="E139" t="s">
        <v>14</v>
      </c>
      <c r="F139" t="s">
        <v>1822</v>
      </c>
      <c r="G139" t="s">
        <v>220</v>
      </c>
      <c r="H139" t="s">
        <v>879</v>
      </c>
      <c r="I139">
        <v>8</v>
      </c>
      <c r="J139" s="41">
        <f>I139/'enter the discount'!$D$7</f>
        <v>1.8725715088244934</v>
      </c>
      <c r="K139" s="41">
        <f>J139*(1-IFERROR(VLOOKUP(H139,'enter the discount'!$D$10:$E$40,2,FALSE),0))</f>
        <v>1.8725715088244934</v>
      </c>
      <c r="L139" s="43" t="s">
        <v>858</v>
      </c>
      <c r="M139" t="s">
        <v>582</v>
      </c>
      <c r="N139" t="s">
        <v>926</v>
      </c>
      <c r="O139" t="s">
        <v>2723</v>
      </c>
      <c r="P139">
        <v>100</v>
      </c>
      <c r="Q139">
        <v>6000</v>
      </c>
      <c r="R139" t="s">
        <v>2465</v>
      </c>
      <c r="S139" s="42" t="str">
        <f>HYPERLINK("https://sklep.kobi.pl/produkt/led-sw-7w-e14-6000k-led2b")</f>
        <v>https://sklep.kobi.pl/produkt/led-sw-7w-e14-6000k-led2b</v>
      </c>
      <c r="T139" s="42" t="str">
        <f>HYPERLINK("https://eprel.ec.europa.eu/qr/660316         ")</f>
        <v xml:space="preserve">https://eprel.ec.europa.eu/qr/660316         </v>
      </c>
      <c r="U139">
        <v>1.6E-2</v>
      </c>
      <c r="V139">
        <v>2.5000000000000001E-2</v>
      </c>
      <c r="W139">
        <v>45</v>
      </c>
      <c r="X139">
        <v>85</v>
      </c>
      <c r="Y139">
        <v>45</v>
      </c>
    </row>
    <row r="140" spans="1:25" ht="15" x14ac:dyDescent="0.25">
      <c r="A140" t="s">
        <v>21</v>
      </c>
      <c r="B140" t="s">
        <v>43</v>
      </c>
      <c r="C140" t="s">
        <v>45</v>
      </c>
      <c r="D140" t="s">
        <v>112</v>
      </c>
      <c r="E140" t="s">
        <v>2721</v>
      </c>
      <c r="F140" t="s">
        <v>2509</v>
      </c>
      <c r="G140" t="s">
        <v>2510</v>
      </c>
      <c r="H140" t="s">
        <v>879</v>
      </c>
      <c r="I140">
        <v>9.5</v>
      </c>
      <c r="J140" s="41">
        <f>I140/'enter the discount'!$D$7</f>
        <v>2.2236786667290858</v>
      </c>
      <c r="K140" s="41">
        <f>J140*(1-IFERROR(VLOOKUP(H140,'enter the discount'!$D$10:$E$40,2,FALSE),0))</f>
        <v>2.2236786667290858</v>
      </c>
      <c r="L140" s="43" t="s">
        <v>858</v>
      </c>
      <c r="M140" t="s">
        <v>2534</v>
      </c>
      <c r="N140" t="s">
        <v>926</v>
      </c>
      <c r="O140" t="s">
        <v>2723</v>
      </c>
      <c r="P140">
        <v>100</v>
      </c>
      <c r="Q140">
        <v>0</v>
      </c>
      <c r="R140" t="s">
        <v>2465</v>
      </c>
      <c r="S140" s="42" t="str">
        <f>HYPERLINK("https://sklep.kobi.pl/produkt/led-sw-85w-e14-3000k-led2b")</f>
        <v>https://sklep.kobi.pl/produkt/led-sw-85w-e14-3000k-led2b</v>
      </c>
      <c r="T140" s="42" t="str">
        <f>HYPERLINK("https://eprel.ec.europa.eu/qr/2044560        ")</f>
        <v xml:space="preserve">https://eprel.ec.europa.eu/qr/2044560        </v>
      </c>
      <c r="U140">
        <v>0.02</v>
      </c>
      <c r="V140">
        <v>0</v>
      </c>
      <c r="W140">
        <v>0</v>
      </c>
      <c r="X140">
        <v>0</v>
      </c>
      <c r="Y140">
        <v>0</v>
      </c>
    </row>
    <row r="141" spans="1:25" ht="15" x14ac:dyDescent="0.25">
      <c r="A141" t="s">
        <v>21</v>
      </c>
      <c r="B141" t="s">
        <v>43</v>
      </c>
      <c r="C141" t="s">
        <v>45</v>
      </c>
      <c r="D141" t="s">
        <v>112</v>
      </c>
      <c r="E141" t="s">
        <v>2721</v>
      </c>
      <c r="F141" t="s">
        <v>2511</v>
      </c>
      <c r="G141" t="s">
        <v>2512</v>
      </c>
      <c r="H141" t="s">
        <v>879</v>
      </c>
      <c r="I141">
        <v>9.5</v>
      </c>
      <c r="J141" s="41">
        <f>I141/'enter the discount'!$D$7</f>
        <v>2.2236786667290858</v>
      </c>
      <c r="K141" s="41">
        <f>J141*(1-IFERROR(VLOOKUP(H141,'enter the discount'!$D$10:$E$40,2,FALSE),0))</f>
        <v>2.2236786667290858</v>
      </c>
      <c r="L141" s="43" t="s">
        <v>858</v>
      </c>
      <c r="M141" t="s">
        <v>2535</v>
      </c>
      <c r="N141" t="s">
        <v>926</v>
      </c>
      <c r="O141" t="s">
        <v>2723</v>
      </c>
      <c r="P141">
        <v>100</v>
      </c>
      <c r="Q141">
        <v>0</v>
      </c>
      <c r="R141" t="s">
        <v>2465</v>
      </c>
      <c r="S141" s="42" t="str">
        <f>HYPERLINK("https://sklep.kobi.pl/produkt/led-sw-85w-e14-4000k-led2b")</f>
        <v>https://sklep.kobi.pl/produkt/led-sw-85w-e14-4000k-led2b</v>
      </c>
      <c r="T141" s="42" t="str">
        <f>HYPERLINK("https://eprel.ec.europa.eu/qr/2044571        ")</f>
        <v xml:space="preserve">https://eprel.ec.europa.eu/qr/2044571        </v>
      </c>
      <c r="U141">
        <v>0.02</v>
      </c>
      <c r="V141">
        <v>0</v>
      </c>
      <c r="W141">
        <v>0</v>
      </c>
      <c r="X141">
        <v>0</v>
      </c>
      <c r="Y141">
        <v>0</v>
      </c>
    </row>
    <row r="142" spans="1:25" ht="15" x14ac:dyDescent="0.25">
      <c r="A142" t="s">
        <v>21</v>
      </c>
      <c r="B142" t="s">
        <v>43</v>
      </c>
      <c r="C142" t="s">
        <v>45</v>
      </c>
      <c r="D142" t="s">
        <v>112</v>
      </c>
      <c r="E142" t="s">
        <v>2721</v>
      </c>
      <c r="F142" t="s">
        <v>2513</v>
      </c>
      <c r="G142" t="s">
        <v>2514</v>
      </c>
      <c r="H142" t="s">
        <v>879</v>
      </c>
      <c r="I142">
        <v>9.5</v>
      </c>
      <c r="J142" s="41">
        <f>I142/'enter the discount'!$D$7</f>
        <v>2.2236786667290858</v>
      </c>
      <c r="K142" s="41">
        <f>J142*(1-IFERROR(VLOOKUP(H142,'enter the discount'!$D$10:$E$40,2,FALSE),0))</f>
        <v>2.2236786667290858</v>
      </c>
      <c r="L142" s="43" t="s">
        <v>858</v>
      </c>
      <c r="M142" t="s">
        <v>2536</v>
      </c>
      <c r="N142" t="s">
        <v>926</v>
      </c>
      <c r="O142" t="s">
        <v>2723</v>
      </c>
      <c r="P142">
        <v>100</v>
      </c>
      <c r="Q142">
        <v>0</v>
      </c>
      <c r="R142" t="s">
        <v>2465</v>
      </c>
      <c r="S142" s="42" t="str">
        <f>HYPERLINK("https://sklep.kobi.pl/produkt/led-sw-85w-e14-6500k-led2b")</f>
        <v>https://sklep.kobi.pl/produkt/led-sw-85w-e14-6500k-led2b</v>
      </c>
      <c r="T142" s="42" t="str">
        <f>HYPERLINK("https://eprel.ec.europa.eu/qr/2044594        ")</f>
        <v xml:space="preserve">https://eprel.ec.europa.eu/qr/2044594        </v>
      </c>
      <c r="U142">
        <v>0.02</v>
      </c>
      <c r="V142">
        <v>0</v>
      </c>
      <c r="W142">
        <v>0</v>
      </c>
      <c r="X142">
        <v>0</v>
      </c>
      <c r="Y142">
        <v>0</v>
      </c>
    </row>
    <row r="143" spans="1:25" ht="15" x14ac:dyDescent="0.25">
      <c r="A143" t="s">
        <v>21</v>
      </c>
      <c r="B143" t="s">
        <v>43</v>
      </c>
      <c r="C143" t="s">
        <v>45</v>
      </c>
      <c r="D143" t="s">
        <v>113</v>
      </c>
      <c r="E143" t="s">
        <v>14</v>
      </c>
      <c r="F143" t="s">
        <v>1823</v>
      </c>
      <c r="G143" t="s">
        <v>221</v>
      </c>
      <c r="H143" t="s">
        <v>879</v>
      </c>
      <c r="I143">
        <v>21.2</v>
      </c>
      <c r="J143" s="41">
        <f>I143/'enter the discount'!$D$7</f>
        <v>4.9623144983849068</v>
      </c>
      <c r="K143" s="41">
        <f>J143*(1-IFERROR(VLOOKUP(H143,'enter the discount'!$D$10:$E$40,2,FALSE),0))</f>
        <v>4.9623144983849068</v>
      </c>
      <c r="L143" s="43" t="s">
        <v>858</v>
      </c>
      <c r="M143" t="s">
        <v>583</v>
      </c>
      <c r="N143" t="s">
        <v>926</v>
      </c>
      <c r="O143" t="s">
        <v>2723</v>
      </c>
      <c r="P143">
        <v>100</v>
      </c>
      <c r="Q143">
        <v>3600</v>
      </c>
      <c r="R143" t="s">
        <v>2465</v>
      </c>
      <c r="S143" s="42" t="str">
        <f>HYPERLINK("https://sklep.kobi.pl/produkt/led-sw-9w-e14-3000k-cb-premium")</f>
        <v>https://sklep.kobi.pl/produkt/led-sw-9w-e14-3000k-cb-premium</v>
      </c>
      <c r="T143" s="42" t="str">
        <f>HYPERLINK("https://eprel.ec.europa.eu/qr/660768         ")</f>
        <v xml:space="preserve">https://eprel.ec.europa.eu/qr/660768         </v>
      </c>
      <c r="U143">
        <v>4.4999999999999998E-2</v>
      </c>
      <c r="V143">
        <v>6.3E-2</v>
      </c>
      <c r="W143">
        <v>46</v>
      </c>
      <c r="X143">
        <v>46</v>
      </c>
      <c r="Y143">
        <v>125</v>
      </c>
    </row>
    <row r="144" spans="1:25" ht="15" x14ac:dyDescent="0.25">
      <c r="A144" t="s">
        <v>21</v>
      </c>
      <c r="B144" t="s">
        <v>43</v>
      </c>
      <c r="C144" t="s">
        <v>45</v>
      </c>
      <c r="D144" t="s">
        <v>113</v>
      </c>
      <c r="E144" t="s">
        <v>14</v>
      </c>
      <c r="F144" t="s">
        <v>1824</v>
      </c>
      <c r="G144" t="s">
        <v>222</v>
      </c>
      <c r="H144" t="s">
        <v>879</v>
      </c>
      <c r="I144">
        <v>21.2</v>
      </c>
      <c r="J144" s="41">
        <f>I144/'enter the discount'!$D$7</f>
        <v>4.9623144983849068</v>
      </c>
      <c r="K144" s="41">
        <f>J144*(1-IFERROR(VLOOKUP(H144,'enter the discount'!$D$10:$E$40,2,FALSE),0))</f>
        <v>4.9623144983849068</v>
      </c>
      <c r="L144" s="43" t="s">
        <v>858</v>
      </c>
      <c r="M144" t="s">
        <v>584</v>
      </c>
      <c r="N144" t="s">
        <v>926</v>
      </c>
      <c r="O144" t="s">
        <v>2723</v>
      </c>
      <c r="P144">
        <v>100</v>
      </c>
      <c r="Q144">
        <v>3600</v>
      </c>
      <c r="R144" t="s">
        <v>2465</v>
      </c>
      <c r="S144" s="42" t="str">
        <f>HYPERLINK("https://sklep.kobi.pl/produkt/led-sw-9w-e14-4000k-nb-premium")</f>
        <v>https://sklep.kobi.pl/produkt/led-sw-9w-e14-4000k-nb-premium</v>
      </c>
      <c r="T144" s="42" t="str">
        <f>HYPERLINK("https://eprel.ec.europa.eu/qr/660769         ")</f>
        <v xml:space="preserve">https://eprel.ec.europa.eu/qr/660769         </v>
      </c>
      <c r="U144">
        <v>4.4999999999999998E-2</v>
      </c>
      <c r="V144">
        <v>6.3E-2</v>
      </c>
      <c r="W144">
        <v>45</v>
      </c>
      <c r="X144">
        <v>47</v>
      </c>
      <c r="Y144">
        <v>125</v>
      </c>
    </row>
    <row r="145" spans="1:25" ht="15" x14ac:dyDescent="0.25">
      <c r="A145" t="s">
        <v>21</v>
      </c>
      <c r="B145" t="s">
        <v>43</v>
      </c>
      <c r="C145" t="s">
        <v>45</v>
      </c>
      <c r="D145" t="s">
        <v>113</v>
      </c>
      <c r="E145" t="s">
        <v>14</v>
      </c>
      <c r="F145" t="s">
        <v>1825</v>
      </c>
      <c r="G145" t="s">
        <v>223</v>
      </c>
      <c r="H145" t="s">
        <v>879</v>
      </c>
      <c r="I145">
        <v>21.2</v>
      </c>
      <c r="J145" s="41">
        <f>I145/'enter the discount'!$D$7</f>
        <v>4.9623144983849068</v>
      </c>
      <c r="K145" s="41">
        <f>J145*(1-IFERROR(VLOOKUP(H145,'enter the discount'!$D$10:$E$40,2,FALSE),0))</f>
        <v>4.9623144983849068</v>
      </c>
      <c r="L145" s="43" t="s">
        <v>858</v>
      </c>
      <c r="M145" t="s">
        <v>585</v>
      </c>
      <c r="N145" t="s">
        <v>926</v>
      </c>
      <c r="O145" t="s">
        <v>2723</v>
      </c>
      <c r="P145">
        <v>100</v>
      </c>
      <c r="Q145">
        <v>3600</v>
      </c>
      <c r="R145" t="s">
        <v>2465</v>
      </c>
      <c r="S145" s="42" t="str">
        <f>HYPERLINK("https://sklep.kobi.pl/produkt/led-sw-9w-e14-6000k-zb-premium")</f>
        <v>https://sklep.kobi.pl/produkt/led-sw-9w-e14-6000k-zb-premium</v>
      </c>
      <c r="T145" s="42" t="str">
        <f>HYPERLINK("https://eprel.ec.europa.eu/qr/660771         ")</f>
        <v xml:space="preserve">https://eprel.ec.europa.eu/qr/660771         </v>
      </c>
      <c r="U145">
        <v>4.4999999999999998E-2</v>
      </c>
      <c r="V145">
        <v>6.3E-2</v>
      </c>
      <c r="W145">
        <v>50</v>
      </c>
      <c r="X145">
        <v>125</v>
      </c>
      <c r="Y145">
        <v>45</v>
      </c>
    </row>
    <row r="146" spans="1:25" ht="15" x14ac:dyDescent="0.25">
      <c r="A146" t="s">
        <v>21</v>
      </c>
      <c r="B146" t="s">
        <v>43</v>
      </c>
      <c r="C146" t="s">
        <v>46</v>
      </c>
      <c r="D146" t="s">
        <v>111</v>
      </c>
      <c r="E146" t="s">
        <v>2722</v>
      </c>
      <c r="F146" t="s">
        <v>1826</v>
      </c>
      <c r="G146" t="s">
        <v>224</v>
      </c>
      <c r="H146" t="s">
        <v>879</v>
      </c>
      <c r="I146">
        <v>9.33</v>
      </c>
      <c r="J146" s="41">
        <f>I146/'enter the discount'!$D$7</f>
        <v>2.1838865221665653</v>
      </c>
      <c r="K146" s="41">
        <f>J146*(1-IFERROR(VLOOKUP(H146,'enter the discount'!$D$10:$E$40,2,FALSE),0))</f>
        <v>2.1838865221665653</v>
      </c>
      <c r="L146" s="43" t="s">
        <v>858</v>
      </c>
      <c r="M146" t="s">
        <v>586</v>
      </c>
      <c r="N146" t="s">
        <v>926</v>
      </c>
      <c r="O146" t="s">
        <v>2723</v>
      </c>
      <c r="P146">
        <v>100</v>
      </c>
      <c r="Q146">
        <v>0</v>
      </c>
      <c r="R146" t="s">
        <v>2465</v>
      </c>
      <c r="S146" s="42" t="str">
        <f>HYPERLINK("https://sklep.kobi.pl/produkt/led-sw-45w-e27-3000k-cb")</f>
        <v>https://sklep.kobi.pl/produkt/led-sw-45w-e27-3000k-cb</v>
      </c>
      <c r="T146" s="42" t="str">
        <f>HYPERLINK("https://eprel.ec.europa.eu/qr/660774         ")</f>
        <v xml:space="preserve">https://eprel.ec.europa.eu/qr/660774         </v>
      </c>
      <c r="U146">
        <v>0.02</v>
      </c>
      <c r="V146">
        <v>3.1E-2</v>
      </c>
      <c r="W146">
        <v>39</v>
      </c>
      <c r="X146">
        <v>39</v>
      </c>
      <c r="Y146">
        <v>108</v>
      </c>
    </row>
    <row r="147" spans="1:25" ht="15" x14ac:dyDescent="0.25">
      <c r="A147" t="s">
        <v>21</v>
      </c>
      <c r="B147" t="s">
        <v>43</v>
      </c>
      <c r="C147" t="s">
        <v>46</v>
      </c>
      <c r="D147" t="s">
        <v>111</v>
      </c>
      <c r="E147" t="s">
        <v>14</v>
      </c>
      <c r="F147" t="s">
        <v>1827</v>
      </c>
      <c r="G147" t="s">
        <v>225</v>
      </c>
      <c r="H147" t="s">
        <v>879</v>
      </c>
      <c r="I147">
        <v>10.02</v>
      </c>
      <c r="J147" s="41">
        <f>I147/'enter the discount'!$D$7</f>
        <v>2.3453958148026777</v>
      </c>
      <c r="K147" s="41">
        <f>J147*(1-IFERROR(VLOOKUP(H147,'enter the discount'!$D$10:$E$40,2,FALSE),0))</f>
        <v>2.3453958148026777</v>
      </c>
      <c r="L147" s="43" t="s">
        <v>860</v>
      </c>
      <c r="M147" t="s">
        <v>587</v>
      </c>
      <c r="N147" t="s">
        <v>926</v>
      </c>
      <c r="O147" t="s">
        <v>2723</v>
      </c>
      <c r="P147">
        <v>100</v>
      </c>
      <c r="Q147">
        <v>0</v>
      </c>
      <c r="R147" t="s">
        <v>2465</v>
      </c>
      <c r="S147" s="42" t="str">
        <f>HYPERLINK("https://sklep.kobi.pl/produkt/led-sw-6w-e27-3000k-cb")</f>
        <v>https://sklep.kobi.pl/produkt/led-sw-6w-e27-3000k-cb</v>
      </c>
      <c r="T147" s="42" t="str">
        <f>HYPERLINK("https://eprel.ec.europa.eu/qr/660782         ")</f>
        <v xml:space="preserve">https://eprel.ec.europa.eu/qr/660782         </v>
      </c>
      <c r="U147">
        <v>0.02</v>
      </c>
      <c r="V147">
        <v>2.9000000000000001E-2</v>
      </c>
      <c r="W147">
        <v>40</v>
      </c>
      <c r="X147">
        <v>38</v>
      </c>
      <c r="Y147">
        <v>106</v>
      </c>
    </row>
    <row r="148" spans="1:25" ht="15" x14ac:dyDescent="0.25">
      <c r="A148" t="s">
        <v>21</v>
      </c>
      <c r="B148" t="s">
        <v>43</v>
      </c>
      <c r="C148" t="s">
        <v>46</v>
      </c>
      <c r="D148" t="s">
        <v>111</v>
      </c>
      <c r="E148" t="s">
        <v>14</v>
      </c>
      <c r="F148" t="s">
        <v>1828</v>
      </c>
      <c r="G148" t="s">
        <v>226</v>
      </c>
      <c r="H148" t="s">
        <v>879</v>
      </c>
      <c r="I148">
        <v>10.02</v>
      </c>
      <c r="J148" s="41">
        <f>I148/'enter the discount'!$D$7</f>
        <v>2.3453958148026777</v>
      </c>
      <c r="K148" s="41">
        <f>J148*(1-IFERROR(VLOOKUP(H148,'enter the discount'!$D$10:$E$40,2,FALSE),0))</f>
        <v>2.3453958148026777</v>
      </c>
      <c r="L148" s="43" t="s">
        <v>860</v>
      </c>
      <c r="M148" t="s">
        <v>588</v>
      </c>
      <c r="N148" t="s">
        <v>926</v>
      </c>
      <c r="O148" t="s">
        <v>2723</v>
      </c>
      <c r="P148">
        <v>100</v>
      </c>
      <c r="Q148">
        <v>0</v>
      </c>
      <c r="R148" t="s">
        <v>2465</v>
      </c>
      <c r="S148" s="42" t="str">
        <f>HYPERLINK("https://sklep.kobi.pl/produkt/led-sw-6w-e27-4000k-nb")</f>
        <v>https://sklep.kobi.pl/produkt/led-sw-6w-e27-4000k-nb</v>
      </c>
      <c r="T148" s="42" t="str">
        <f>HYPERLINK("https://eprel.ec.europa.eu/qr/660784         ")</f>
        <v xml:space="preserve">https://eprel.ec.europa.eu/qr/660784         </v>
      </c>
      <c r="U148">
        <v>0.02</v>
      </c>
      <c r="V148">
        <v>2.9000000000000001E-2</v>
      </c>
      <c r="W148">
        <v>38</v>
      </c>
      <c r="X148">
        <v>38</v>
      </c>
      <c r="Y148">
        <v>106</v>
      </c>
    </row>
    <row r="149" spans="1:25" ht="15" x14ac:dyDescent="0.25">
      <c r="A149" t="s">
        <v>21</v>
      </c>
      <c r="B149" t="s">
        <v>43</v>
      </c>
      <c r="C149" t="s">
        <v>46</v>
      </c>
      <c r="D149" t="s">
        <v>111</v>
      </c>
      <c r="E149" t="s">
        <v>14</v>
      </c>
      <c r="F149" t="s">
        <v>1829</v>
      </c>
      <c r="G149" t="s">
        <v>227</v>
      </c>
      <c r="H149" t="s">
        <v>879</v>
      </c>
      <c r="I149">
        <v>10.02</v>
      </c>
      <c r="J149" s="41">
        <f>I149/'enter the discount'!$D$7</f>
        <v>2.3453958148026777</v>
      </c>
      <c r="K149" s="41">
        <f>J149*(1-IFERROR(VLOOKUP(H149,'enter the discount'!$D$10:$E$40,2,FALSE),0))</f>
        <v>2.3453958148026777</v>
      </c>
      <c r="L149" s="43" t="s">
        <v>860</v>
      </c>
      <c r="M149" t="s">
        <v>589</v>
      </c>
      <c r="N149" t="s">
        <v>926</v>
      </c>
      <c r="O149" t="s">
        <v>2723</v>
      </c>
      <c r="P149">
        <v>100</v>
      </c>
      <c r="Q149">
        <v>0</v>
      </c>
      <c r="R149" t="s">
        <v>2465</v>
      </c>
      <c r="S149" s="42" t="str">
        <f>HYPERLINK("https://sklep.kobi.pl/produkt/led-sw-6w-e27-6000k-zb")</f>
        <v>https://sklep.kobi.pl/produkt/led-sw-6w-e27-6000k-zb</v>
      </c>
      <c r="T149" s="42" t="str">
        <f>HYPERLINK("https://eprel.ec.europa.eu/qr/660786         ")</f>
        <v xml:space="preserve">https://eprel.ec.europa.eu/qr/660786         </v>
      </c>
      <c r="U149">
        <v>0.02</v>
      </c>
      <c r="V149">
        <v>2.9000000000000001E-2</v>
      </c>
      <c r="W149">
        <v>38</v>
      </c>
      <c r="X149">
        <v>38</v>
      </c>
      <c r="Y149">
        <v>106</v>
      </c>
    </row>
    <row r="150" spans="1:25" ht="15" x14ac:dyDescent="0.25">
      <c r="A150" t="s">
        <v>21</v>
      </c>
      <c r="B150" t="s">
        <v>43</v>
      </c>
      <c r="C150" t="s">
        <v>46</v>
      </c>
      <c r="D150" t="s">
        <v>112</v>
      </c>
      <c r="E150" t="s">
        <v>14</v>
      </c>
      <c r="F150" t="s">
        <v>1830</v>
      </c>
      <c r="G150" t="s">
        <v>228</v>
      </c>
      <c r="H150" t="s">
        <v>879</v>
      </c>
      <c r="I150">
        <v>8</v>
      </c>
      <c r="J150" s="41">
        <f>I150/'enter the discount'!$D$7</f>
        <v>1.8725715088244934</v>
      </c>
      <c r="K150" s="41">
        <f>J150*(1-IFERROR(VLOOKUP(H150,'enter the discount'!$D$10:$E$40,2,FALSE),0))</f>
        <v>1.8725715088244934</v>
      </c>
      <c r="L150" s="43" t="s">
        <v>858</v>
      </c>
      <c r="M150" t="s">
        <v>590</v>
      </c>
      <c r="N150" t="s">
        <v>926</v>
      </c>
      <c r="O150" t="s">
        <v>2723</v>
      </c>
      <c r="P150">
        <v>100</v>
      </c>
      <c r="Q150">
        <v>6000</v>
      </c>
      <c r="R150" t="s">
        <v>2465</v>
      </c>
      <c r="S150" s="42" t="str">
        <f>HYPERLINK("https://sklep.kobi.pl/produkt/led-sw-7w-e27-3000k-led2b")</f>
        <v>https://sklep.kobi.pl/produkt/led-sw-7w-e27-3000k-led2b</v>
      </c>
      <c r="T150" s="42" t="str">
        <f>HYPERLINK("https://eprel.ec.europa.eu/qr/660526         ")</f>
        <v xml:space="preserve">https://eprel.ec.europa.eu/qr/660526         </v>
      </c>
      <c r="U150">
        <v>1.9E-2</v>
      </c>
      <c r="V150">
        <v>2.9000000000000001E-2</v>
      </c>
      <c r="W150">
        <v>45</v>
      </c>
      <c r="X150">
        <v>85</v>
      </c>
      <c r="Y150">
        <v>45</v>
      </c>
    </row>
    <row r="151" spans="1:25" ht="15" x14ac:dyDescent="0.25">
      <c r="A151" t="s">
        <v>21</v>
      </c>
      <c r="B151" t="s">
        <v>43</v>
      </c>
      <c r="C151" t="s">
        <v>46</v>
      </c>
      <c r="D151" t="s">
        <v>112</v>
      </c>
      <c r="E151" t="s">
        <v>14</v>
      </c>
      <c r="F151" t="s">
        <v>1831</v>
      </c>
      <c r="G151" t="s">
        <v>229</v>
      </c>
      <c r="H151" t="s">
        <v>879</v>
      </c>
      <c r="I151">
        <v>8</v>
      </c>
      <c r="J151" s="41">
        <f>I151/'enter the discount'!$D$7</f>
        <v>1.8725715088244934</v>
      </c>
      <c r="K151" s="41">
        <f>J151*(1-IFERROR(VLOOKUP(H151,'enter the discount'!$D$10:$E$40,2,FALSE),0))</f>
        <v>1.8725715088244934</v>
      </c>
      <c r="L151" s="43" t="s">
        <v>858</v>
      </c>
      <c r="M151" t="s">
        <v>591</v>
      </c>
      <c r="N151" t="s">
        <v>926</v>
      </c>
      <c r="O151" t="s">
        <v>2723</v>
      </c>
      <c r="P151">
        <v>100</v>
      </c>
      <c r="Q151">
        <v>6000</v>
      </c>
      <c r="R151" t="s">
        <v>2465</v>
      </c>
      <c r="S151" s="42" t="str">
        <f>HYPERLINK("https://sklep.kobi.pl/produkt/led-sw-7w-e27-4000k-led2b")</f>
        <v>https://sklep.kobi.pl/produkt/led-sw-7w-e27-4000k-led2b</v>
      </c>
      <c r="T151" s="42" t="str">
        <f>HYPERLINK("https://eprel.ec.europa.eu/qr/660607         ")</f>
        <v xml:space="preserve">https://eprel.ec.europa.eu/qr/660607         </v>
      </c>
      <c r="U151">
        <v>1.9E-2</v>
      </c>
      <c r="V151">
        <v>2.9000000000000001E-2</v>
      </c>
      <c r="W151">
        <v>45</v>
      </c>
      <c r="X151">
        <v>85</v>
      </c>
      <c r="Y151">
        <v>45</v>
      </c>
    </row>
    <row r="152" spans="1:25" ht="15" x14ac:dyDescent="0.25">
      <c r="A152" t="s">
        <v>21</v>
      </c>
      <c r="B152" t="s">
        <v>43</v>
      </c>
      <c r="C152" t="s">
        <v>46</v>
      </c>
      <c r="D152" t="s">
        <v>112</v>
      </c>
      <c r="E152" t="s">
        <v>14</v>
      </c>
      <c r="F152" t="s">
        <v>1832</v>
      </c>
      <c r="G152" t="s">
        <v>230</v>
      </c>
      <c r="H152" t="s">
        <v>879</v>
      </c>
      <c r="I152">
        <v>8</v>
      </c>
      <c r="J152" s="41">
        <f>I152/'enter the discount'!$D$7</f>
        <v>1.8725715088244934</v>
      </c>
      <c r="K152" s="41">
        <f>J152*(1-IFERROR(VLOOKUP(H152,'enter the discount'!$D$10:$E$40,2,FALSE),0))</f>
        <v>1.8725715088244934</v>
      </c>
      <c r="L152" s="43" t="s">
        <v>858</v>
      </c>
      <c r="M152" t="s">
        <v>592</v>
      </c>
      <c r="N152" t="s">
        <v>926</v>
      </c>
      <c r="O152" t="s">
        <v>2723</v>
      </c>
      <c r="P152">
        <v>100</v>
      </c>
      <c r="Q152">
        <v>6000</v>
      </c>
      <c r="R152" t="s">
        <v>2465</v>
      </c>
      <c r="S152" s="42" t="str">
        <f>HYPERLINK("https://sklep.kobi.pl/produkt/led-sw-7w-e27-6000k-led2b")</f>
        <v>https://sklep.kobi.pl/produkt/led-sw-7w-e27-6000k-led2b</v>
      </c>
      <c r="T152" s="42" t="str">
        <f>HYPERLINK("https://eprel.ec.europa.eu/qr/660609         ")</f>
        <v xml:space="preserve">https://eprel.ec.europa.eu/qr/660609         </v>
      </c>
      <c r="U152">
        <v>1.9E-2</v>
      </c>
      <c r="V152">
        <v>2.9000000000000001E-2</v>
      </c>
      <c r="W152">
        <v>45</v>
      </c>
      <c r="X152">
        <v>85</v>
      </c>
      <c r="Y152">
        <v>45</v>
      </c>
    </row>
    <row r="153" spans="1:25" ht="15" x14ac:dyDescent="0.25">
      <c r="A153" t="s">
        <v>21</v>
      </c>
      <c r="B153" t="s">
        <v>43</v>
      </c>
      <c r="C153" t="s">
        <v>46</v>
      </c>
      <c r="D153" t="s">
        <v>112</v>
      </c>
      <c r="E153" t="s">
        <v>2721</v>
      </c>
      <c r="F153" t="s">
        <v>2515</v>
      </c>
      <c r="G153" t="s">
        <v>2516</v>
      </c>
      <c r="H153" t="s">
        <v>879</v>
      </c>
      <c r="I153">
        <v>9.5</v>
      </c>
      <c r="J153" s="41">
        <f>I153/'enter the discount'!$D$7</f>
        <v>2.2236786667290858</v>
      </c>
      <c r="K153" s="41">
        <f>J153*(1-IFERROR(VLOOKUP(H153,'enter the discount'!$D$10:$E$40,2,FALSE),0))</f>
        <v>2.2236786667290858</v>
      </c>
      <c r="L153" s="43" t="s">
        <v>858</v>
      </c>
      <c r="M153" t="s">
        <v>2537</v>
      </c>
      <c r="N153" t="s">
        <v>926</v>
      </c>
      <c r="O153" t="s">
        <v>2723</v>
      </c>
      <c r="P153">
        <v>100</v>
      </c>
      <c r="Q153">
        <v>0</v>
      </c>
      <c r="R153" t="s">
        <v>2465</v>
      </c>
      <c r="S153" s="42" t="str">
        <f>HYPERLINK("https://sklep.kobi.pl/produkt/led-sw-85w-e27-3000k-led2b")</f>
        <v>https://sklep.kobi.pl/produkt/led-sw-85w-e27-3000k-led2b</v>
      </c>
      <c r="T153" s="42" t="str">
        <f>HYPERLINK("https://eprel.ec.europa.eu/qr/2044603        ")</f>
        <v xml:space="preserve">https://eprel.ec.europa.eu/qr/2044603        </v>
      </c>
      <c r="U153">
        <v>0.02</v>
      </c>
      <c r="V153">
        <v>0</v>
      </c>
      <c r="W153">
        <v>0</v>
      </c>
      <c r="X153">
        <v>0</v>
      </c>
      <c r="Y153">
        <v>0</v>
      </c>
    </row>
    <row r="154" spans="1:25" ht="15" x14ac:dyDescent="0.25">
      <c r="A154" t="s">
        <v>21</v>
      </c>
      <c r="B154" t="s">
        <v>43</v>
      </c>
      <c r="C154" t="s">
        <v>46</v>
      </c>
      <c r="D154" t="s">
        <v>112</v>
      </c>
      <c r="E154" t="s">
        <v>2721</v>
      </c>
      <c r="F154" t="s">
        <v>2517</v>
      </c>
      <c r="G154" t="s">
        <v>2518</v>
      </c>
      <c r="H154" t="s">
        <v>879</v>
      </c>
      <c r="I154">
        <v>9.5</v>
      </c>
      <c r="J154" s="41">
        <f>I154/'enter the discount'!$D$7</f>
        <v>2.2236786667290858</v>
      </c>
      <c r="K154" s="41">
        <f>J154*(1-IFERROR(VLOOKUP(H154,'enter the discount'!$D$10:$E$40,2,FALSE),0))</f>
        <v>2.2236786667290858</v>
      </c>
      <c r="L154" s="43" t="s">
        <v>858</v>
      </c>
      <c r="M154" t="s">
        <v>2538</v>
      </c>
      <c r="N154" t="s">
        <v>926</v>
      </c>
      <c r="O154" t="s">
        <v>2723</v>
      </c>
      <c r="P154">
        <v>100</v>
      </c>
      <c r="Q154">
        <v>0</v>
      </c>
      <c r="R154" t="s">
        <v>2465</v>
      </c>
      <c r="S154" s="42" t="str">
        <f>HYPERLINK("https://sklep.kobi.pl/produkt/led-sw-85w-e27-4000k-led2b")</f>
        <v>https://sklep.kobi.pl/produkt/led-sw-85w-e27-4000k-led2b</v>
      </c>
      <c r="T154" s="42" t="str">
        <f>HYPERLINK("https://eprel.ec.europa.eu/qr/2044637        ")</f>
        <v xml:space="preserve">https://eprel.ec.europa.eu/qr/2044637        </v>
      </c>
      <c r="U154">
        <v>0.02</v>
      </c>
      <c r="V154">
        <v>0</v>
      </c>
      <c r="W154">
        <v>0</v>
      </c>
      <c r="X154">
        <v>0</v>
      </c>
      <c r="Y154">
        <v>0</v>
      </c>
    </row>
    <row r="155" spans="1:25" ht="15" x14ac:dyDescent="0.25">
      <c r="A155" t="s">
        <v>21</v>
      </c>
      <c r="B155" t="s">
        <v>43</v>
      </c>
      <c r="C155" t="s">
        <v>46</v>
      </c>
      <c r="D155" t="s">
        <v>112</v>
      </c>
      <c r="E155" t="s">
        <v>2721</v>
      </c>
      <c r="F155" t="s">
        <v>2519</v>
      </c>
      <c r="G155" t="s">
        <v>2520</v>
      </c>
      <c r="H155" t="s">
        <v>879</v>
      </c>
      <c r="I155">
        <v>9.5</v>
      </c>
      <c r="J155" s="41">
        <f>I155/'enter the discount'!$D$7</f>
        <v>2.2236786667290858</v>
      </c>
      <c r="K155" s="41">
        <f>J155*(1-IFERROR(VLOOKUP(H155,'enter the discount'!$D$10:$E$40,2,FALSE),0))</f>
        <v>2.2236786667290858</v>
      </c>
      <c r="L155" s="43" t="s">
        <v>858</v>
      </c>
      <c r="M155" t="s">
        <v>2539</v>
      </c>
      <c r="N155" t="s">
        <v>926</v>
      </c>
      <c r="O155" t="s">
        <v>2723</v>
      </c>
      <c r="P155">
        <v>100</v>
      </c>
      <c r="Q155">
        <v>0</v>
      </c>
      <c r="R155" t="s">
        <v>2465</v>
      </c>
      <c r="S155" s="42" t="str">
        <f>HYPERLINK("https://sklep.kobi.pl/produkt/led-sw-85w-e27-6500k-led2b")</f>
        <v>https://sklep.kobi.pl/produkt/led-sw-85w-e27-6500k-led2b</v>
      </c>
      <c r="T155" s="42" t="str">
        <f>HYPERLINK("https://eprel.ec.europa.eu/qr/2044649        ")</f>
        <v xml:space="preserve">https://eprel.ec.europa.eu/qr/2044649        </v>
      </c>
      <c r="U155">
        <v>0.02</v>
      </c>
      <c r="V155">
        <v>0</v>
      </c>
      <c r="W155">
        <v>0</v>
      </c>
      <c r="X155">
        <v>0</v>
      </c>
      <c r="Y155">
        <v>0</v>
      </c>
    </row>
    <row r="156" spans="1:25" ht="15" x14ac:dyDescent="0.25">
      <c r="A156" t="s">
        <v>21</v>
      </c>
      <c r="B156" t="s">
        <v>43</v>
      </c>
      <c r="C156" t="s">
        <v>46</v>
      </c>
      <c r="D156" t="s">
        <v>113</v>
      </c>
      <c r="E156" t="s">
        <v>14</v>
      </c>
      <c r="F156" t="s">
        <v>1833</v>
      </c>
      <c r="G156" t="s">
        <v>231</v>
      </c>
      <c r="H156" t="s">
        <v>879</v>
      </c>
      <c r="I156">
        <v>21.2</v>
      </c>
      <c r="J156" s="41">
        <f>I156/'enter the discount'!$D$7</f>
        <v>4.9623144983849068</v>
      </c>
      <c r="K156" s="41">
        <f>J156*(1-IFERROR(VLOOKUP(H156,'enter the discount'!$D$10:$E$40,2,FALSE),0))</f>
        <v>4.9623144983849068</v>
      </c>
      <c r="L156" s="43" t="s">
        <v>858</v>
      </c>
      <c r="M156" t="s">
        <v>593</v>
      </c>
      <c r="N156" t="s">
        <v>926</v>
      </c>
      <c r="O156" t="s">
        <v>2723</v>
      </c>
      <c r="P156">
        <v>100</v>
      </c>
      <c r="Q156">
        <v>3600</v>
      </c>
      <c r="R156" t="s">
        <v>2465</v>
      </c>
      <c r="S156" s="42" t="str">
        <f>HYPERLINK("https://sklep.kobi.pl/produkt/led-sw-9w-e27-3000k-cb-premium")</f>
        <v>https://sklep.kobi.pl/produkt/led-sw-9w-e27-3000k-cb-premium</v>
      </c>
      <c r="T156" s="42" t="str">
        <f>HYPERLINK("https://eprel.ec.europa.eu/qr/660788         ")</f>
        <v xml:space="preserve">https://eprel.ec.europa.eu/qr/660788         </v>
      </c>
      <c r="U156">
        <v>0.05</v>
      </c>
      <c r="V156">
        <v>6.8000000000000005E-2</v>
      </c>
      <c r="W156">
        <v>50</v>
      </c>
      <c r="X156">
        <v>125</v>
      </c>
      <c r="Y156">
        <v>45</v>
      </c>
    </row>
    <row r="157" spans="1:25" ht="15" x14ac:dyDescent="0.25">
      <c r="A157" t="s">
        <v>21</v>
      </c>
      <c r="B157" t="s">
        <v>43</v>
      </c>
      <c r="C157" t="s">
        <v>46</v>
      </c>
      <c r="D157" t="s">
        <v>113</v>
      </c>
      <c r="E157" t="s">
        <v>14</v>
      </c>
      <c r="F157" t="s">
        <v>1834</v>
      </c>
      <c r="G157" t="s">
        <v>232</v>
      </c>
      <c r="H157" t="s">
        <v>879</v>
      </c>
      <c r="I157">
        <v>21.2</v>
      </c>
      <c r="J157" s="41">
        <f>I157/'enter the discount'!$D$7</f>
        <v>4.9623144983849068</v>
      </c>
      <c r="K157" s="41">
        <f>J157*(1-IFERROR(VLOOKUP(H157,'enter the discount'!$D$10:$E$40,2,FALSE),0))</f>
        <v>4.9623144983849068</v>
      </c>
      <c r="L157" s="43" t="s">
        <v>858</v>
      </c>
      <c r="M157" t="s">
        <v>594</v>
      </c>
      <c r="N157" t="s">
        <v>926</v>
      </c>
      <c r="O157" t="s">
        <v>2723</v>
      </c>
      <c r="P157">
        <v>100</v>
      </c>
      <c r="Q157">
        <v>3600</v>
      </c>
      <c r="R157" t="s">
        <v>2465</v>
      </c>
      <c r="S157" s="42" t="str">
        <f>HYPERLINK("https://sklep.kobi.pl/produkt/led-sw-9w-e27-4000k-nb-premium")</f>
        <v>https://sklep.kobi.pl/produkt/led-sw-9w-e27-4000k-nb-premium</v>
      </c>
      <c r="T157" s="42" t="str">
        <f>HYPERLINK("https://eprel.ec.europa.eu/qr/660791         ")</f>
        <v xml:space="preserve">https://eprel.ec.europa.eu/qr/660791         </v>
      </c>
      <c r="U157">
        <v>0.05</v>
      </c>
      <c r="V157">
        <v>6.8000000000000005E-2</v>
      </c>
      <c r="W157">
        <v>50</v>
      </c>
      <c r="X157">
        <v>125</v>
      </c>
      <c r="Y157">
        <v>45</v>
      </c>
    </row>
    <row r="158" spans="1:25" ht="15" x14ac:dyDescent="0.25">
      <c r="A158" t="s">
        <v>21</v>
      </c>
      <c r="B158" t="s">
        <v>43</v>
      </c>
      <c r="C158" t="s">
        <v>46</v>
      </c>
      <c r="D158" t="s">
        <v>113</v>
      </c>
      <c r="E158" t="s">
        <v>14</v>
      </c>
      <c r="F158" t="s">
        <v>1835</v>
      </c>
      <c r="G158" t="s">
        <v>233</v>
      </c>
      <c r="H158" t="s">
        <v>879</v>
      </c>
      <c r="I158">
        <v>21.2</v>
      </c>
      <c r="J158" s="41">
        <f>I158/'enter the discount'!$D$7</f>
        <v>4.9623144983849068</v>
      </c>
      <c r="K158" s="41">
        <f>J158*(1-IFERROR(VLOOKUP(H158,'enter the discount'!$D$10:$E$40,2,FALSE),0))</f>
        <v>4.9623144983849068</v>
      </c>
      <c r="L158" s="43" t="s">
        <v>858</v>
      </c>
      <c r="M158" t="s">
        <v>595</v>
      </c>
      <c r="N158" t="s">
        <v>926</v>
      </c>
      <c r="O158" t="s">
        <v>2723</v>
      </c>
      <c r="P158">
        <v>100</v>
      </c>
      <c r="Q158">
        <v>3600</v>
      </c>
      <c r="R158" t="s">
        <v>2465</v>
      </c>
      <c r="S158" s="42" t="str">
        <f>HYPERLINK("https://sklep.kobi.pl/produkt/led-sw-9w-e27-6000k-zb-premium")</f>
        <v>https://sklep.kobi.pl/produkt/led-sw-9w-e27-6000k-zb-premium</v>
      </c>
      <c r="T158" s="42" t="str">
        <f>HYPERLINK("https://eprel.ec.europa.eu/qr/660792         ")</f>
        <v xml:space="preserve">https://eprel.ec.europa.eu/qr/660792         </v>
      </c>
      <c r="U158">
        <v>0.05</v>
      </c>
      <c r="V158">
        <v>6.8000000000000005E-2</v>
      </c>
      <c r="W158">
        <v>50</v>
      </c>
      <c r="X158">
        <v>125</v>
      </c>
      <c r="Y158">
        <v>45</v>
      </c>
    </row>
    <row r="159" spans="1:25" ht="15" x14ac:dyDescent="0.25">
      <c r="A159" t="s">
        <v>21</v>
      </c>
      <c r="B159" t="s">
        <v>43</v>
      </c>
      <c r="C159" t="s">
        <v>106</v>
      </c>
      <c r="D159" t="s">
        <v>111</v>
      </c>
      <c r="E159" t="s">
        <v>14</v>
      </c>
      <c r="F159" t="s">
        <v>1836</v>
      </c>
      <c r="G159" t="s">
        <v>959</v>
      </c>
      <c r="H159" t="s">
        <v>879</v>
      </c>
      <c r="I159">
        <v>12.5</v>
      </c>
      <c r="J159" s="41">
        <f>I159/'enter the discount'!$D$7</f>
        <v>2.9258929825382709</v>
      </c>
      <c r="K159" s="41">
        <f>J159*(1-IFERROR(VLOOKUP(H159,'enter the discount'!$D$10:$E$40,2,FALSE),0))</f>
        <v>2.9258929825382709</v>
      </c>
      <c r="L159" s="43" t="s">
        <v>858</v>
      </c>
      <c r="M159" t="s">
        <v>960</v>
      </c>
      <c r="N159" t="s">
        <v>926</v>
      </c>
      <c r="O159" t="s">
        <v>2723</v>
      </c>
      <c r="P159">
        <v>100</v>
      </c>
      <c r="Q159">
        <v>0</v>
      </c>
      <c r="R159" t="s">
        <v>2465</v>
      </c>
      <c r="S159" s="42" t="str">
        <f>HYPERLINK("https://sklep.kobi.pl/produkt/led-t-2w-e14-4000k-150lm-360st-nb")</f>
        <v>https://sklep.kobi.pl/produkt/led-t-2w-e14-4000k-150lm-360st-nb</v>
      </c>
      <c r="T159" s="42" t="str">
        <f>HYPERLINK("https://eprel.ec.europa.eu/qr/770526         ")</f>
        <v xml:space="preserve">https://eprel.ec.europa.eu/qr/770526         </v>
      </c>
      <c r="U159">
        <v>0.02</v>
      </c>
      <c r="V159">
        <v>0.03</v>
      </c>
      <c r="W159">
        <v>35</v>
      </c>
      <c r="X159">
        <v>25</v>
      </c>
      <c r="Y159">
        <v>25</v>
      </c>
    </row>
    <row r="160" spans="1:25" ht="15" x14ac:dyDescent="0.25">
      <c r="A160" t="s">
        <v>21</v>
      </c>
      <c r="B160" t="s">
        <v>43</v>
      </c>
      <c r="C160" t="s">
        <v>106</v>
      </c>
      <c r="D160" t="s">
        <v>111</v>
      </c>
      <c r="E160" t="s">
        <v>14</v>
      </c>
      <c r="F160" t="s">
        <v>1837</v>
      </c>
      <c r="G160" t="s">
        <v>234</v>
      </c>
      <c r="H160" t="s">
        <v>879</v>
      </c>
      <c r="I160">
        <v>18.010000000000002</v>
      </c>
      <c r="J160" s="41">
        <f>I160/'enter the discount'!$D$7</f>
        <v>4.2156266092411414</v>
      </c>
      <c r="K160" s="41">
        <f>J160*(1-IFERROR(VLOOKUP(H160,'enter the discount'!$D$10:$E$40,2,FALSE),0))</f>
        <v>4.2156266092411414</v>
      </c>
      <c r="L160" s="43" t="s">
        <v>858</v>
      </c>
      <c r="M160" t="s">
        <v>596</v>
      </c>
      <c r="N160" t="s">
        <v>926</v>
      </c>
      <c r="O160" t="s">
        <v>2723</v>
      </c>
      <c r="P160">
        <v>100</v>
      </c>
      <c r="Q160">
        <v>0</v>
      </c>
      <c r="R160" t="s">
        <v>2465</v>
      </c>
      <c r="S160" s="42" t="str">
        <f>HYPERLINK("https://sklep.kobi.pl/produkt/led-t-42w-e14-4000k")</f>
        <v>https://sklep.kobi.pl/produkt/led-t-42w-e14-4000k</v>
      </c>
      <c r="T160" s="42" t="str">
        <f>HYPERLINK("https://eprel.ec.europa.eu/qr/660816         ")</f>
        <v xml:space="preserve">https://eprel.ec.europa.eu/qr/660816         </v>
      </c>
      <c r="U160">
        <v>1.4E-2</v>
      </c>
      <c r="V160">
        <v>0.18</v>
      </c>
      <c r="W160">
        <v>55</v>
      </c>
      <c r="X160">
        <v>25</v>
      </c>
      <c r="Y160">
        <v>25</v>
      </c>
    </row>
    <row r="161" spans="1:25" ht="15" x14ac:dyDescent="0.25">
      <c r="A161" t="s">
        <v>21</v>
      </c>
      <c r="B161" t="s">
        <v>43</v>
      </c>
      <c r="C161" t="s">
        <v>99</v>
      </c>
      <c r="D161" t="s">
        <v>112</v>
      </c>
      <c r="E161" t="s">
        <v>2722</v>
      </c>
      <c r="F161" t="s">
        <v>1838</v>
      </c>
      <c r="G161" t="s">
        <v>235</v>
      </c>
      <c r="H161" t="s">
        <v>879</v>
      </c>
      <c r="I161">
        <v>15.47</v>
      </c>
      <c r="J161" s="41">
        <f>I161/'enter the discount'!$D$7</f>
        <v>3.6210851551893639</v>
      </c>
      <c r="K161" s="41">
        <f>J161*(1-IFERROR(VLOOKUP(H161,'enter the discount'!$D$10:$E$40,2,FALSE),0))</f>
        <v>3.6210851551893639</v>
      </c>
      <c r="L161" s="43" t="s">
        <v>858</v>
      </c>
      <c r="M161" t="s">
        <v>597</v>
      </c>
      <c r="N161" t="s">
        <v>926</v>
      </c>
      <c r="O161" t="s">
        <v>2723</v>
      </c>
      <c r="P161">
        <v>25</v>
      </c>
      <c r="Q161">
        <v>1600</v>
      </c>
      <c r="R161" t="s">
        <v>2465</v>
      </c>
      <c r="S161"/>
      <c r="T161" s="42" t="str">
        <f>HYPERLINK("https://eprel.ec.europa.eu/qr/660629         ")</f>
        <v xml:space="preserve">https://eprel.ec.europa.eu/qr/660629         </v>
      </c>
      <c r="U161">
        <v>7.1999999999999995E-2</v>
      </c>
      <c r="V161">
        <v>9.8000000000000004E-2</v>
      </c>
      <c r="W161">
        <v>30</v>
      </c>
      <c r="X161">
        <v>600</v>
      </c>
      <c r="Y161">
        <v>30</v>
      </c>
    </row>
    <row r="162" spans="1:25" ht="15" x14ac:dyDescent="0.25">
      <c r="A162" t="s">
        <v>21</v>
      </c>
      <c r="B162" t="s">
        <v>43</v>
      </c>
      <c r="C162" t="s">
        <v>99</v>
      </c>
      <c r="D162" t="s">
        <v>112</v>
      </c>
      <c r="E162" t="s">
        <v>14</v>
      </c>
      <c r="F162" t="s">
        <v>1839</v>
      </c>
      <c r="G162" t="s">
        <v>1261</v>
      </c>
      <c r="H162" t="s">
        <v>879</v>
      </c>
      <c r="I162">
        <v>14.72</v>
      </c>
      <c r="J162" s="41">
        <f>I162/'enter the discount'!$D$7</f>
        <v>3.4455315762370677</v>
      </c>
      <c r="K162" s="41">
        <f>J162*(1-IFERROR(VLOOKUP(H162,'enter the discount'!$D$10:$E$40,2,FALSE),0))</f>
        <v>3.4455315762370677</v>
      </c>
      <c r="L162" s="43" t="s">
        <v>858</v>
      </c>
      <c r="M162" t="s">
        <v>1262</v>
      </c>
      <c r="N162" t="s">
        <v>926</v>
      </c>
      <c r="O162" t="s">
        <v>2723</v>
      </c>
      <c r="P162">
        <v>25</v>
      </c>
      <c r="Q162">
        <v>0</v>
      </c>
      <c r="R162" t="s">
        <v>2465</v>
      </c>
      <c r="S162" s="42" t="str">
        <f>HYPERLINK("https://sklep.kobi.pl/produkt/swiet-led-t8-60cm-9w-4000k-led2b")</f>
        <v>https://sklep.kobi.pl/produkt/swiet-led-t8-60cm-9w-4000k-led2b</v>
      </c>
      <c r="T162" s="42" t="str">
        <f>HYPERLINK("https://eprel.ec.europa.eu/qr/821844         ")</f>
        <v xml:space="preserve">https://eprel.ec.europa.eu/qr/821844         </v>
      </c>
      <c r="U162">
        <v>0.1</v>
      </c>
      <c r="V162"/>
      <c r="W162"/>
      <c r="X162"/>
      <c r="Y162"/>
    </row>
    <row r="163" spans="1:25" ht="15" x14ac:dyDescent="0.25">
      <c r="A163" t="s">
        <v>21</v>
      </c>
      <c r="B163" t="s">
        <v>43</v>
      </c>
      <c r="C163" t="s">
        <v>99</v>
      </c>
      <c r="D163" t="s">
        <v>112</v>
      </c>
      <c r="E163" t="s">
        <v>14</v>
      </c>
      <c r="F163" t="s">
        <v>1840</v>
      </c>
      <c r="G163" t="s">
        <v>1263</v>
      </c>
      <c r="H163" t="s">
        <v>879</v>
      </c>
      <c r="I163">
        <v>14.72</v>
      </c>
      <c r="J163" s="41">
        <f>I163/'enter the discount'!$D$7</f>
        <v>3.4455315762370677</v>
      </c>
      <c r="K163" s="41">
        <f>J163*(1-IFERROR(VLOOKUP(H163,'enter the discount'!$D$10:$E$40,2,FALSE),0))</f>
        <v>3.4455315762370677</v>
      </c>
      <c r="L163" s="43" t="s">
        <v>858</v>
      </c>
      <c r="M163" t="s">
        <v>1264</v>
      </c>
      <c r="N163" t="s">
        <v>926</v>
      </c>
      <c r="O163" t="s">
        <v>2723</v>
      </c>
      <c r="P163">
        <v>25</v>
      </c>
      <c r="Q163">
        <v>0</v>
      </c>
      <c r="R163" t="s">
        <v>2465</v>
      </c>
      <c r="S163" s="42" t="str">
        <f>HYPERLINK("https://sklep.kobi.pl/produkt/swiet-led-t8-60cm-9w-6000k-led2b")</f>
        <v>https://sklep.kobi.pl/produkt/swiet-led-t8-60cm-9w-6000k-led2b</v>
      </c>
      <c r="T163" s="42" t="str">
        <f>HYPERLINK("https://eprel.ec.europa.eu/qr/821851         ")</f>
        <v xml:space="preserve">https://eprel.ec.europa.eu/qr/821851         </v>
      </c>
      <c r="U163">
        <v>0.1</v>
      </c>
      <c r="V163"/>
      <c r="W163"/>
      <c r="X163"/>
      <c r="Y163"/>
    </row>
    <row r="164" spans="1:25" ht="15" x14ac:dyDescent="0.25">
      <c r="A164" t="s">
        <v>21</v>
      </c>
      <c r="B164" t="s">
        <v>43</v>
      </c>
      <c r="C164" t="s">
        <v>99</v>
      </c>
      <c r="D164" t="s">
        <v>112</v>
      </c>
      <c r="E164" t="s">
        <v>14</v>
      </c>
      <c r="F164" t="s">
        <v>1841</v>
      </c>
      <c r="G164" t="s">
        <v>1418</v>
      </c>
      <c r="H164" t="s">
        <v>879</v>
      </c>
      <c r="I164">
        <v>10.210000000000001</v>
      </c>
      <c r="J164" s="41">
        <f>I164/'enter the discount'!$D$7</f>
        <v>2.3898693881372597</v>
      </c>
      <c r="K164" s="41">
        <f>J164*(1-IFERROR(VLOOKUP(H164,'enter the discount'!$D$10:$E$40,2,FALSE),0))</f>
        <v>2.3898693881372597</v>
      </c>
      <c r="L164" s="43" t="s">
        <v>858</v>
      </c>
      <c r="M164" t="s">
        <v>1419</v>
      </c>
      <c r="N164" t="s">
        <v>926</v>
      </c>
      <c r="O164" t="s">
        <v>2723</v>
      </c>
      <c r="P164">
        <v>30</v>
      </c>
      <c r="Q164">
        <v>2160</v>
      </c>
      <c r="R164" t="s">
        <v>2465</v>
      </c>
      <c r="S164" s="42" t="str">
        <f>HYPERLINK("https://sklep.kobi.pl/produkt/led-t8-9w-60cm-4000k-led2b-red")</f>
        <v>https://sklep.kobi.pl/produkt/led-t8-9w-60cm-4000k-led2b-red</v>
      </c>
      <c r="T164" s="42" t="str">
        <f>HYPERLINK("https://eprel.ec.europa.eu/qr/1694474        ")</f>
        <v xml:space="preserve">https://eprel.ec.europa.eu/qr/1694474        </v>
      </c>
      <c r="U164">
        <v>0.09</v>
      </c>
      <c r="V164">
        <v>0</v>
      </c>
      <c r="W164">
        <v>0</v>
      </c>
      <c r="X164">
        <v>0</v>
      </c>
      <c r="Y164">
        <v>0</v>
      </c>
    </row>
    <row r="165" spans="1:25" ht="15" x14ac:dyDescent="0.25">
      <c r="A165" t="s">
        <v>21</v>
      </c>
      <c r="B165" t="s">
        <v>43</v>
      </c>
      <c r="C165" t="s">
        <v>99</v>
      </c>
      <c r="D165" t="s">
        <v>112</v>
      </c>
      <c r="E165" t="s">
        <v>14</v>
      </c>
      <c r="F165" t="s">
        <v>1842</v>
      </c>
      <c r="G165" t="s">
        <v>1420</v>
      </c>
      <c r="H165" t="s">
        <v>879</v>
      </c>
      <c r="I165">
        <v>10.210000000000001</v>
      </c>
      <c r="J165" s="41">
        <f>I165/'enter the discount'!$D$7</f>
        <v>2.3898693881372597</v>
      </c>
      <c r="K165" s="41">
        <f>J165*(1-IFERROR(VLOOKUP(H165,'enter the discount'!$D$10:$E$40,2,FALSE),0))</f>
        <v>2.3898693881372597</v>
      </c>
      <c r="L165" s="43" t="s">
        <v>858</v>
      </c>
      <c r="M165" t="s">
        <v>1421</v>
      </c>
      <c r="N165" t="s">
        <v>926</v>
      </c>
      <c r="O165" t="s">
        <v>2723</v>
      </c>
      <c r="P165">
        <v>30</v>
      </c>
      <c r="Q165">
        <v>2160</v>
      </c>
      <c r="R165" t="s">
        <v>2465</v>
      </c>
      <c r="S165" s="42" t="str">
        <f>HYPERLINK("https://sklep.kobi.pl/produkt/led-t8-9w-60cm-6500k-led2b-red")</f>
        <v>https://sklep.kobi.pl/produkt/led-t8-9w-60cm-6500k-led2b-red</v>
      </c>
      <c r="T165" s="42" t="str">
        <f>HYPERLINK("https://eprel.ec.europa.eu/qr/1694534        ")</f>
        <v xml:space="preserve">https://eprel.ec.europa.eu/qr/1694534        </v>
      </c>
      <c r="U165">
        <v>0.09</v>
      </c>
      <c r="V165">
        <v>0</v>
      </c>
      <c r="W165">
        <v>0</v>
      </c>
      <c r="X165">
        <v>0</v>
      </c>
      <c r="Y165">
        <v>0</v>
      </c>
    </row>
    <row r="166" spans="1:25" ht="15" x14ac:dyDescent="0.25">
      <c r="A166" t="s">
        <v>21</v>
      </c>
      <c r="B166" t="s">
        <v>43</v>
      </c>
      <c r="C166" t="s">
        <v>99</v>
      </c>
      <c r="D166" t="s">
        <v>113</v>
      </c>
      <c r="E166" t="s">
        <v>14</v>
      </c>
      <c r="F166" t="s">
        <v>1843</v>
      </c>
      <c r="G166" t="s">
        <v>236</v>
      </c>
      <c r="H166" t="s">
        <v>879</v>
      </c>
      <c r="I166">
        <v>21.13</v>
      </c>
      <c r="J166" s="41">
        <f>I166/'enter the discount'!$D$7</f>
        <v>4.9459294976826929</v>
      </c>
      <c r="K166" s="41">
        <f>J166*(1-IFERROR(VLOOKUP(H166,'enter the discount'!$D$10:$E$40,2,FALSE),0))</f>
        <v>4.9459294976826929</v>
      </c>
      <c r="L166" s="43" t="s">
        <v>859</v>
      </c>
      <c r="M166" t="s">
        <v>598</v>
      </c>
      <c r="N166" t="s">
        <v>926</v>
      </c>
      <c r="O166" t="s">
        <v>2723</v>
      </c>
      <c r="P166">
        <v>25</v>
      </c>
      <c r="Q166">
        <v>1600</v>
      </c>
      <c r="R166" t="s">
        <v>2466</v>
      </c>
      <c r="S166" s="42" t="str">
        <f>HYPERLINK("https://sklep.kobi.pl/produkt/led-t8-9w-60cm-4000k-premium-")</f>
        <v>https://sklep.kobi.pl/produkt/led-t8-9w-60cm-4000k-premium-</v>
      </c>
      <c r="T166" s="42" t="str">
        <f>HYPERLINK("https://eprel.ec.europa.eu/qr/660798         ")</f>
        <v xml:space="preserve">https://eprel.ec.europa.eu/qr/660798         </v>
      </c>
      <c r="U166">
        <v>0.104</v>
      </c>
      <c r="V166">
        <v>0.15</v>
      </c>
      <c r="W166">
        <v>30</v>
      </c>
      <c r="X166">
        <v>600</v>
      </c>
      <c r="Y166">
        <v>30</v>
      </c>
    </row>
    <row r="167" spans="1:25" ht="15" x14ac:dyDescent="0.25">
      <c r="A167" t="s">
        <v>21</v>
      </c>
      <c r="B167" t="s">
        <v>43</v>
      </c>
      <c r="C167" t="s">
        <v>99</v>
      </c>
      <c r="D167" t="s">
        <v>113</v>
      </c>
      <c r="E167" t="s">
        <v>14</v>
      </c>
      <c r="F167" t="s">
        <v>1844</v>
      </c>
      <c r="G167" t="s">
        <v>237</v>
      </c>
      <c r="H167" t="s">
        <v>879</v>
      </c>
      <c r="I167">
        <v>21.13</v>
      </c>
      <c r="J167" s="41">
        <f>I167/'enter the discount'!$D$7</f>
        <v>4.9459294976826929</v>
      </c>
      <c r="K167" s="41">
        <f>J167*(1-IFERROR(VLOOKUP(H167,'enter the discount'!$D$10:$E$40,2,FALSE),0))</f>
        <v>4.9459294976826929</v>
      </c>
      <c r="L167" s="43" t="s">
        <v>859</v>
      </c>
      <c r="M167" t="s">
        <v>599</v>
      </c>
      <c r="N167" t="s">
        <v>926</v>
      </c>
      <c r="O167" t="s">
        <v>2723</v>
      </c>
      <c r="P167">
        <v>25</v>
      </c>
      <c r="Q167">
        <v>1600</v>
      </c>
      <c r="R167" t="s">
        <v>2466</v>
      </c>
      <c r="S167" s="42" t="str">
        <f>HYPERLINK("https://sklep.kobi.pl/produkt/led-t8-9w-60cm-6500k-premium")</f>
        <v>https://sklep.kobi.pl/produkt/led-t8-9w-60cm-6500k-premium</v>
      </c>
      <c r="T167" s="42" t="str">
        <f>HYPERLINK("https://eprel.ec.europa.eu/qr/660799         ")</f>
        <v xml:space="preserve">https://eprel.ec.europa.eu/qr/660799         </v>
      </c>
      <c r="U167">
        <v>0.104</v>
      </c>
      <c r="V167">
        <v>0.15</v>
      </c>
      <c r="W167">
        <v>30</v>
      </c>
      <c r="X167">
        <v>600</v>
      </c>
      <c r="Y167">
        <v>30</v>
      </c>
    </row>
    <row r="168" spans="1:25" ht="15" x14ac:dyDescent="0.25">
      <c r="A168" t="s">
        <v>21</v>
      </c>
      <c r="B168" t="s">
        <v>43</v>
      </c>
      <c r="C168" t="s">
        <v>99</v>
      </c>
      <c r="D168" t="s">
        <v>112</v>
      </c>
      <c r="E168" t="s">
        <v>14</v>
      </c>
      <c r="F168" t="s">
        <v>1845</v>
      </c>
      <c r="G168" t="s">
        <v>942</v>
      </c>
      <c r="H168" t="s">
        <v>879</v>
      </c>
      <c r="I168">
        <v>19.75</v>
      </c>
      <c r="J168" s="41">
        <f>I168/'enter the discount'!$D$7</f>
        <v>4.6229109124104681</v>
      </c>
      <c r="K168" s="41">
        <f>J168*(1-IFERROR(VLOOKUP(H168,'enter the discount'!$D$10:$E$40,2,FALSE),0))</f>
        <v>4.6229109124104681</v>
      </c>
      <c r="L168" s="43" t="s">
        <v>858</v>
      </c>
      <c r="M168" t="s">
        <v>943</v>
      </c>
      <c r="N168" t="s">
        <v>926</v>
      </c>
      <c r="O168" t="s">
        <v>2723</v>
      </c>
      <c r="P168">
        <v>25</v>
      </c>
      <c r="Q168">
        <v>900</v>
      </c>
      <c r="R168" t="s">
        <v>2465</v>
      </c>
      <c r="S168" s="42" t="str">
        <f>HYPERLINK("https://sklep.kobi.pl/produkt/led-t8-18w-120cm-6500k-led2b")</f>
        <v>https://sklep.kobi.pl/produkt/led-t8-18w-120cm-6500k-led2b</v>
      </c>
      <c r="T168" s="42" t="str">
        <f>HYPERLINK("https://eprel.ec.europa.eu/qr/821876         ")</f>
        <v xml:space="preserve">https://eprel.ec.europa.eu/qr/821876         </v>
      </c>
      <c r="U168">
        <v>0.17299999999999999</v>
      </c>
      <c r="V168">
        <v>0.191</v>
      </c>
      <c r="W168">
        <v>30</v>
      </c>
      <c r="X168">
        <v>1200</v>
      </c>
      <c r="Y168">
        <v>30</v>
      </c>
    </row>
    <row r="169" spans="1:25" ht="15" x14ac:dyDescent="0.25">
      <c r="A169" t="s">
        <v>21</v>
      </c>
      <c r="B169" t="s">
        <v>43</v>
      </c>
      <c r="C169" t="s">
        <v>99</v>
      </c>
      <c r="D169" t="s">
        <v>112</v>
      </c>
      <c r="E169" t="s">
        <v>14</v>
      </c>
      <c r="F169" t="s">
        <v>1846</v>
      </c>
      <c r="G169" t="s">
        <v>1240</v>
      </c>
      <c r="H169" t="s">
        <v>879</v>
      </c>
      <c r="I169">
        <v>19.75</v>
      </c>
      <c r="J169" s="41">
        <f>I169/'enter the discount'!$D$7</f>
        <v>4.6229109124104681</v>
      </c>
      <c r="K169" s="41">
        <f>J169*(1-IFERROR(VLOOKUP(H169,'enter the discount'!$D$10:$E$40,2,FALSE),0))</f>
        <v>4.6229109124104681</v>
      </c>
      <c r="L169" s="43" t="s">
        <v>858</v>
      </c>
      <c r="M169" t="s">
        <v>1241</v>
      </c>
      <c r="N169" t="s">
        <v>926</v>
      </c>
      <c r="O169" t="s">
        <v>2723</v>
      </c>
      <c r="P169">
        <v>25</v>
      </c>
      <c r="Q169">
        <v>900</v>
      </c>
      <c r="R169" t="s">
        <v>2465</v>
      </c>
      <c r="S169" s="42" t="str">
        <f>HYPERLINK("https://sklep.kobi.pl/produkt/led-t8-18w-120cm-4000k-led2b")</f>
        <v>https://sklep.kobi.pl/produkt/led-t8-18w-120cm-4000k-led2b</v>
      </c>
      <c r="T169" s="42" t="str">
        <f>HYPERLINK("https://eprel.ec.europa.eu/qr/821866         ")</f>
        <v xml:space="preserve">https://eprel.ec.europa.eu/qr/821866         </v>
      </c>
      <c r="U169">
        <v>0.17299999999999999</v>
      </c>
      <c r="V169">
        <v>0.191</v>
      </c>
      <c r="W169">
        <v>30</v>
      </c>
      <c r="X169">
        <v>1200</v>
      </c>
      <c r="Y169">
        <v>30</v>
      </c>
    </row>
    <row r="170" spans="1:25" ht="15" x14ac:dyDescent="0.25">
      <c r="A170" t="s">
        <v>21</v>
      </c>
      <c r="B170" t="s">
        <v>43</v>
      </c>
      <c r="C170" t="s">
        <v>99</v>
      </c>
      <c r="D170" t="s">
        <v>112</v>
      </c>
      <c r="E170" t="s">
        <v>14</v>
      </c>
      <c r="F170" t="s">
        <v>1847</v>
      </c>
      <c r="G170" t="s">
        <v>1402</v>
      </c>
      <c r="H170" t="s">
        <v>879</v>
      </c>
      <c r="I170">
        <v>13.38</v>
      </c>
      <c r="J170" s="41">
        <f>I170/'enter the discount'!$D$7</f>
        <v>3.1318758485089653</v>
      </c>
      <c r="K170" s="41">
        <f>J170*(1-IFERROR(VLOOKUP(H170,'enter the discount'!$D$10:$E$40,2,FALSE),0))</f>
        <v>3.1318758485089653</v>
      </c>
      <c r="L170" s="43" t="s">
        <v>858</v>
      </c>
      <c r="M170" t="s">
        <v>1403</v>
      </c>
      <c r="N170" t="s">
        <v>926</v>
      </c>
      <c r="O170" t="s">
        <v>2723</v>
      </c>
      <c r="P170">
        <v>30</v>
      </c>
      <c r="Q170">
        <v>1080</v>
      </c>
      <c r="R170" t="s">
        <v>2465</v>
      </c>
      <c r="S170" s="42" t="str">
        <f>HYPERLINK("https://sklep.kobi.pl/produkt/led-t8-18w-120cm-4000k-led2b-red")</f>
        <v>https://sklep.kobi.pl/produkt/led-t8-18w-120cm-4000k-led2b-red</v>
      </c>
      <c r="T170" s="42" t="str">
        <f>HYPERLINK("https://eprel.ec.europa.eu/qr/1694581        ")</f>
        <v xml:space="preserve">https://eprel.ec.europa.eu/qr/1694581        </v>
      </c>
      <c r="U170">
        <v>0.18</v>
      </c>
      <c r="V170">
        <v>0</v>
      </c>
      <c r="W170">
        <v>0</v>
      </c>
      <c r="X170">
        <v>0</v>
      </c>
      <c r="Y170">
        <v>0</v>
      </c>
    </row>
    <row r="171" spans="1:25" ht="15" x14ac:dyDescent="0.25">
      <c r="A171" t="s">
        <v>21</v>
      </c>
      <c r="B171" t="s">
        <v>43</v>
      </c>
      <c r="C171" t="s">
        <v>99</v>
      </c>
      <c r="D171" t="s">
        <v>112</v>
      </c>
      <c r="E171" t="s">
        <v>14</v>
      </c>
      <c r="F171" t="s">
        <v>1848</v>
      </c>
      <c r="G171" t="s">
        <v>1412</v>
      </c>
      <c r="H171" t="s">
        <v>879</v>
      </c>
      <c r="I171">
        <v>13.38</v>
      </c>
      <c r="J171" s="41">
        <f>I171/'enter the discount'!$D$7</f>
        <v>3.1318758485089653</v>
      </c>
      <c r="K171" s="41">
        <f>J171*(1-IFERROR(VLOOKUP(H171,'enter the discount'!$D$10:$E$40,2,FALSE),0))</f>
        <v>3.1318758485089653</v>
      </c>
      <c r="L171" s="43" t="s">
        <v>858</v>
      </c>
      <c r="M171" t="s">
        <v>1413</v>
      </c>
      <c r="N171" t="s">
        <v>926</v>
      </c>
      <c r="O171" t="s">
        <v>2723</v>
      </c>
      <c r="P171">
        <v>30</v>
      </c>
      <c r="Q171">
        <v>1080</v>
      </c>
      <c r="R171" t="s">
        <v>2465</v>
      </c>
      <c r="S171" s="42" t="str">
        <f>HYPERLINK("https://sklep.kobi.pl/produkt/led-t8-18w-120cm-6500k-led2b-red")</f>
        <v>https://sklep.kobi.pl/produkt/led-t8-18w-120cm-6500k-led2b-red</v>
      </c>
      <c r="T171" s="42" t="str">
        <f>HYPERLINK("https://eprel.ec.europa.eu/qr/1694744        ")</f>
        <v xml:space="preserve">https://eprel.ec.europa.eu/qr/1694744        </v>
      </c>
      <c r="U171">
        <v>0.18</v>
      </c>
      <c r="V171">
        <v>0</v>
      </c>
      <c r="W171">
        <v>0</v>
      </c>
      <c r="X171">
        <v>0</v>
      </c>
      <c r="Y171">
        <v>0</v>
      </c>
    </row>
    <row r="172" spans="1:25" ht="15" x14ac:dyDescent="0.25">
      <c r="A172" t="s">
        <v>21</v>
      </c>
      <c r="B172" t="s">
        <v>43</v>
      </c>
      <c r="C172" t="s">
        <v>99</v>
      </c>
      <c r="D172" t="s">
        <v>113</v>
      </c>
      <c r="E172" t="s">
        <v>2722</v>
      </c>
      <c r="F172" t="s">
        <v>14</v>
      </c>
      <c r="G172" t="s">
        <v>1574</v>
      </c>
      <c r="H172" t="s">
        <v>879</v>
      </c>
      <c r="I172">
        <v>29.81</v>
      </c>
      <c r="J172" s="41">
        <f>I172/'enter the discount'!$D$7</f>
        <v>6.9776695847572681</v>
      </c>
      <c r="K172" s="41">
        <f>J172*(1-IFERROR(VLOOKUP(H172,'enter the discount'!$D$10:$E$40,2,FALSE),0))</f>
        <v>6.9776695847572681</v>
      </c>
      <c r="L172" s="43" t="s">
        <v>859</v>
      </c>
      <c r="M172" t="s">
        <v>1575</v>
      </c>
      <c r="N172" t="s">
        <v>926</v>
      </c>
      <c r="O172" t="s">
        <v>2723</v>
      </c>
      <c r="P172">
        <v>25</v>
      </c>
      <c r="Q172">
        <v>900</v>
      </c>
      <c r="R172" t="s">
        <v>2466</v>
      </c>
      <c r="S172" s="42" t="str">
        <f>HYPERLINK("https://sklep.kobi.pl/produkt/led-t8-18w-120cm-3000k-premium")</f>
        <v>https://sklep.kobi.pl/produkt/led-t8-18w-120cm-3000k-premium</v>
      </c>
      <c r="T172" s="42" t="str">
        <f>HYPERLINK("https://eprel.ec.europa.eu/qr/1420718        ")</f>
        <v xml:space="preserve">https://eprel.ec.europa.eu/qr/1420718        </v>
      </c>
      <c r="U172">
        <v>0.22</v>
      </c>
      <c r="V172">
        <v>0</v>
      </c>
      <c r="W172">
        <v>0</v>
      </c>
      <c r="X172">
        <v>0</v>
      </c>
      <c r="Y172">
        <v>0</v>
      </c>
    </row>
    <row r="173" spans="1:25" ht="15" x14ac:dyDescent="0.25">
      <c r="A173" t="s">
        <v>21</v>
      </c>
      <c r="B173" t="s">
        <v>43</v>
      </c>
      <c r="C173" t="s">
        <v>99</v>
      </c>
      <c r="D173" t="s">
        <v>113</v>
      </c>
      <c r="E173" t="s">
        <v>14</v>
      </c>
      <c r="F173" t="s">
        <v>1849</v>
      </c>
      <c r="G173" t="s">
        <v>238</v>
      </c>
      <c r="H173" t="s">
        <v>879</v>
      </c>
      <c r="I173">
        <v>29.81</v>
      </c>
      <c r="J173" s="41">
        <f>I173/'enter the discount'!$D$7</f>
        <v>6.9776695847572681</v>
      </c>
      <c r="K173" s="41">
        <f>J173*(1-IFERROR(VLOOKUP(H173,'enter the discount'!$D$10:$E$40,2,FALSE),0))</f>
        <v>6.9776695847572681</v>
      </c>
      <c r="L173" s="43" t="s">
        <v>859</v>
      </c>
      <c r="M173" t="s">
        <v>600</v>
      </c>
      <c r="N173" t="s">
        <v>926</v>
      </c>
      <c r="O173" t="s">
        <v>2723</v>
      </c>
      <c r="P173">
        <v>25</v>
      </c>
      <c r="Q173">
        <v>900</v>
      </c>
      <c r="R173" t="s">
        <v>2466</v>
      </c>
      <c r="S173" s="42" t="str">
        <f>HYPERLINK("https://sklep.kobi.pl/produkt/led-t8-18w-120cm-4000k-premium-")</f>
        <v>https://sklep.kobi.pl/produkt/led-t8-18w-120cm-4000k-premium-</v>
      </c>
      <c r="T173" s="42" t="str">
        <f>HYPERLINK("https://eprel.ec.europa.eu/qr/792298         ")</f>
        <v xml:space="preserve">https://eprel.ec.europa.eu/qr/792298         </v>
      </c>
      <c r="U173">
        <v>0.183</v>
      </c>
      <c r="V173">
        <v>0.27200000000000002</v>
      </c>
      <c r="W173">
        <v>30</v>
      </c>
      <c r="X173">
        <v>1200</v>
      </c>
      <c r="Y173">
        <v>30</v>
      </c>
    </row>
    <row r="174" spans="1:25" ht="15" x14ac:dyDescent="0.25">
      <c r="A174" t="s">
        <v>21</v>
      </c>
      <c r="B174" t="s">
        <v>43</v>
      </c>
      <c r="C174" t="s">
        <v>99</v>
      </c>
      <c r="D174" t="s">
        <v>113</v>
      </c>
      <c r="E174" t="s">
        <v>14</v>
      </c>
      <c r="F174" t="s">
        <v>1850</v>
      </c>
      <c r="G174" t="s">
        <v>239</v>
      </c>
      <c r="H174" t="s">
        <v>879</v>
      </c>
      <c r="I174">
        <v>29.81</v>
      </c>
      <c r="J174" s="41">
        <f>I174/'enter the discount'!$D$7</f>
        <v>6.9776695847572681</v>
      </c>
      <c r="K174" s="41">
        <f>J174*(1-IFERROR(VLOOKUP(H174,'enter the discount'!$D$10:$E$40,2,FALSE),0))</f>
        <v>6.9776695847572681</v>
      </c>
      <c r="L174" s="43" t="s">
        <v>859</v>
      </c>
      <c r="M174" t="s">
        <v>601</v>
      </c>
      <c r="N174" t="s">
        <v>926</v>
      </c>
      <c r="O174" t="s">
        <v>2723</v>
      </c>
      <c r="P174">
        <v>25</v>
      </c>
      <c r="Q174">
        <v>900</v>
      </c>
      <c r="R174" t="s">
        <v>2466</v>
      </c>
      <c r="S174" s="42" t="str">
        <f>HYPERLINK("https://sklep.kobi.pl/produkt/led-t8-18w-120cm-6500k-premium")</f>
        <v>https://sklep.kobi.pl/produkt/led-t8-18w-120cm-6500k-premium</v>
      </c>
      <c r="T174" s="42" t="str">
        <f>HYPERLINK("https://eprel.ec.europa.eu/qr/660793         ")</f>
        <v xml:space="preserve">https://eprel.ec.europa.eu/qr/660793         </v>
      </c>
      <c r="U174">
        <v>0.183</v>
      </c>
      <c r="V174">
        <v>0.27200000000000002</v>
      </c>
      <c r="W174">
        <v>30</v>
      </c>
      <c r="X174">
        <v>1200</v>
      </c>
      <c r="Y174">
        <v>30</v>
      </c>
    </row>
    <row r="175" spans="1:25" ht="15" x14ac:dyDescent="0.25">
      <c r="A175" t="s">
        <v>21</v>
      </c>
      <c r="B175" t="s">
        <v>43</v>
      </c>
      <c r="C175" t="s">
        <v>99</v>
      </c>
      <c r="D175" t="s">
        <v>112</v>
      </c>
      <c r="E175" t="s">
        <v>14</v>
      </c>
      <c r="F175" t="s">
        <v>1851</v>
      </c>
      <c r="G175" t="s">
        <v>240</v>
      </c>
      <c r="H175" t="s">
        <v>879</v>
      </c>
      <c r="I175">
        <v>24.78</v>
      </c>
      <c r="J175" s="41">
        <f>I175/'enter the discount'!$D$7</f>
        <v>5.8002902485838685</v>
      </c>
      <c r="K175" s="41">
        <f>J175*(1-IFERROR(VLOOKUP(H175,'enter the discount'!$D$10:$E$40,2,FALSE),0))</f>
        <v>5.8002902485838685</v>
      </c>
      <c r="L175" s="43" t="s">
        <v>858</v>
      </c>
      <c r="M175" t="s">
        <v>602</v>
      </c>
      <c r="N175" t="s">
        <v>926</v>
      </c>
      <c r="O175" t="s">
        <v>2723</v>
      </c>
      <c r="P175">
        <v>25</v>
      </c>
      <c r="Q175">
        <v>700</v>
      </c>
      <c r="R175" t="s">
        <v>2465</v>
      </c>
      <c r="S175" s="42" t="str">
        <f>HYPERLINK("https://sklep.kobi.pl/produkt/led-t8-22w-150cm-4000k-led2b")</f>
        <v>https://sklep.kobi.pl/produkt/led-t8-22w-150cm-4000k-led2b</v>
      </c>
      <c r="T175" s="42" t="str">
        <f>HYPERLINK("https://eprel.ec.europa.eu/qr/914694         ")</f>
        <v xml:space="preserve">https://eprel.ec.europa.eu/qr/914694         </v>
      </c>
      <c r="U175">
        <v>0.20799999999999999</v>
      </c>
      <c r="V175">
        <v>0.222</v>
      </c>
      <c r="W175">
        <v>30</v>
      </c>
      <c r="X175">
        <v>1500</v>
      </c>
      <c r="Y175">
        <v>30</v>
      </c>
    </row>
    <row r="176" spans="1:25" ht="15" x14ac:dyDescent="0.25">
      <c r="A176" t="s">
        <v>21</v>
      </c>
      <c r="B176" t="s">
        <v>43</v>
      </c>
      <c r="C176" t="s">
        <v>99</v>
      </c>
      <c r="D176" t="s">
        <v>112</v>
      </c>
      <c r="E176" t="s">
        <v>14</v>
      </c>
      <c r="F176" t="s">
        <v>1852</v>
      </c>
      <c r="G176" t="s">
        <v>242</v>
      </c>
      <c r="H176" t="s">
        <v>879</v>
      </c>
      <c r="I176">
        <v>24.78</v>
      </c>
      <c r="J176" s="41">
        <f>I176/'enter the discount'!$D$7</f>
        <v>5.8002902485838685</v>
      </c>
      <c r="K176" s="41">
        <f>J176*(1-IFERROR(VLOOKUP(H176,'enter the discount'!$D$10:$E$40,2,FALSE),0))</f>
        <v>5.8002902485838685</v>
      </c>
      <c r="L176" s="43" t="s">
        <v>858</v>
      </c>
      <c r="M176" t="s">
        <v>604</v>
      </c>
      <c r="N176" t="s">
        <v>926</v>
      </c>
      <c r="O176" t="s">
        <v>2723</v>
      </c>
      <c r="P176">
        <v>25</v>
      </c>
      <c r="Q176">
        <v>700</v>
      </c>
      <c r="R176" t="s">
        <v>2465</v>
      </c>
      <c r="S176" s="42" t="str">
        <f>HYPERLINK("https://sklep.kobi.pl/produkt/led-t8-22w-150cm-6500k-led2b")</f>
        <v>https://sklep.kobi.pl/produkt/led-t8-22w-150cm-6500k-led2b</v>
      </c>
      <c r="T176" s="42" t="str">
        <f>HYPERLINK("https://eprel.ec.europa.eu/qr/914714         ")</f>
        <v xml:space="preserve">https://eprel.ec.europa.eu/qr/914714         </v>
      </c>
      <c r="U176">
        <v>0.20799999999999999</v>
      </c>
      <c r="V176">
        <v>0.222</v>
      </c>
      <c r="W176">
        <v>30</v>
      </c>
      <c r="X176">
        <v>1500</v>
      </c>
      <c r="Y176">
        <v>30</v>
      </c>
    </row>
    <row r="177" spans="1:25" ht="15" x14ac:dyDescent="0.25">
      <c r="A177" t="s">
        <v>21</v>
      </c>
      <c r="B177" t="s">
        <v>43</v>
      </c>
      <c r="C177" t="s">
        <v>99</v>
      </c>
      <c r="D177" t="s">
        <v>112</v>
      </c>
      <c r="E177" t="s">
        <v>14</v>
      </c>
      <c r="F177" t="s">
        <v>1853</v>
      </c>
      <c r="G177" t="s">
        <v>1414</v>
      </c>
      <c r="H177" t="s">
        <v>879</v>
      </c>
      <c r="I177">
        <v>17.21</v>
      </c>
      <c r="J177" s="41">
        <f>I177/'enter the discount'!$D$7</f>
        <v>4.0283694583586911</v>
      </c>
      <c r="K177" s="41">
        <f>J177*(1-IFERROR(VLOOKUP(H177,'enter the discount'!$D$10:$E$40,2,FALSE),0))</f>
        <v>4.0283694583586911</v>
      </c>
      <c r="L177" s="43" t="s">
        <v>858</v>
      </c>
      <c r="M177" t="s">
        <v>1415</v>
      </c>
      <c r="N177" t="s">
        <v>926</v>
      </c>
      <c r="O177" t="s">
        <v>2723</v>
      </c>
      <c r="P177">
        <v>30</v>
      </c>
      <c r="Q177">
        <v>840</v>
      </c>
      <c r="R177" t="s">
        <v>2465</v>
      </c>
      <c r="S177" s="42" t="str">
        <f>HYPERLINK("https://sklep.kobi.pl/produkt/led-t8-22w-150cm-4000k-led2b-red")</f>
        <v>https://sklep.kobi.pl/produkt/led-t8-22w-150cm-4000k-led2b-red</v>
      </c>
      <c r="T177" s="42" t="str">
        <f>HYPERLINK("https://eprel.ec.europa.eu/qr/1694757        ")</f>
        <v xml:space="preserve">https://eprel.ec.europa.eu/qr/1694757        </v>
      </c>
      <c r="U177">
        <v>0.23</v>
      </c>
      <c r="V177">
        <v>0</v>
      </c>
      <c r="W177">
        <v>0</v>
      </c>
      <c r="X177">
        <v>0</v>
      </c>
      <c r="Y177">
        <v>0</v>
      </c>
    </row>
    <row r="178" spans="1:25" ht="15" x14ac:dyDescent="0.25">
      <c r="A178" t="s">
        <v>21</v>
      </c>
      <c r="B178" t="s">
        <v>43</v>
      </c>
      <c r="C178" t="s">
        <v>99</v>
      </c>
      <c r="D178" t="s">
        <v>112</v>
      </c>
      <c r="E178" t="s">
        <v>14</v>
      </c>
      <c r="F178" t="s">
        <v>1854</v>
      </c>
      <c r="G178" t="s">
        <v>1416</v>
      </c>
      <c r="H178" t="s">
        <v>879</v>
      </c>
      <c r="I178">
        <v>17.21</v>
      </c>
      <c r="J178" s="41">
        <f>I178/'enter the discount'!$D$7</f>
        <v>4.0283694583586911</v>
      </c>
      <c r="K178" s="41">
        <f>J178*(1-IFERROR(VLOOKUP(H178,'enter the discount'!$D$10:$E$40,2,FALSE),0))</f>
        <v>4.0283694583586911</v>
      </c>
      <c r="L178" s="43" t="s">
        <v>858</v>
      </c>
      <c r="M178" t="s">
        <v>1417</v>
      </c>
      <c r="N178" t="s">
        <v>926</v>
      </c>
      <c r="O178" t="s">
        <v>2723</v>
      </c>
      <c r="P178">
        <v>30</v>
      </c>
      <c r="Q178">
        <v>840</v>
      </c>
      <c r="R178" t="s">
        <v>2465</v>
      </c>
      <c r="S178" s="42" t="str">
        <f>HYPERLINK("https://sklep.kobi.pl/produkt/led-t8-22w-150cm-6500k-led2b-red")</f>
        <v>https://sklep.kobi.pl/produkt/led-t8-22w-150cm-6500k-led2b-red</v>
      </c>
      <c r="T178" s="42" t="str">
        <f>HYPERLINK("https://eprel.ec.europa.eu/qr/1694771        ")</f>
        <v xml:space="preserve">https://eprel.ec.europa.eu/qr/1694771        </v>
      </c>
      <c r="U178">
        <v>0.23</v>
      </c>
      <c r="V178">
        <v>0</v>
      </c>
      <c r="W178">
        <v>0</v>
      </c>
      <c r="X178">
        <v>0</v>
      </c>
      <c r="Y178">
        <v>0</v>
      </c>
    </row>
    <row r="179" spans="1:25" ht="15" x14ac:dyDescent="0.25">
      <c r="A179" t="s">
        <v>21</v>
      </c>
      <c r="B179" t="s">
        <v>43</v>
      </c>
      <c r="C179" t="s">
        <v>99</v>
      </c>
      <c r="D179" t="s">
        <v>113</v>
      </c>
      <c r="E179" t="s">
        <v>14</v>
      </c>
      <c r="F179" t="s">
        <v>1855</v>
      </c>
      <c r="G179" t="s">
        <v>241</v>
      </c>
      <c r="H179" t="s">
        <v>879</v>
      </c>
      <c r="I179">
        <v>36.86</v>
      </c>
      <c r="J179" s="41">
        <f>I179/'enter the discount'!$D$7</f>
        <v>8.6278732269088536</v>
      </c>
      <c r="K179" s="41">
        <f>J179*(1-IFERROR(VLOOKUP(H179,'enter the discount'!$D$10:$E$40,2,FALSE),0))</f>
        <v>8.6278732269088536</v>
      </c>
      <c r="L179" s="43" t="s">
        <v>859</v>
      </c>
      <c r="M179" t="s">
        <v>603</v>
      </c>
      <c r="N179" t="s">
        <v>926</v>
      </c>
      <c r="O179" t="s">
        <v>2723</v>
      </c>
      <c r="P179">
        <v>25</v>
      </c>
      <c r="Q179">
        <v>700</v>
      </c>
      <c r="R179" t="s">
        <v>2466</v>
      </c>
      <c r="S179" s="42" t="str">
        <f>HYPERLINK("https://sklep.kobi.pl/produkt/led-t8-22w-150cm-4000k-premium")</f>
        <v>https://sklep.kobi.pl/produkt/led-t8-22w-150cm-4000k-premium</v>
      </c>
      <c r="T179" s="42" t="str">
        <f>HYPERLINK("https://eprel.ec.europa.eu/qr/660795         ")</f>
        <v xml:space="preserve">https://eprel.ec.europa.eu/qr/660795         </v>
      </c>
      <c r="U179">
        <v>0.23499999999999999</v>
      </c>
      <c r="V179">
        <v>0.33600000000000002</v>
      </c>
      <c r="W179">
        <v>30</v>
      </c>
      <c r="X179">
        <v>1500</v>
      </c>
      <c r="Y179">
        <v>30</v>
      </c>
    </row>
    <row r="180" spans="1:25" ht="15" x14ac:dyDescent="0.25">
      <c r="A180" t="s">
        <v>21</v>
      </c>
      <c r="B180" t="s">
        <v>43</v>
      </c>
      <c r="C180" t="s">
        <v>99</v>
      </c>
      <c r="D180" t="s">
        <v>113</v>
      </c>
      <c r="E180" t="s">
        <v>14</v>
      </c>
      <c r="F180" t="s">
        <v>1856</v>
      </c>
      <c r="G180" t="s">
        <v>243</v>
      </c>
      <c r="H180" t="s">
        <v>879</v>
      </c>
      <c r="I180">
        <v>36.86</v>
      </c>
      <c r="J180" s="41">
        <f>I180/'enter the discount'!$D$7</f>
        <v>8.6278732269088536</v>
      </c>
      <c r="K180" s="41">
        <f>J180*(1-IFERROR(VLOOKUP(H180,'enter the discount'!$D$10:$E$40,2,FALSE),0))</f>
        <v>8.6278732269088536</v>
      </c>
      <c r="L180" s="43" t="s">
        <v>859</v>
      </c>
      <c r="M180" t="s">
        <v>605</v>
      </c>
      <c r="N180" t="s">
        <v>926</v>
      </c>
      <c r="O180" t="s">
        <v>2723</v>
      </c>
      <c r="P180">
        <v>25</v>
      </c>
      <c r="Q180">
        <v>700</v>
      </c>
      <c r="R180" t="s">
        <v>2466</v>
      </c>
      <c r="S180" s="42" t="str">
        <f>HYPERLINK("https://sklep.kobi.pl/produkt/led-t8-22w-150cm-6500k-premium")</f>
        <v>https://sklep.kobi.pl/produkt/led-t8-22w-150cm-6500k-premium</v>
      </c>
      <c r="T180" s="42" t="str">
        <f>HYPERLINK("https://eprel.ec.europa.eu/qr/660796         ")</f>
        <v xml:space="preserve">https://eprel.ec.europa.eu/qr/660796         </v>
      </c>
      <c r="U180">
        <v>0.23499999999999999</v>
      </c>
      <c r="V180">
        <v>0.33600000000000002</v>
      </c>
      <c r="W180">
        <v>30</v>
      </c>
      <c r="X180">
        <v>1500</v>
      </c>
      <c r="Y180">
        <v>30</v>
      </c>
    </row>
    <row r="181" spans="1:25" ht="15" x14ac:dyDescent="0.25">
      <c r="A181" t="s">
        <v>21</v>
      </c>
      <c r="B181" t="s">
        <v>43</v>
      </c>
      <c r="C181" t="s">
        <v>86</v>
      </c>
      <c r="D181" t="s">
        <v>111</v>
      </c>
      <c r="E181" t="s">
        <v>14</v>
      </c>
      <c r="F181" t="s">
        <v>1857</v>
      </c>
      <c r="G181" t="s">
        <v>244</v>
      </c>
      <c r="H181" t="s">
        <v>879</v>
      </c>
      <c r="I181">
        <v>23.06</v>
      </c>
      <c r="J181" s="41">
        <f>I181/'enter the discount'!$D$7</f>
        <v>5.397687374186602</v>
      </c>
      <c r="K181" s="41">
        <f>J181*(1-IFERROR(VLOOKUP(H181,'enter the discount'!$D$10:$E$40,2,FALSE),0))</f>
        <v>5.397687374186602</v>
      </c>
      <c r="L181" s="43" t="s">
        <v>858</v>
      </c>
      <c r="M181" t="s">
        <v>606</v>
      </c>
      <c r="N181" t="s">
        <v>926</v>
      </c>
      <c r="O181" t="s">
        <v>2723</v>
      </c>
      <c r="P181">
        <v>100</v>
      </c>
      <c r="Q181">
        <v>6000</v>
      </c>
      <c r="R181" t="s">
        <v>2465</v>
      </c>
      <c r="S181" s="42" t="str">
        <f>HYPERLINK("https://sklep.kobi.pl/produkt/led-insert-standard-5w-milky-cb")</f>
        <v>https://sklep.kobi.pl/produkt/led-insert-standard-5w-milky-cb</v>
      </c>
      <c r="T181" s="42" t="str">
        <f>HYPERLINK("https://eprel.ec.europa.eu/qr/660155         ")</f>
        <v xml:space="preserve">https://eprel.ec.europa.eu/qr/660155         </v>
      </c>
      <c r="U181">
        <v>5.1999999999999998E-2</v>
      </c>
      <c r="V181">
        <v>5.8999999999999997E-2</v>
      </c>
      <c r="W181">
        <v>52</v>
      </c>
      <c r="X181">
        <v>51</v>
      </c>
      <c r="Y181">
        <v>57</v>
      </c>
    </row>
    <row r="182" spans="1:25" ht="15" x14ac:dyDescent="0.25">
      <c r="A182" t="s">
        <v>21</v>
      </c>
      <c r="B182" t="s">
        <v>43</v>
      </c>
      <c r="C182" t="s">
        <v>86</v>
      </c>
      <c r="D182" t="s">
        <v>111</v>
      </c>
      <c r="E182" t="s">
        <v>14</v>
      </c>
      <c r="F182" t="s">
        <v>1858</v>
      </c>
      <c r="G182" t="s">
        <v>245</v>
      </c>
      <c r="H182" t="s">
        <v>879</v>
      </c>
      <c r="I182">
        <v>23.06</v>
      </c>
      <c r="J182" s="41">
        <f>I182/'enter the discount'!$D$7</f>
        <v>5.397687374186602</v>
      </c>
      <c r="K182" s="41">
        <f>J182*(1-IFERROR(VLOOKUP(H182,'enter the discount'!$D$10:$E$40,2,FALSE),0))</f>
        <v>5.397687374186602</v>
      </c>
      <c r="L182" s="43" t="s">
        <v>858</v>
      </c>
      <c r="M182" t="s">
        <v>607</v>
      </c>
      <c r="N182" t="s">
        <v>926</v>
      </c>
      <c r="O182" t="s">
        <v>2723</v>
      </c>
      <c r="P182">
        <v>100</v>
      </c>
      <c r="Q182">
        <v>6000</v>
      </c>
      <c r="R182" t="s">
        <v>2465</v>
      </c>
      <c r="S182" s="42" t="str">
        <f>HYPERLINK("https://sklep.kobi.pl/produkt/led-insert-5w-4000k-milky")</f>
        <v>https://sklep.kobi.pl/produkt/led-insert-5w-4000k-milky</v>
      </c>
      <c r="T182" s="42" t="str">
        <f>HYPERLINK("https://eprel.ec.europa.eu/qr/660157         ")</f>
        <v xml:space="preserve">https://eprel.ec.europa.eu/qr/660157         </v>
      </c>
      <c r="U182">
        <v>5.1999999999999998E-2</v>
      </c>
      <c r="V182">
        <v>5.8999999999999997E-2</v>
      </c>
      <c r="W182">
        <v>50</v>
      </c>
      <c r="X182">
        <v>65</v>
      </c>
      <c r="Y182">
        <v>50</v>
      </c>
    </row>
    <row r="183" spans="1:25" ht="15" x14ac:dyDescent="0.25">
      <c r="A183" t="s">
        <v>21</v>
      </c>
      <c r="B183" t="s">
        <v>43</v>
      </c>
      <c r="C183" t="s">
        <v>86</v>
      </c>
      <c r="D183" t="s">
        <v>111</v>
      </c>
      <c r="E183" t="s">
        <v>14</v>
      </c>
      <c r="F183" t="s">
        <v>1859</v>
      </c>
      <c r="G183" t="s">
        <v>246</v>
      </c>
      <c r="H183" t="s">
        <v>879</v>
      </c>
      <c r="I183">
        <v>23.06</v>
      </c>
      <c r="J183" s="41">
        <f>I183/'enter the discount'!$D$7</f>
        <v>5.397687374186602</v>
      </c>
      <c r="K183" s="41">
        <f>J183*(1-IFERROR(VLOOKUP(H183,'enter the discount'!$D$10:$E$40,2,FALSE),0))</f>
        <v>5.397687374186602</v>
      </c>
      <c r="L183" s="43" t="s">
        <v>858</v>
      </c>
      <c r="M183" t="s">
        <v>608</v>
      </c>
      <c r="N183" t="s">
        <v>926</v>
      </c>
      <c r="O183" t="s">
        <v>2723</v>
      </c>
      <c r="P183">
        <v>100</v>
      </c>
      <c r="Q183">
        <v>6000</v>
      </c>
      <c r="R183" t="s">
        <v>2465</v>
      </c>
      <c r="S183" s="42" t="str">
        <f>HYPERLINK("https://sklep.kobi.pl/produkt/led-insert-5w-6000k-milky")</f>
        <v>https://sklep.kobi.pl/produkt/led-insert-5w-6000k-milky</v>
      </c>
      <c r="T183" s="42" t="str">
        <f>HYPERLINK("https://eprel.ec.europa.eu/qr/660159         ")</f>
        <v xml:space="preserve">https://eprel.ec.europa.eu/qr/660159         </v>
      </c>
      <c r="U183">
        <v>5.1999999999999998E-2</v>
      </c>
      <c r="V183">
        <v>5.8999999999999997E-2</v>
      </c>
      <c r="W183">
        <v>50</v>
      </c>
      <c r="X183">
        <v>65</v>
      </c>
      <c r="Y183">
        <v>50</v>
      </c>
    </row>
    <row r="184" spans="1:25" ht="15" x14ac:dyDescent="0.25">
      <c r="A184" t="s">
        <v>21</v>
      </c>
      <c r="B184" t="s">
        <v>43</v>
      </c>
      <c r="C184" t="s">
        <v>86</v>
      </c>
      <c r="D184" t="s">
        <v>111</v>
      </c>
      <c r="E184" t="s">
        <v>14</v>
      </c>
      <c r="F184" t="s">
        <v>1860</v>
      </c>
      <c r="G184" t="s">
        <v>247</v>
      </c>
      <c r="H184" t="s">
        <v>879</v>
      </c>
      <c r="I184">
        <v>24.12</v>
      </c>
      <c r="J184" s="41">
        <f>I184/'enter the discount'!$D$7</f>
        <v>5.6458030991058479</v>
      </c>
      <c r="K184" s="41">
        <f>J184*(1-IFERROR(VLOOKUP(H184,'enter the discount'!$D$10:$E$40,2,FALSE),0))</f>
        <v>5.6458030991058479</v>
      </c>
      <c r="L184" s="43" t="s">
        <v>858</v>
      </c>
      <c r="M184" t="s">
        <v>609</v>
      </c>
      <c r="N184" t="s">
        <v>926</v>
      </c>
      <c r="O184" t="s">
        <v>2723</v>
      </c>
      <c r="P184">
        <v>100</v>
      </c>
      <c r="Q184">
        <v>6000</v>
      </c>
      <c r="R184" t="s">
        <v>2465</v>
      </c>
      <c r="S184" s="42" t="str">
        <f>HYPERLINK("https://sklep.kobi.pl/produkt/led-insert-65w-3000k-milky")</f>
        <v>https://sklep.kobi.pl/produkt/led-insert-65w-3000k-milky</v>
      </c>
      <c r="T184" s="42" t="str">
        <f>HYPERLINK("https://eprel.ec.europa.eu/qr/660163         ")</f>
        <v xml:space="preserve">https://eprel.ec.europa.eu/qr/660163         </v>
      </c>
      <c r="U184">
        <v>5.1999999999999998E-2</v>
      </c>
      <c r="V184">
        <v>5.8999999999999997E-2</v>
      </c>
      <c r="W184">
        <v>50</v>
      </c>
      <c r="X184">
        <v>65</v>
      </c>
      <c r="Y184">
        <v>50</v>
      </c>
    </row>
    <row r="185" spans="1:25" ht="15" x14ac:dyDescent="0.25">
      <c r="A185" t="s">
        <v>21</v>
      </c>
      <c r="B185" t="s">
        <v>43</v>
      </c>
      <c r="C185" t="s">
        <v>86</v>
      </c>
      <c r="D185" t="s">
        <v>111</v>
      </c>
      <c r="E185" t="s">
        <v>14</v>
      </c>
      <c r="F185" t="s">
        <v>1861</v>
      </c>
      <c r="G185" t="s">
        <v>248</v>
      </c>
      <c r="H185" t="s">
        <v>879</v>
      </c>
      <c r="I185">
        <v>24.12</v>
      </c>
      <c r="J185" s="41">
        <f>I185/'enter the discount'!$D$7</f>
        <v>5.6458030991058479</v>
      </c>
      <c r="K185" s="41">
        <f>J185*(1-IFERROR(VLOOKUP(H185,'enter the discount'!$D$10:$E$40,2,FALSE),0))</f>
        <v>5.6458030991058479</v>
      </c>
      <c r="L185" s="43" t="s">
        <v>858</v>
      </c>
      <c r="M185" t="s">
        <v>610</v>
      </c>
      <c r="N185" t="s">
        <v>926</v>
      </c>
      <c r="O185" t="s">
        <v>2723</v>
      </c>
      <c r="P185">
        <v>100</v>
      </c>
      <c r="Q185">
        <v>6000</v>
      </c>
      <c r="R185" t="s">
        <v>2465</v>
      </c>
      <c r="S185" s="42" t="str">
        <f>HYPERLINK("https://sklep.kobi.pl/produkt/led-insert-65w-4000k-milky")</f>
        <v>https://sklep.kobi.pl/produkt/led-insert-65w-4000k-milky</v>
      </c>
      <c r="T185" s="42" t="str">
        <f>HYPERLINK("https://eprel.ec.europa.eu/qr/660165         ")</f>
        <v xml:space="preserve">https://eprel.ec.europa.eu/qr/660165         </v>
      </c>
      <c r="U185">
        <v>5.1999999999999998E-2</v>
      </c>
      <c r="V185">
        <v>5.8999999999999997E-2</v>
      </c>
      <c r="W185">
        <v>50</v>
      </c>
      <c r="X185">
        <v>65</v>
      </c>
      <c r="Y185">
        <v>50</v>
      </c>
    </row>
    <row r="186" spans="1:25" ht="15" x14ac:dyDescent="0.25">
      <c r="A186" t="s">
        <v>21</v>
      </c>
      <c r="B186" t="s">
        <v>43</v>
      </c>
      <c r="C186" t="s">
        <v>86</v>
      </c>
      <c r="D186" t="s">
        <v>111</v>
      </c>
      <c r="E186" t="s">
        <v>14</v>
      </c>
      <c r="F186" t="s">
        <v>1862</v>
      </c>
      <c r="G186" t="s">
        <v>249</v>
      </c>
      <c r="H186" t="s">
        <v>879</v>
      </c>
      <c r="I186">
        <v>24.12</v>
      </c>
      <c r="J186" s="41">
        <f>I186/'enter the discount'!$D$7</f>
        <v>5.6458030991058479</v>
      </c>
      <c r="K186" s="41">
        <f>J186*(1-IFERROR(VLOOKUP(H186,'enter the discount'!$D$10:$E$40,2,FALSE),0))</f>
        <v>5.6458030991058479</v>
      </c>
      <c r="L186" s="43" t="s">
        <v>858</v>
      </c>
      <c r="M186" t="s">
        <v>611</v>
      </c>
      <c r="N186" t="s">
        <v>926</v>
      </c>
      <c r="O186" t="s">
        <v>2723</v>
      </c>
      <c r="P186">
        <v>100</v>
      </c>
      <c r="Q186">
        <v>6000</v>
      </c>
      <c r="R186" t="s">
        <v>2465</v>
      </c>
      <c r="S186" s="42" t="str">
        <f>HYPERLINK("https://sklep.kobi.pl/produkt/led-insert-65w-6000k-milky")</f>
        <v>https://sklep.kobi.pl/produkt/led-insert-65w-6000k-milky</v>
      </c>
      <c r="T186" s="42" t="str">
        <f>HYPERLINK("https://eprel.ec.europa.eu/qr/660168         ")</f>
        <v xml:space="preserve">https://eprel.ec.europa.eu/qr/660168         </v>
      </c>
      <c r="U186">
        <v>5.1999999999999998E-2</v>
      </c>
      <c r="V186">
        <v>5.8999999999999997E-2</v>
      </c>
      <c r="W186">
        <v>50</v>
      </c>
      <c r="X186">
        <v>65</v>
      </c>
      <c r="Y186">
        <v>50</v>
      </c>
    </row>
    <row r="187" spans="1:25" ht="15" x14ac:dyDescent="0.25">
      <c r="A187" t="s">
        <v>21</v>
      </c>
      <c r="B187" t="s">
        <v>73</v>
      </c>
      <c r="C187"/>
      <c r="D187" t="s">
        <v>111</v>
      </c>
      <c r="E187" t="s">
        <v>2722</v>
      </c>
      <c r="F187" t="s">
        <v>1863</v>
      </c>
      <c r="G187" t="s">
        <v>250</v>
      </c>
      <c r="H187" t="s">
        <v>0</v>
      </c>
      <c r="I187">
        <v>54.55</v>
      </c>
      <c r="J187" s="41">
        <f>I187/'enter the discount'!$D$7</f>
        <v>12.768596975797013</v>
      </c>
      <c r="K187" s="41">
        <f>J187*(1-IFERROR(VLOOKUP(H187,'enter the discount'!$D$10:$E$40,2,FALSE),0))</f>
        <v>12.768596975797013</v>
      </c>
      <c r="L187" s="43" t="s">
        <v>858</v>
      </c>
      <c r="M187" t="s">
        <v>612</v>
      </c>
      <c r="N187" t="s">
        <v>927</v>
      </c>
      <c r="O187" t="s">
        <v>2723</v>
      </c>
      <c r="P187">
        <v>50</v>
      </c>
      <c r="Q187">
        <v>0</v>
      </c>
      <c r="R187" t="s">
        <v>2465</v>
      </c>
      <c r="S187"/>
      <c r="T187" s="42" t="str">
        <f>HYPERLINK("https://eprel.ec.europa.eu/qr/660827         ")</f>
        <v xml:space="preserve">https://eprel.ec.europa.eu/qr/660827         </v>
      </c>
      <c r="U187">
        <v>3.5999999999999997E-2</v>
      </c>
      <c r="V187">
        <v>0.14399999999999999</v>
      </c>
      <c r="W187">
        <v>10</v>
      </c>
      <c r="X187">
        <v>160</v>
      </c>
      <c r="Y187">
        <v>170</v>
      </c>
    </row>
    <row r="188" spans="1:25" ht="15" x14ac:dyDescent="0.25">
      <c r="A188" t="s">
        <v>21</v>
      </c>
      <c r="B188" t="s">
        <v>73</v>
      </c>
      <c r="C188" t="s">
        <v>71</v>
      </c>
      <c r="D188" t="s">
        <v>113</v>
      </c>
      <c r="E188" t="s">
        <v>2722</v>
      </c>
      <c r="F188" t="s">
        <v>1864</v>
      </c>
      <c r="G188" t="s">
        <v>251</v>
      </c>
      <c r="H188" t="s">
        <v>0</v>
      </c>
      <c r="I188">
        <v>217.65</v>
      </c>
      <c r="J188" s="41">
        <f>I188/'enter the discount'!$D$7</f>
        <v>50.945648611956372</v>
      </c>
      <c r="K188" s="41">
        <f>J188*(1-IFERROR(VLOOKUP(H188,'enter the discount'!$D$10:$E$40,2,FALSE),0))</f>
        <v>50.945648611956372</v>
      </c>
      <c r="L188" s="43" t="s">
        <v>858</v>
      </c>
      <c r="M188" t="s">
        <v>613</v>
      </c>
      <c r="N188" t="s">
        <v>927</v>
      </c>
      <c r="O188" t="s">
        <v>2723</v>
      </c>
      <c r="P188">
        <v>50</v>
      </c>
      <c r="Q188">
        <v>0</v>
      </c>
      <c r="R188" t="s">
        <v>2467</v>
      </c>
      <c r="S188" s="42" t="str">
        <f>HYPERLINK("https://sklep.kobi.pl/produkt/tasma-led-300-2835-ip65-cb-5m-premium")</f>
        <v>https://sklep.kobi.pl/produkt/tasma-led-300-2835-ip65-cb-5m-premium</v>
      </c>
      <c r="T188" s="42" t="str">
        <f>HYPERLINK("https://eprel.ec.europa.eu/qr/660841         ")</f>
        <v xml:space="preserve">https://eprel.ec.europa.eu/qr/660841         </v>
      </c>
      <c r="U188">
        <v>0.13900000000000001</v>
      </c>
      <c r="V188">
        <v>0.154</v>
      </c>
      <c r="W188">
        <v>16</v>
      </c>
      <c r="X188">
        <v>181</v>
      </c>
      <c r="Y188">
        <v>180</v>
      </c>
    </row>
    <row r="189" spans="1:25" ht="15" x14ac:dyDescent="0.25">
      <c r="A189" t="s">
        <v>21</v>
      </c>
      <c r="B189" t="s">
        <v>73</v>
      </c>
      <c r="C189" t="s">
        <v>95</v>
      </c>
      <c r="D189" t="s">
        <v>111</v>
      </c>
      <c r="E189" t="s">
        <v>2722</v>
      </c>
      <c r="F189" t="s">
        <v>1865</v>
      </c>
      <c r="G189" t="s">
        <v>252</v>
      </c>
      <c r="H189" t="s">
        <v>0</v>
      </c>
      <c r="I189">
        <v>72.790000000000006</v>
      </c>
      <c r="J189" s="41">
        <f>I189/'enter the discount'!$D$7</f>
        <v>17.038060015916859</v>
      </c>
      <c r="K189" s="41">
        <f>J189*(1-IFERROR(VLOOKUP(H189,'enter the discount'!$D$10:$E$40,2,FALSE),0))</f>
        <v>17.038060015916859</v>
      </c>
      <c r="L189" s="43" t="s">
        <v>2549</v>
      </c>
      <c r="M189" t="s">
        <v>614</v>
      </c>
      <c r="N189" t="s">
        <v>927</v>
      </c>
      <c r="O189" t="s">
        <v>2723</v>
      </c>
      <c r="P189">
        <v>50</v>
      </c>
      <c r="Q189">
        <v>0</v>
      </c>
      <c r="R189" t="s">
        <v>2465</v>
      </c>
      <c r="S189" s="42" t="str">
        <f>HYPERLINK("https://sklep.kobi.pl/produkt/led-tramo-300-2835-ip65-green-5m")</f>
        <v>https://sklep.kobi.pl/produkt/led-tramo-300-2835-ip65-green-5m</v>
      </c>
      <c r="T189" s="42" t="str">
        <f>HYPERLINK("https://eprel.ec.europa.eu/qr/NIE DOTYCZY    ")</f>
        <v xml:space="preserve">https://eprel.ec.europa.eu/qr/NIE DOTYCZY    </v>
      </c>
      <c r="U189">
        <v>7.0000000000000007E-2</v>
      </c>
      <c r="V189">
        <v>0.154</v>
      </c>
      <c r="W189">
        <v>160</v>
      </c>
      <c r="X189">
        <v>190</v>
      </c>
      <c r="Y189">
        <v>15</v>
      </c>
    </row>
    <row r="190" spans="1:25" ht="15" x14ac:dyDescent="0.25">
      <c r="A190" t="s">
        <v>21</v>
      </c>
      <c r="B190" t="s">
        <v>73</v>
      </c>
      <c r="C190" t="s">
        <v>95</v>
      </c>
      <c r="D190" t="s">
        <v>111</v>
      </c>
      <c r="E190" t="s">
        <v>2722</v>
      </c>
      <c r="F190" t="s">
        <v>1866</v>
      </c>
      <c r="G190" t="s">
        <v>253</v>
      </c>
      <c r="H190" t="s">
        <v>0</v>
      </c>
      <c r="I190">
        <v>72.790000000000006</v>
      </c>
      <c r="J190" s="41">
        <f>I190/'enter the discount'!$D$7</f>
        <v>17.038060015916859</v>
      </c>
      <c r="K190" s="41">
        <f>J190*(1-IFERROR(VLOOKUP(H190,'enter the discount'!$D$10:$E$40,2,FALSE),0))</f>
        <v>17.038060015916859</v>
      </c>
      <c r="L190" s="43" t="s">
        <v>2549</v>
      </c>
      <c r="M190" t="s">
        <v>615</v>
      </c>
      <c r="N190" t="s">
        <v>927</v>
      </c>
      <c r="O190" t="s">
        <v>2723</v>
      </c>
      <c r="P190">
        <v>50</v>
      </c>
      <c r="Q190">
        <v>0</v>
      </c>
      <c r="R190" t="s">
        <v>2465</v>
      </c>
      <c r="S190" s="42" t="str">
        <f>HYPERLINK("https://sklep.kobi.pl/produkt/led-tramo-300-2835-ip65-red-5m")</f>
        <v>https://sklep.kobi.pl/produkt/led-tramo-300-2835-ip65-red-5m</v>
      </c>
      <c r="T190" s="42" t="str">
        <f>HYPERLINK("https://eprel.ec.europa.eu/qr/NIE DOTYCZY    ")</f>
        <v xml:space="preserve">https://eprel.ec.europa.eu/qr/NIE DOTYCZY    </v>
      </c>
      <c r="U190">
        <v>7.0000000000000007E-2</v>
      </c>
      <c r="V190">
        <v>0.154</v>
      </c>
      <c r="W190">
        <v>160</v>
      </c>
      <c r="X190">
        <v>190</v>
      </c>
      <c r="Y190">
        <v>15</v>
      </c>
    </row>
    <row r="191" spans="1:25" ht="15" x14ac:dyDescent="0.25">
      <c r="A191" t="s">
        <v>21</v>
      </c>
      <c r="B191" t="s">
        <v>73</v>
      </c>
      <c r="C191" t="s">
        <v>95</v>
      </c>
      <c r="D191" t="s">
        <v>111</v>
      </c>
      <c r="E191" t="s">
        <v>2722</v>
      </c>
      <c r="F191" t="s">
        <v>1867</v>
      </c>
      <c r="G191" t="s">
        <v>254</v>
      </c>
      <c r="H191" t="s">
        <v>0</v>
      </c>
      <c r="I191">
        <v>72.790000000000006</v>
      </c>
      <c r="J191" s="41">
        <f>I191/'enter the discount'!$D$7</f>
        <v>17.038060015916859</v>
      </c>
      <c r="K191" s="41">
        <f>J191*(1-IFERROR(VLOOKUP(H191,'enter the discount'!$D$10:$E$40,2,FALSE),0))</f>
        <v>17.038060015916859</v>
      </c>
      <c r="L191" s="43" t="s">
        <v>2549</v>
      </c>
      <c r="M191" t="s">
        <v>616</v>
      </c>
      <c r="N191" t="s">
        <v>927</v>
      </c>
      <c r="O191" t="s">
        <v>2723</v>
      </c>
      <c r="P191">
        <v>50</v>
      </c>
      <c r="Q191">
        <v>0</v>
      </c>
      <c r="R191" t="s">
        <v>2465</v>
      </c>
      <c r="S191" s="42" t="str">
        <f>HYPERLINK("https://sklep.kobi.pl/produkt/led-tramo-300-2835-ip65-yellow-5m")</f>
        <v>https://sklep.kobi.pl/produkt/led-tramo-300-2835-ip65-yellow-5m</v>
      </c>
      <c r="T191" s="42" t="str">
        <f>HYPERLINK("https://eprel.ec.europa.eu/qr/NIE DOTYCZY    ")</f>
        <v xml:space="preserve">https://eprel.ec.europa.eu/qr/NIE DOTYCZY    </v>
      </c>
      <c r="U191">
        <v>7.0000000000000007E-2</v>
      </c>
      <c r="V191">
        <v>0.154</v>
      </c>
      <c r="W191">
        <v>160</v>
      </c>
      <c r="X191">
        <v>190</v>
      </c>
      <c r="Y191">
        <v>15</v>
      </c>
    </row>
    <row r="192" spans="1:25" ht="15" x14ac:dyDescent="0.25">
      <c r="A192" t="s">
        <v>21</v>
      </c>
      <c r="B192" t="s">
        <v>73</v>
      </c>
      <c r="C192" t="s">
        <v>96</v>
      </c>
      <c r="D192" t="s">
        <v>111</v>
      </c>
      <c r="E192" t="s">
        <v>2722</v>
      </c>
      <c r="F192" t="s">
        <v>1868</v>
      </c>
      <c r="G192" t="s">
        <v>255</v>
      </c>
      <c r="H192" t="s">
        <v>0</v>
      </c>
      <c r="I192">
        <v>49.81</v>
      </c>
      <c r="J192" s="41">
        <f>I192/'enter the discount'!$D$7</f>
        <v>11.659098356818502</v>
      </c>
      <c r="K192" s="41">
        <f>J192*(1-IFERROR(VLOOKUP(H192,'enter the discount'!$D$10:$E$40,2,FALSE),0))</f>
        <v>11.659098356818502</v>
      </c>
      <c r="L192" s="43" t="s">
        <v>2549</v>
      </c>
      <c r="M192" t="s">
        <v>617</v>
      </c>
      <c r="N192" t="s">
        <v>927</v>
      </c>
      <c r="O192" t="s">
        <v>2723</v>
      </c>
      <c r="P192">
        <v>50</v>
      </c>
      <c r="Q192">
        <v>0</v>
      </c>
      <c r="R192" t="s">
        <v>2465</v>
      </c>
      <c r="S192" s="42" t="str">
        <f>HYPERLINK("https://sklep.kobi.pl/produkt/led-tramo-300-2835-ip20-green-5m")</f>
        <v>https://sklep.kobi.pl/produkt/led-tramo-300-2835-ip20-green-5m</v>
      </c>
      <c r="T192" s="42" t="str">
        <f>HYPERLINK("https://eprel.ec.europa.eu/qr/NIE DOTYCZY    ")</f>
        <v xml:space="preserve">https://eprel.ec.europa.eu/qr/NIE DOTYCZY    </v>
      </c>
      <c r="U192">
        <v>3.5999999999999997E-2</v>
      </c>
      <c r="V192">
        <v>0.14399999999999999</v>
      </c>
      <c r="W192">
        <v>160</v>
      </c>
      <c r="X192">
        <v>190</v>
      </c>
      <c r="Y192">
        <v>15</v>
      </c>
    </row>
    <row r="193" spans="1:25" ht="15" x14ac:dyDescent="0.25">
      <c r="A193" t="s">
        <v>21</v>
      </c>
      <c r="B193" t="s">
        <v>73</v>
      </c>
      <c r="C193" t="s">
        <v>96</v>
      </c>
      <c r="D193" t="s">
        <v>111</v>
      </c>
      <c r="E193" t="s">
        <v>2722</v>
      </c>
      <c r="F193" t="s">
        <v>1869</v>
      </c>
      <c r="G193" t="s">
        <v>256</v>
      </c>
      <c r="H193" t="s">
        <v>0</v>
      </c>
      <c r="I193">
        <v>49.81</v>
      </c>
      <c r="J193" s="41">
        <f>I193/'enter the discount'!$D$7</f>
        <v>11.659098356818502</v>
      </c>
      <c r="K193" s="41">
        <f>J193*(1-IFERROR(VLOOKUP(H193,'enter the discount'!$D$10:$E$40,2,FALSE),0))</f>
        <v>11.659098356818502</v>
      </c>
      <c r="L193" s="43" t="s">
        <v>2549</v>
      </c>
      <c r="M193" t="s">
        <v>618</v>
      </c>
      <c r="N193" t="s">
        <v>927</v>
      </c>
      <c r="O193" t="s">
        <v>2723</v>
      </c>
      <c r="P193">
        <v>50</v>
      </c>
      <c r="Q193">
        <v>0</v>
      </c>
      <c r="R193" t="s">
        <v>2465</v>
      </c>
      <c r="S193" s="42" t="str">
        <f>HYPERLINK("https://sklep.kobi.pl/produkt/led-tramo-300-2835-ip20-red-5m")</f>
        <v>https://sklep.kobi.pl/produkt/led-tramo-300-2835-ip20-red-5m</v>
      </c>
      <c r="T193" s="42" t="str">
        <f>HYPERLINK("https://eprel.ec.europa.eu/qr/NIE DOTYCZY    ")</f>
        <v xml:space="preserve">https://eprel.ec.europa.eu/qr/NIE DOTYCZY    </v>
      </c>
      <c r="U193">
        <v>3.5999999999999997E-2</v>
      </c>
      <c r="V193">
        <v>0.14399999999999999</v>
      </c>
      <c r="W193">
        <v>160</v>
      </c>
      <c r="X193">
        <v>190</v>
      </c>
      <c r="Y193">
        <v>15</v>
      </c>
    </row>
    <row r="194" spans="1:25" ht="15" x14ac:dyDescent="0.25">
      <c r="A194" t="s">
        <v>21</v>
      </c>
      <c r="B194" t="s">
        <v>73</v>
      </c>
      <c r="C194" t="s">
        <v>96</v>
      </c>
      <c r="D194" t="s">
        <v>111</v>
      </c>
      <c r="E194" t="s">
        <v>2722</v>
      </c>
      <c r="F194" t="s">
        <v>1870</v>
      </c>
      <c r="G194" t="s">
        <v>257</v>
      </c>
      <c r="H194" t="s">
        <v>0</v>
      </c>
      <c r="I194">
        <v>49.81</v>
      </c>
      <c r="J194" s="41">
        <f>I194/'enter the discount'!$D$7</f>
        <v>11.659098356818502</v>
      </c>
      <c r="K194" s="41">
        <f>J194*(1-IFERROR(VLOOKUP(H194,'enter the discount'!$D$10:$E$40,2,FALSE),0))</f>
        <v>11.659098356818502</v>
      </c>
      <c r="L194" s="43" t="s">
        <v>2549</v>
      </c>
      <c r="M194" t="s">
        <v>619</v>
      </c>
      <c r="N194" t="s">
        <v>927</v>
      </c>
      <c r="O194" t="s">
        <v>2723</v>
      </c>
      <c r="P194">
        <v>50</v>
      </c>
      <c r="Q194">
        <v>0</v>
      </c>
      <c r="R194" t="s">
        <v>2465</v>
      </c>
      <c r="S194" s="42" t="str">
        <f>HYPERLINK("https://sklep.kobi.pl/produkt/led-tramo-300-2835-ip20-yellow-5m")</f>
        <v>https://sklep.kobi.pl/produkt/led-tramo-300-2835-ip20-yellow-5m</v>
      </c>
      <c r="T194" s="42" t="str">
        <f>HYPERLINK("https://eprel.ec.europa.eu/qr/NIE DOTYCZY    ")</f>
        <v xml:space="preserve">https://eprel.ec.europa.eu/qr/NIE DOTYCZY    </v>
      </c>
      <c r="U194">
        <v>3.5999999999999997E-2</v>
      </c>
      <c r="V194">
        <v>0.14399999999999999</v>
      </c>
      <c r="W194">
        <v>160</v>
      </c>
      <c r="X194">
        <v>190</v>
      </c>
      <c r="Y194">
        <v>15</v>
      </c>
    </row>
    <row r="195" spans="1:25" ht="15" x14ac:dyDescent="0.25">
      <c r="A195" t="s">
        <v>21</v>
      </c>
      <c r="B195" t="s">
        <v>73</v>
      </c>
      <c r="C195"/>
      <c r="D195" t="s">
        <v>111</v>
      </c>
      <c r="E195" t="s">
        <v>14</v>
      </c>
      <c r="F195" t="s">
        <v>1871</v>
      </c>
      <c r="G195" t="s">
        <v>1473</v>
      </c>
      <c r="H195" t="s">
        <v>0</v>
      </c>
      <c r="I195">
        <v>62</v>
      </c>
      <c r="J195" s="41">
        <f>I195/'enter the discount'!$D$7</f>
        <v>14.512429193389824</v>
      </c>
      <c r="K195" s="41">
        <f>J195*(1-IFERROR(VLOOKUP(H195,'enter the discount'!$D$10:$E$40,2,FALSE),0))</f>
        <v>14.512429193389824</v>
      </c>
      <c r="L195" s="43" t="s">
        <v>858</v>
      </c>
      <c r="M195" t="s">
        <v>1474</v>
      </c>
      <c r="N195" t="s">
        <v>927</v>
      </c>
      <c r="O195" t="s">
        <v>2723</v>
      </c>
      <c r="P195">
        <v>50</v>
      </c>
      <c r="Q195">
        <v>0</v>
      </c>
      <c r="R195" t="s">
        <v>2466</v>
      </c>
      <c r="S195" s="42" t="str">
        <f>HYPERLINK("https://sklep.kobi.pl/produkt/led-tramo-320-cob-ip20-3000k-5m")</f>
        <v>https://sklep.kobi.pl/produkt/led-tramo-320-cob-ip20-3000k-5m</v>
      </c>
      <c r="T195" s="42" t="str">
        <f>HYPERLINK("https://eprel.ec.europa.eu/qr/1817900        ")</f>
        <v xml:space="preserve">https://eprel.ec.europa.eu/qr/1817900        </v>
      </c>
      <c r="U195">
        <v>0.08</v>
      </c>
      <c r="V195">
        <v>0</v>
      </c>
      <c r="W195">
        <v>0</v>
      </c>
      <c r="X195">
        <v>0</v>
      </c>
      <c r="Y195">
        <v>0</v>
      </c>
    </row>
    <row r="196" spans="1:25" ht="15" x14ac:dyDescent="0.25">
      <c r="A196" t="s">
        <v>21</v>
      </c>
      <c r="B196" t="s">
        <v>73</v>
      </c>
      <c r="C196"/>
      <c r="D196" t="s">
        <v>111</v>
      </c>
      <c r="E196" t="s">
        <v>14</v>
      </c>
      <c r="F196" t="s">
        <v>1872</v>
      </c>
      <c r="G196" t="s">
        <v>1475</v>
      </c>
      <c r="H196" t="s">
        <v>0</v>
      </c>
      <c r="I196">
        <v>62</v>
      </c>
      <c r="J196" s="41">
        <f>I196/'enter the discount'!$D$7</f>
        <v>14.512429193389824</v>
      </c>
      <c r="K196" s="41">
        <f>J196*(1-IFERROR(VLOOKUP(H196,'enter the discount'!$D$10:$E$40,2,FALSE),0))</f>
        <v>14.512429193389824</v>
      </c>
      <c r="L196" s="43" t="s">
        <v>858</v>
      </c>
      <c r="M196" t="s">
        <v>1476</v>
      </c>
      <c r="N196" t="s">
        <v>927</v>
      </c>
      <c r="O196" t="s">
        <v>2723</v>
      </c>
      <c r="P196">
        <v>50</v>
      </c>
      <c r="Q196">
        <v>0</v>
      </c>
      <c r="R196" t="s">
        <v>2466</v>
      </c>
      <c r="S196" s="42" t="str">
        <f>HYPERLINK("https://sklep.kobi.pl/produkt/led-tramo-320-cob-ip20-4000k-5m")</f>
        <v>https://sklep.kobi.pl/produkt/led-tramo-320-cob-ip20-4000k-5m</v>
      </c>
      <c r="T196" s="42" t="str">
        <f>HYPERLINK("https://eprel.ec.europa.eu/qr/1817939        ")</f>
        <v xml:space="preserve">https://eprel.ec.europa.eu/qr/1817939        </v>
      </c>
      <c r="U196">
        <v>0.08</v>
      </c>
      <c r="V196">
        <v>0</v>
      </c>
      <c r="W196">
        <v>0</v>
      </c>
      <c r="X196">
        <v>0</v>
      </c>
      <c r="Y196">
        <v>0</v>
      </c>
    </row>
    <row r="197" spans="1:25" ht="15" x14ac:dyDescent="0.25">
      <c r="A197" t="s">
        <v>21</v>
      </c>
      <c r="B197" t="s">
        <v>73</v>
      </c>
      <c r="C197"/>
      <c r="D197" t="s">
        <v>111</v>
      </c>
      <c r="E197" t="s">
        <v>14</v>
      </c>
      <c r="F197" t="s">
        <v>1873</v>
      </c>
      <c r="G197" t="s">
        <v>1477</v>
      </c>
      <c r="H197" t="s">
        <v>0</v>
      </c>
      <c r="I197">
        <v>62</v>
      </c>
      <c r="J197" s="41">
        <f>I197/'enter the discount'!$D$7</f>
        <v>14.512429193389824</v>
      </c>
      <c r="K197" s="41">
        <f>J197*(1-IFERROR(VLOOKUP(H197,'enter the discount'!$D$10:$E$40,2,FALSE),0))</f>
        <v>14.512429193389824</v>
      </c>
      <c r="L197" s="43" t="s">
        <v>858</v>
      </c>
      <c r="M197" t="s">
        <v>1478</v>
      </c>
      <c r="N197" t="s">
        <v>927</v>
      </c>
      <c r="O197" t="s">
        <v>2723</v>
      </c>
      <c r="P197">
        <v>50</v>
      </c>
      <c r="Q197">
        <v>0</v>
      </c>
      <c r="R197" t="s">
        <v>2466</v>
      </c>
      <c r="S197" s="42" t="str">
        <f>HYPERLINK("https://sklep.kobi.pl/produkt/led-tramo-320-cob-ip20-6500k-5m")</f>
        <v>https://sklep.kobi.pl/produkt/led-tramo-320-cob-ip20-6500k-5m</v>
      </c>
      <c r="T197" s="42" t="str">
        <f>HYPERLINK("https://eprel.ec.europa.eu/qr/1818051        ")</f>
        <v xml:space="preserve">https://eprel.ec.europa.eu/qr/1818051        </v>
      </c>
      <c r="U197">
        <v>0.08</v>
      </c>
      <c r="V197">
        <v>0</v>
      </c>
      <c r="W197">
        <v>0</v>
      </c>
      <c r="X197">
        <v>0</v>
      </c>
      <c r="Y197">
        <v>0</v>
      </c>
    </row>
    <row r="198" spans="1:25" ht="15" x14ac:dyDescent="0.25">
      <c r="A198" t="s">
        <v>21</v>
      </c>
      <c r="B198" t="s">
        <v>73</v>
      </c>
      <c r="C198"/>
      <c r="D198" t="s">
        <v>111</v>
      </c>
      <c r="E198" t="s">
        <v>14</v>
      </c>
      <c r="F198" t="s">
        <v>1874</v>
      </c>
      <c r="G198" t="s">
        <v>1479</v>
      </c>
      <c r="H198" t="s">
        <v>0</v>
      </c>
      <c r="I198">
        <v>87.48</v>
      </c>
      <c r="J198" s="41">
        <f>I198/'enter the discount'!$D$7</f>
        <v>20.476569448995836</v>
      </c>
      <c r="K198" s="41">
        <f>J198*(1-IFERROR(VLOOKUP(H198,'enter the discount'!$D$10:$E$40,2,FALSE),0))</f>
        <v>20.476569448995836</v>
      </c>
      <c r="L198" s="43" t="s">
        <v>860</v>
      </c>
      <c r="M198" t="s">
        <v>1480</v>
      </c>
      <c r="N198" t="s">
        <v>927</v>
      </c>
      <c r="O198" t="s">
        <v>2723</v>
      </c>
      <c r="P198">
        <v>50</v>
      </c>
      <c r="Q198">
        <v>0</v>
      </c>
      <c r="R198" t="s">
        <v>2466</v>
      </c>
      <c r="S198" s="42" t="str">
        <f>HYPERLINK("https://sklep.kobi.pl/produkt/led-tramo-320-cob-ip65-3000k-5m")</f>
        <v>https://sklep.kobi.pl/produkt/led-tramo-320-cob-ip65-3000k-5m</v>
      </c>
      <c r="T198" s="42" t="str">
        <f>HYPERLINK("https://eprel.ec.europa.eu/qr/1817916        ")</f>
        <v xml:space="preserve">https://eprel.ec.europa.eu/qr/1817916        </v>
      </c>
      <c r="U198">
        <v>0.11</v>
      </c>
      <c r="V198">
        <v>0</v>
      </c>
      <c r="W198">
        <v>0</v>
      </c>
      <c r="X198">
        <v>0</v>
      </c>
      <c r="Y198">
        <v>0</v>
      </c>
    </row>
    <row r="199" spans="1:25" ht="15" x14ac:dyDescent="0.25">
      <c r="A199" t="s">
        <v>21</v>
      </c>
      <c r="B199" t="s">
        <v>73</v>
      </c>
      <c r="C199"/>
      <c r="D199" t="s">
        <v>111</v>
      </c>
      <c r="E199" t="s">
        <v>14</v>
      </c>
      <c r="F199" t="s">
        <v>1875</v>
      </c>
      <c r="G199" t="s">
        <v>1481</v>
      </c>
      <c r="H199" t="s">
        <v>0</v>
      </c>
      <c r="I199">
        <v>87.48</v>
      </c>
      <c r="J199" s="41">
        <f>I199/'enter the discount'!$D$7</f>
        <v>20.476569448995836</v>
      </c>
      <c r="K199" s="41">
        <f>J199*(1-IFERROR(VLOOKUP(H199,'enter the discount'!$D$10:$E$40,2,FALSE),0))</f>
        <v>20.476569448995836</v>
      </c>
      <c r="L199" s="43" t="s">
        <v>858</v>
      </c>
      <c r="M199" t="s">
        <v>1482</v>
      </c>
      <c r="N199" t="s">
        <v>927</v>
      </c>
      <c r="O199" t="s">
        <v>2723</v>
      </c>
      <c r="P199">
        <v>50</v>
      </c>
      <c r="Q199">
        <v>0</v>
      </c>
      <c r="R199" t="s">
        <v>2466</v>
      </c>
      <c r="S199" s="42" t="str">
        <f>HYPERLINK("https://sklep.kobi.pl/produkt/led-tramo-320-cob-ip65-4000k-5m")</f>
        <v>https://sklep.kobi.pl/produkt/led-tramo-320-cob-ip65-4000k-5m</v>
      </c>
      <c r="T199" s="42" t="str">
        <f>HYPERLINK("https://eprel.ec.europa.eu/qr/1817987        ")</f>
        <v xml:space="preserve">https://eprel.ec.europa.eu/qr/1817987        </v>
      </c>
      <c r="U199">
        <v>0.11</v>
      </c>
      <c r="V199">
        <v>0</v>
      </c>
      <c r="W199">
        <v>0</v>
      </c>
      <c r="X199">
        <v>0</v>
      </c>
      <c r="Y199">
        <v>0</v>
      </c>
    </row>
    <row r="200" spans="1:25" ht="15" x14ac:dyDescent="0.25">
      <c r="A200" t="s">
        <v>21</v>
      </c>
      <c r="B200" t="s">
        <v>73</v>
      </c>
      <c r="C200"/>
      <c r="D200" t="s">
        <v>111</v>
      </c>
      <c r="E200" t="s">
        <v>14</v>
      </c>
      <c r="F200" t="s">
        <v>1876</v>
      </c>
      <c r="G200" t="s">
        <v>1483</v>
      </c>
      <c r="H200" t="s">
        <v>0</v>
      </c>
      <c r="I200">
        <v>87.48</v>
      </c>
      <c r="J200" s="41">
        <f>I200/'enter the discount'!$D$7</f>
        <v>20.476569448995836</v>
      </c>
      <c r="K200" s="41">
        <f>J200*(1-IFERROR(VLOOKUP(H200,'enter the discount'!$D$10:$E$40,2,FALSE),0))</f>
        <v>20.476569448995836</v>
      </c>
      <c r="L200" s="43" t="s">
        <v>858</v>
      </c>
      <c r="M200" t="s">
        <v>1484</v>
      </c>
      <c r="N200" t="s">
        <v>927</v>
      </c>
      <c r="O200" t="s">
        <v>2723</v>
      </c>
      <c r="P200">
        <v>50</v>
      </c>
      <c r="Q200">
        <v>0</v>
      </c>
      <c r="R200" t="s">
        <v>2466</v>
      </c>
      <c r="S200" s="42" t="str">
        <f>HYPERLINK("https://sklep.kobi.pl/produkt/led-tramo-320-cob-ip65-6500k-5m")</f>
        <v>https://sklep.kobi.pl/produkt/led-tramo-320-cob-ip65-6500k-5m</v>
      </c>
      <c r="T200" s="42" t="str">
        <f>HYPERLINK("https://eprel.ec.europa.eu/qr/1818059        ")</f>
        <v xml:space="preserve">https://eprel.ec.europa.eu/qr/1818059        </v>
      </c>
      <c r="U200">
        <v>0.11</v>
      </c>
      <c r="V200">
        <v>0</v>
      </c>
      <c r="W200">
        <v>0</v>
      </c>
      <c r="X200">
        <v>0</v>
      </c>
      <c r="Y200">
        <v>0</v>
      </c>
    </row>
    <row r="201" spans="1:25" ht="15" x14ac:dyDescent="0.25">
      <c r="A201" t="s">
        <v>21</v>
      </c>
      <c r="B201" t="s">
        <v>73</v>
      </c>
      <c r="C201" t="s">
        <v>1562</v>
      </c>
      <c r="D201" t="s">
        <v>111</v>
      </c>
      <c r="E201" t="s">
        <v>14</v>
      </c>
      <c r="F201" t="s">
        <v>1877</v>
      </c>
      <c r="G201" t="s">
        <v>1338</v>
      </c>
      <c r="H201" t="s">
        <v>0</v>
      </c>
      <c r="I201">
        <v>126.61</v>
      </c>
      <c r="J201" s="41">
        <f>I201/'enter the discount'!$D$7</f>
        <v>29.635784841533638</v>
      </c>
      <c r="K201" s="41">
        <f>J201*(1-IFERROR(VLOOKUP(H201,'enter the discount'!$D$10:$E$40,2,FALSE),0))</f>
        <v>29.635784841533638</v>
      </c>
      <c r="L201" s="43" t="s">
        <v>2540</v>
      </c>
      <c r="M201" t="s">
        <v>1339</v>
      </c>
      <c r="N201" t="s">
        <v>927</v>
      </c>
      <c r="O201" t="s">
        <v>2723</v>
      </c>
      <c r="P201">
        <v>20</v>
      </c>
      <c r="Q201">
        <v>0</v>
      </c>
      <c r="R201" t="s">
        <v>2465</v>
      </c>
      <c r="S201" s="42" t="str">
        <f>HYPERLINK("https://sklep.kobi.pl/produkt/lumos-led-set-3000k-ip20-3m")</f>
        <v>https://sklep.kobi.pl/produkt/lumos-led-set-3000k-ip20-3m</v>
      </c>
      <c r="T201" s="42" t="str">
        <f>HYPERLINK("https://eprel.ec.europa.eu/qr/1572012        ")</f>
        <v xml:space="preserve">https://eprel.ec.europa.eu/qr/1572012        </v>
      </c>
      <c r="U201">
        <v>0.18</v>
      </c>
      <c r="V201">
        <v>0</v>
      </c>
      <c r="W201">
        <v>0</v>
      </c>
      <c r="X201">
        <v>0</v>
      </c>
      <c r="Y201">
        <v>0</v>
      </c>
    </row>
    <row r="202" spans="1:25" ht="15" x14ac:dyDescent="0.25">
      <c r="A202" t="s">
        <v>21</v>
      </c>
      <c r="B202" t="s">
        <v>73</v>
      </c>
      <c r="C202" t="s">
        <v>1562</v>
      </c>
      <c r="D202" t="s">
        <v>111</v>
      </c>
      <c r="E202" t="s">
        <v>14</v>
      </c>
      <c r="F202" t="s">
        <v>1878</v>
      </c>
      <c r="G202" t="s">
        <v>1340</v>
      </c>
      <c r="H202" t="s">
        <v>0</v>
      </c>
      <c r="I202">
        <v>126.61</v>
      </c>
      <c r="J202" s="41">
        <f>I202/'enter the discount'!$D$7</f>
        <v>29.635784841533638</v>
      </c>
      <c r="K202" s="41">
        <f>J202*(1-IFERROR(VLOOKUP(H202,'enter the discount'!$D$10:$E$40,2,FALSE),0))</f>
        <v>29.635784841533638</v>
      </c>
      <c r="L202" s="43" t="s">
        <v>2540</v>
      </c>
      <c r="M202" t="s">
        <v>1341</v>
      </c>
      <c r="N202" t="s">
        <v>927</v>
      </c>
      <c r="O202" t="s">
        <v>2723</v>
      </c>
      <c r="P202">
        <v>20</v>
      </c>
      <c r="Q202">
        <v>0</v>
      </c>
      <c r="R202" t="s">
        <v>2465</v>
      </c>
      <c r="S202" s="42" t="str">
        <f>HYPERLINK("https://sklep.kobi.pl/produkt/lumos-led-set-4000k-ip20-3m")</f>
        <v>https://sklep.kobi.pl/produkt/lumos-led-set-4000k-ip20-3m</v>
      </c>
      <c r="T202" s="42" t="str">
        <f>HYPERLINK("https://eprel.ec.europa.eu/qr/1572019        ")</f>
        <v xml:space="preserve">https://eprel.ec.europa.eu/qr/1572019        </v>
      </c>
      <c r="U202">
        <v>0.18</v>
      </c>
      <c r="V202">
        <v>0</v>
      </c>
      <c r="W202">
        <v>0</v>
      </c>
      <c r="X202">
        <v>0</v>
      </c>
      <c r="Y202">
        <v>0</v>
      </c>
    </row>
    <row r="203" spans="1:25" ht="15" x14ac:dyDescent="0.25">
      <c r="A203" t="s">
        <v>21</v>
      </c>
      <c r="B203" t="s">
        <v>73</v>
      </c>
      <c r="C203" t="s">
        <v>93</v>
      </c>
      <c r="D203" t="s">
        <v>111</v>
      </c>
      <c r="E203" t="s">
        <v>2722</v>
      </c>
      <c r="F203" t="s">
        <v>1879</v>
      </c>
      <c r="G203" t="s">
        <v>258</v>
      </c>
      <c r="H203" t="s">
        <v>0</v>
      </c>
      <c r="I203">
        <v>75.010000000000005</v>
      </c>
      <c r="J203" s="41">
        <f>I203/'enter the discount'!$D$7</f>
        <v>17.557698609615656</v>
      </c>
      <c r="K203" s="41">
        <f>J203*(1-IFERROR(VLOOKUP(H203,'enter the discount'!$D$10:$E$40,2,FALSE),0))</f>
        <v>17.557698609615656</v>
      </c>
      <c r="L203" s="43" t="s">
        <v>2549</v>
      </c>
      <c r="M203" t="s">
        <v>620</v>
      </c>
      <c r="N203" t="s">
        <v>927</v>
      </c>
      <c r="O203" t="s">
        <v>2723</v>
      </c>
      <c r="P203">
        <v>100</v>
      </c>
      <c r="Q203">
        <v>0</v>
      </c>
      <c r="R203" t="s">
        <v>2465</v>
      </c>
      <c r="S203" s="42" t="str">
        <f>HYPERLINK("https://sklep.kobi.pl/produkt/led-tramo-150-5050-ip20-rgb-5m")</f>
        <v>https://sklep.kobi.pl/produkt/led-tramo-150-5050-ip20-rgb-5m</v>
      </c>
      <c r="T203" s="42" t="str">
        <f>HYPERLINK("https://eprel.ec.europa.eu/qr/NIE DOTYCZY    ")</f>
        <v xml:space="preserve">https://eprel.ec.europa.eu/qr/NIE DOTYCZY    </v>
      </c>
      <c r="U203">
        <v>4.9000000000000002E-2</v>
      </c>
      <c r="V203">
        <v>0.154</v>
      </c>
      <c r="W203">
        <v>160</v>
      </c>
      <c r="X203">
        <v>190</v>
      </c>
      <c r="Y203">
        <v>15</v>
      </c>
    </row>
    <row r="204" spans="1:25" ht="15" x14ac:dyDescent="0.25">
      <c r="A204" t="s">
        <v>21</v>
      </c>
      <c r="B204" t="s">
        <v>73</v>
      </c>
      <c r="C204" t="s">
        <v>93</v>
      </c>
      <c r="D204" t="s">
        <v>111</v>
      </c>
      <c r="E204" t="s">
        <v>2722</v>
      </c>
      <c r="F204" t="s">
        <v>1880</v>
      </c>
      <c r="G204" t="s">
        <v>259</v>
      </c>
      <c r="H204" t="s">
        <v>0</v>
      </c>
      <c r="I204">
        <v>122.26</v>
      </c>
      <c r="J204" s="41">
        <f>I204/'enter the discount'!$D$7</f>
        <v>28.617574083610322</v>
      </c>
      <c r="K204" s="41">
        <f>J204*(1-IFERROR(VLOOKUP(H204,'enter the discount'!$D$10:$E$40,2,FALSE),0))</f>
        <v>28.617574083610322</v>
      </c>
      <c r="L204" s="43" t="s">
        <v>2549</v>
      </c>
      <c r="M204" t="s">
        <v>621</v>
      </c>
      <c r="N204" t="s">
        <v>927</v>
      </c>
      <c r="O204" t="s">
        <v>2723</v>
      </c>
      <c r="P204">
        <v>100</v>
      </c>
      <c r="Q204">
        <v>0</v>
      </c>
      <c r="R204" t="s">
        <v>2465</v>
      </c>
      <c r="S204" s="42" t="str">
        <f>HYPERLINK("https://sklep.kobi.pl/produkt/led-tramo-300-5050-ip20-rgb-5m")</f>
        <v>https://sklep.kobi.pl/produkt/led-tramo-300-5050-ip20-rgb-5m</v>
      </c>
      <c r="T204" s="42" t="str">
        <f>HYPERLINK("https://eprel.ec.europa.eu/qr/NIE DOTYCZY    ")</f>
        <v xml:space="preserve">https://eprel.ec.europa.eu/qr/NIE DOTYCZY    </v>
      </c>
      <c r="U204">
        <v>0.1</v>
      </c>
      <c r="V204">
        <v>0.154</v>
      </c>
      <c r="W204">
        <v>160</v>
      </c>
      <c r="X204">
        <v>190</v>
      </c>
      <c r="Y204">
        <v>15</v>
      </c>
    </row>
    <row r="205" spans="1:25" ht="15" x14ac:dyDescent="0.25">
      <c r="A205" t="s">
        <v>21</v>
      </c>
      <c r="B205" t="s">
        <v>43</v>
      </c>
      <c r="C205" t="s">
        <v>99</v>
      </c>
      <c r="D205" t="s">
        <v>961</v>
      </c>
      <c r="E205" t="s">
        <v>2722</v>
      </c>
      <c r="F205" t="s">
        <v>1881</v>
      </c>
      <c r="G205" t="s">
        <v>962</v>
      </c>
      <c r="H205" t="s">
        <v>879</v>
      </c>
      <c r="I205">
        <v>63.92</v>
      </c>
      <c r="J205" s="41">
        <f>I205/'enter the discount'!$D$7</f>
        <v>14.961846355507703</v>
      </c>
      <c r="K205" s="41">
        <f>J205*(1-IFERROR(VLOOKUP(H205,'enter the discount'!$D$10:$E$40,2,FALSE),0))</f>
        <v>14.961846355507703</v>
      </c>
      <c r="L205" s="43" t="s">
        <v>963</v>
      </c>
      <c r="M205" t="s">
        <v>964</v>
      </c>
      <c r="N205" t="s">
        <v>926</v>
      </c>
      <c r="O205" t="s">
        <v>2723</v>
      </c>
      <c r="P205">
        <v>25</v>
      </c>
      <c r="Q205">
        <v>1000</v>
      </c>
      <c r="R205" t="s">
        <v>2467</v>
      </c>
      <c r="S205" s="42" t="str">
        <f>HYPERLINK("https://sklep.kobi.pl/produkt/led-nextube-t8-18w-120cm-4000k")</f>
        <v>https://sklep.kobi.pl/produkt/led-nextube-t8-18w-120cm-4000k</v>
      </c>
      <c r="T205" s="42" t="str">
        <f>HYPERLINK("https://eprel.ec.europa.eu/qr/730564         ")</f>
        <v xml:space="preserve">https://eprel.ec.europa.eu/qr/730564         </v>
      </c>
      <c r="U205">
        <v>8.1000000000000003E-2</v>
      </c>
      <c r="V205"/>
      <c r="W205">
        <v>1200</v>
      </c>
      <c r="X205">
        <v>40</v>
      </c>
      <c r="Y205">
        <v>40</v>
      </c>
    </row>
    <row r="206" spans="1:25" ht="15" x14ac:dyDescent="0.25">
      <c r="A206" t="s">
        <v>21</v>
      </c>
      <c r="B206" t="s">
        <v>43</v>
      </c>
      <c r="C206" t="s">
        <v>99</v>
      </c>
      <c r="D206" t="s">
        <v>961</v>
      </c>
      <c r="E206" t="s">
        <v>2722</v>
      </c>
      <c r="F206" t="s">
        <v>1882</v>
      </c>
      <c r="G206" t="s">
        <v>965</v>
      </c>
      <c r="H206" t="s">
        <v>879</v>
      </c>
      <c r="I206">
        <v>83</v>
      </c>
      <c r="J206" s="41">
        <f>I206/'enter the discount'!$D$7</f>
        <v>19.427929404054119</v>
      </c>
      <c r="K206" s="41">
        <f>J206*(1-IFERROR(VLOOKUP(H206,'enter the discount'!$D$10:$E$40,2,FALSE),0))</f>
        <v>19.427929404054119</v>
      </c>
      <c r="L206" s="43" t="s">
        <v>963</v>
      </c>
      <c r="M206" t="s">
        <v>966</v>
      </c>
      <c r="N206" t="s">
        <v>926</v>
      </c>
      <c r="O206" t="s">
        <v>2723</v>
      </c>
      <c r="P206">
        <v>25</v>
      </c>
      <c r="Q206">
        <v>700</v>
      </c>
      <c r="R206" t="s">
        <v>2467</v>
      </c>
      <c r="S206" s="42" t="str">
        <f>HYPERLINK("https://sklep.kobi.pl/produkt/led-nextube-t8-24w-150cm-4000k")</f>
        <v>https://sklep.kobi.pl/produkt/led-nextube-t8-24w-150cm-4000k</v>
      </c>
      <c r="T206" s="42" t="str">
        <f>HYPERLINK("https://eprel.ec.europa.eu/qr/730570         ")</f>
        <v xml:space="preserve">https://eprel.ec.europa.eu/qr/730570         </v>
      </c>
      <c r="U206">
        <v>0.151</v>
      </c>
      <c r="V206"/>
      <c r="W206"/>
      <c r="X206"/>
      <c r="Y206"/>
    </row>
    <row r="207" spans="1:25" ht="15" x14ac:dyDescent="0.25">
      <c r="A207" t="s">
        <v>25</v>
      </c>
      <c r="B207" t="s">
        <v>1563</v>
      </c>
      <c r="C207"/>
      <c r="D207" t="s">
        <v>113</v>
      </c>
      <c r="E207" t="s">
        <v>14</v>
      </c>
      <c r="F207" t="s">
        <v>1883</v>
      </c>
      <c r="G207" t="s">
        <v>1269</v>
      </c>
      <c r="H207" t="s">
        <v>1270</v>
      </c>
      <c r="I207">
        <v>6707.33</v>
      </c>
      <c r="J207" s="41">
        <f>I207/'enter the discount'!$D$7</f>
        <v>1569.9943822854736</v>
      </c>
      <c r="K207" s="41">
        <f>J207*(1-IFERROR(VLOOKUP(H207,'enter the discount'!$D$10:$E$40,2,FALSE),0))</f>
        <v>1569.9943822854736</v>
      </c>
      <c r="L207" s="43" t="s">
        <v>2549</v>
      </c>
      <c r="M207" t="s">
        <v>1271</v>
      </c>
      <c r="N207" t="s">
        <v>814</v>
      </c>
      <c r="O207" t="s">
        <v>2723</v>
      </c>
      <c r="P207">
        <v>1</v>
      </c>
      <c r="Q207">
        <v>0</v>
      </c>
      <c r="R207" t="s">
        <v>2465</v>
      </c>
      <c r="S207" s="42" t="str">
        <f>HYPERLINK("https://sklep.kobi.pl/produkt/kobi-power-box-1000w")</f>
        <v>https://sklep.kobi.pl/produkt/kobi-power-box-1000w</v>
      </c>
      <c r="T207" s="42" t="str">
        <f>HYPERLINK("https://eprel.ec.europa.eu/qr/NIE DOTYCZY    ")</f>
        <v xml:space="preserve">https://eprel.ec.europa.eu/qr/NIE DOTYCZY    </v>
      </c>
      <c r="U207">
        <v>9.1999999999999993</v>
      </c>
      <c r="V207">
        <v>10.7</v>
      </c>
      <c r="W207">
        <v>420</v>
      </c>
      <c r="X207">
        <v>300</v>
      </c>
      <c r="Y207">
        <v>290</v>
      </c>
    </row>
    <row r="208" spans="1:25" ht="15" x14ac:dyDescent="0.25">
      <c r="A208" t="s">
        <v>25</v>
      </c>
      <c r="B208" t="s">
        <v>1563</v>
      </c>
      <c r="C208"/>
      <c r="D208" t="s">
        <v>113</v>
      </c>
      <c r="E208" t="s">
        <v>14</v>
      </c>
      <c r="F208" t="s">
        <v>1884</v>
      </c>
      <c r="G208" t="s">
        <v>1272</v>
      </c>
      <c r="H208" t="s">
        <v>1270</v>
      </c>
      <c r="I208">
        <v>3638.2</v>
      </c>
      <c r="J208" s="41">
        <f>I208/'enter the discount'!$D$7</f>
        <v>851.59870792565891</v>
      </c>
      <c r="K208" s="41">
        <f>J208*(1-IFERROR(VLOOKUP(H208,'enter the discount'!$D$10:$E$40,2,FALSE),0))</f>
        <v>851.59870792565891</v>
      </c>
      <c r="L208" s="43" t="s">
        <v>2549</v>
      </c>
      <c r="M208" t="s">
        <v>1273</v>
      </c>
      <c r="N208" t="s">
        <v>814</v>
      </c>
      <c r="O208" t="s">
        <v>2723</v>
      </c>
      <c r="P208">
        <v>2</v>
      </c>
      <c r="Q208">
        <v>0</v>
      </c>
      <c r="R208" t="s">
        <v>2465</v>
      </c>
      <c r="S208" s="42" t="str">
        <f>HYPERLINK("https://sklep.kobi.pl/produkt/kobi-power-box-600w")</f>
        <v>https://sklep.kobi.pl/produkt/kobi-power-box-600w</v>
      </c>
      <c r="T208" s="42" t="str">
        <f>HYPERLINK("https://eprel.ec.europa.eu/qr/NIE DOTYCZY    ")</f>
        <v xml:space="preserve">https://eprel.ec.europa.eu/qr/NIE DOTYCZY    </v>
      </c>
      <c r="U208">
        <v>5.7</v>
      </c>
      <c r="V208">
        <v>7.5</v>
      </c>
      <c r="W208">
        <v>330</v>
      </c>
      <c r="X208">
        <v>300</v>
      </c>
      <c r="Y208">
        <v>230</v>
      </c>
    </row>
    <row r="209" spans="1:25" ht="15" x14ac:dyDescent="0.25">
      <c r="A209" t="s">
        <v>25</v>
      </c>
      <c r="B209" t="s">
        <v>1563</v>
      </c>
      <c r="C209"/>
      <c r="D209" t="s">
        <v>113</v>
      </c>
      <c r="E209" t="s">
        <v>14</v>
      </c>
      <c r="F209" t="s">
        <v>1885</v>
      </c>
      <c r="G209" t="s">
        <v>1274</v>
      </c>
      <c r="H209" t="s">
        <v>1270</v>
      </c>
      <c r="I209">
        <v>2437</v>
      </c>
      <c r="J209" s="41">
        <f>I209/'enter the discount'!$D$7</f>
        <v>570.43209587566128</v>
      </c>
      <c r="K209" s="41">
        <f>J209*(1-IFERROR(VLOOKUP(H209,'enter the discount'!$D$10:$E$40,2,FALSE),0))</f>
        <v>570.43209587566128</v>
      </c>
      <c r="L209" s="43" t="s">
        <v>2549</v>
      </c>
      <c r="M209" t="s">
        <v>1275</v>
      </c>
      <c r="N209" t="s">
        <v>1276</v>
      </c>
      <c r="O209" t="s">
        <v>2723</v>
      </c>
      <c r="P209">
        <v>2</v>
      </c>
      <c r="Q209">
        <v>0</v>
      </c>
      <c r="R209" t="s">
        <v>2465</v>
      </c>
      <c r="S209" s="42" t="str">
        <f>HYPERLINK("https://sklep.kobi.pl/produkt/kobi-sunflash-100w")</f>
        <v>https://sklep.kobi.pl/produkt/kobi-sunflash-100w</v>
      </c>
      <c r="T209" s="42" t="str">
        <f>HYPERLINK("https://eprel.ec.europa.eu/qr/NIE DOTYCZY    ")</f>
        <v xml:space="preserve">https://eprel.ec.europa.eu/qr/NIE DOTYCZY    </v>
      </c>
      <c r="U209">
        <v>2.9</v>
      </c>
      <c r="V209">
        <v>0</v>
      </c>
      <c r="W209">
        <v>0</v>
      </c>
      <c r="X209">
        <v>0</v>
      </c>
      <c r="Y209">
        <v>0</v>
      </c>
    </row>
    <row r="210" spans="1:25" ht="15" x14ac:dyDescent="0.25">
      <c r="A210" t="s">
        <v>25</v>
      </c>
      <c r="B210" t="s">
        <v>1563</v>
      </c>
      <c r="C210"/>
      <c r="D210" t="s">
        <v>113</v>
      </c>
      <c r="E210" t="s">
        <v>14</v>
      </c>
      <c r="F210" t="s">
        <v>1886</v>
      </c>
      <c r="G210" t="s">
        <v>1277</v>
      </c>
      <c r="H210" t="s">
        <v>1270</v>
      </c>
      <c r="I210">
        <v>5589.43</v>
      </c>
      <c r="J210" s="41">
        <f>I210/'enter the discount'!$D$7</f>
        <v>1308.325921071111</v>
      </c>
      <c r="K210" s="41">
        <f>J210*(1-IFERROR(VLOOKUP(H210,'enter the discount'!$D$10:$E$40,2,FALSE),0))</f>
        <v>1308.325921071111</v>
      </c>
      <c r="L210" s="43" t="s">
        <v>2549</v>
      </c>
      <c r="M210" t="s">
        <v>1278</v>
      </c>
      <c r="N210" t="s">
        <v>1276</v>
      </c>
      <c r="O210" t="s">
        <v>2723</v>
      </c>
      <c r="P210">
        <v>2</v>
      </c>
      <c r="Q210">
        <v>0</v>
      </c>
      <c r="R210" t="s">
        <v>2465</v>
      </c>
      <c r="S210" s="42" t="str">
        <f>HYPERLINK("https://sklep.kobi.pl/produkt/kobi-sunflash-300w")</f>
        <v>https://sklep.kobi.pl/produkt/kobi-sunflash-300w</v>
      </c>
      <c r="T210" s="42" t="str">
        <f>HYPERLINK("https://eprel.ec.europa.eu/qr/NIE DOTYCZY    ")</f>
        <v xml:space="preserve">https://eprel.ec.europa.eu/qr/NIE DOTYCZY    </v>
      </c>
      <c r="U210">
        <v>6.35</v>
      </c>
      <c r="V210">
        <v>0</v>
      </c>
      <c r="W210">
        <v>0</v>
      </c>
      <c r="X210">
        <v>0</v>
      </c>
      <c r="Y210">
        <v>0</v>
      </c>
    </row>
    <row r="211" spans="1:25" ht="15" x14ac:dyDescent="0.25">
      <c r="A211" t="s">
        <v>25</v>
      </c>
      <c r="B211" t="s">
        <v>1564</v>
      </c>
      <c r="C211"/>
      <c r="D211" t="s">
        <v>111</v>
      </c>
      <c r="E211" t="s">
        <v>14</v>
      </c>
      <c r="F211" t="s">
        <v>1887</v>
      </c>
      <c r="G211" t="s">
        <v>949</v>
      </c>
      <c r="H211" t="s">
        <v>881</v>
      </c>
      <c r="I211">
        <v>200</v>
      </c>
      <c r="J211" s="41">
        <f>I211/'enter the discount'!$D$7</f>
        <v>46.814287720612334</v>
      </c>
      <c r="K211" s="41">
        <f>J211*(1-IFERROR(VLOOKUP(H211,'enter the discount'!$D$10:$E$40,2,FALSE),0))</f>
        <v>46.814287720612334</v>
      </c>
      <c r="L211" s="43" t="s">
        <v>2549</v>
      </c>
      <c r="M211" t="s">
        <v>950</v>
      </c>
      <c r="N211" t="s">
        <v>951</v>
      </c>
      <c r="O211" t="s">
        <v>2723</v>
      </c>
      <c r="P211">
        <v>1</v>
      </c>
      <c r="Q211">
        <v>40</v>
      </c>
      <c r="R211" t="s">
        <v>2465</v>
      </c>
      <c r="S211" s="42" t="str">
        <f>HYPERLINK("https://sklep.kobi.pl/produkt/grzejnik-konwektorowy-sondo-2000w-turbo")</f>
        <v>https://sklep.kobi.pl/produkt/grzejnik-konwektorowy-sondo-2000w-turbo</v>
      </c>
      <c r="T211" s="42" t="str">
        <f>HYPERLINK("https://eprel.ec.europa.eu/qr/NIE DOTYCZY    ")</f>
        <v xml:space="preserve">https://eprel.ec.europa.eu/qr/NIE DOTYCZY    </v>
      </c>
      <c r="U211">
        <v>2.88</v>
      </c>
      <c r="V211">
        <v>0</v>
      </c>
      <c r="W211">
        <v>390</v>
      </c>
      <c r="X211">
        <v>570</v>
      </c>
      <c r="Y211">
        <v>130</v>
      </c>
    </row>
    <row r="212" spans="1:25" ht="15" x14ac:dyDescent="0.25">
      <c r="A212" t="s">
        <v>25</v>
      </c>
      <c r="B212" t="s">
        <v>1564</v>
      </c>
      <c r="C212"/>
      <c r="D212" t="s">
        <v>115</v>
      </c>
      <c r="E212" t="s">
        <v>14</v>
      </c>
      <c r="F212" t="s">
        <v>1888</v>
      </c>
      <c r="G212" t="s">
        <v>891</v>
      </c>
      <c r="H212" t="s">
        <v>881</v>
      </c>
      <c r="I212">
        <v>386.41</v>
      </c>
      <c r="J212" s="41">
        <f>I212/'enter the discount'!$D$7</f>
        <v>90.44754459060907</v>
      </c>
      <c r="K212" s="41">
        <f>J212*(1-IFERROR(VLOOKUP(H212,'enter the discount'!$D$10:$E$40,2,FALSE),0))</f>
        <v>90.44754459060907</v>
      </c>
      <c r="L212" s="43" t="s">
        <v>2549</v>
      </c>
      <c r="M212" t="s">
        <v>892</v>
      </c>
      <c r="N212" t="s">
        <v>893</v>
      </c>
      <c r="O212" t="s">
        <v>2723</v>
      </c>
      <c r="P212">
        <v>1</v>
      </c>
      <c r="Q212">
        <v>39</v>
      </c>
      <c r="R212" t="s">
        <v>2465</v>
      </c>
      <c r="S212" s="42" t="str">
        <f>HYPERLINK("https://sklep.kobi.pl/produkt/grzejnik-olejowy-yugo-11-2500w")</f>
        <v>https://sklep.kobi.pl/produkt/grzejnik-olejowy-yugo-11-2500w</v>
      </c>
      <c r="T212" s="42" t="str">
        <f>HYPERLINK("https://eprel.ec.europa.eu/qr/NIE DOTYCZY    ")</f>
        <v xml:space="preserve">https://eprel.ec.europa.eu/qr/NIE DOTYCZY    </v>
      </c>
      <c r="U212">
        <v>8.82</v>
      </c>
      <c r="V212">
        <v>8.7959999999999994</v>
      </c>
      <c r="W212">
        <v>520</v>
      </c>
      <c r="X212">
        <v>580</v>
      </c>
      <c r="Y212">
        <v>130</v>
      </c>
    </row>
    <row r="213" spans="1:25" ht="15" x14ac:dyDescent="0.25">
      <c r="A213" t="s">
        <v>25</v>
      </c>
      <c r="B213" t="s">
        <v>104</v>
      </c>
      <c r="C213"/>
      <c r="D213" t="s">
        <v>115</v>
      </c>
      <c r="E213" t="s">
        <v>14</v>
      </c>
      <c r="F213" t="s">
        <v>1889</v>
      </c>
      <c r="G213" t="s">
        <v>260</v>
      </c>
      <c r="H213" t="s">
        <v>881</v>
      </c>
      <c r="I213">
        <v>150</v>
      </c>
      <c r="J213" s="41">
        <f>I213/'enter the discount'!$D$7</f>
        <v>35.110715790459253</v>
      </c>
      <c r="K213" s="41">
        <f>J213*(1-IFERROR(VLOOKUP(H213,'enter the discount'!$D$10:$E$40,2,FALSE),0))</f>
        <v>35.110715790459253</v>
      </c>
      <c r="L213" s="43" t="s">
        <v>2549</v>
      </c>
      <c r="M213" t="s">
        <v>623</v>
      </c>
      <c r="N213" t="s">
        <v>622</v>
      </c>
      <c r="O213" t="s">
        <v>2723</v>
      </c>
      <c r="P213">
        <v>1</v>
      </c>
      <c r="Q213">
        <v>52</v>
      </c>
      <c r="R213" t="s">
        <v>2468</v>
      </c>
      <c r="S213" s="42" t="str">
        <f>HYPERLINK("https://sklep.kobi.pl/produkt/wentylator-podlogowy-viento-45w-bialy")</f>
        <v>https://sklep.kobi.pl/produkt/wentylator-podlogowy-viento-45w-bialy</v>
      </c>
      <c r="T213" s="42" t="str">
        <f>HYPERLINK("https://eprel.ec.europa.eu/qr/NIE DOTYCZY    ")</f>
        <v xml:space="preserve">https://eprel.ec.europa.eu/qr/NIE DOTYCZY    </v>
      </c>
      <c r="U213">
        <v>2.423</v>
      </c>
      <c r="V213">
        <v>2.8330000000000002</v>
      </c>
      <c r="W213">
        <v>440</v>
      </c>
      <c r="X213">
        <v>520</v>
      </c>
      <c r="Y213">
        <v>120</v>
      </c>
    </row>
    <row r="214" spans="1:25" ht="15" x14ac:dyDescent="0.25">
      <c r="A214" t="s">
        <v>25</v>
      </c>
      <c r="B214" t="s">
        <v>104</v>
      </c>
      <c r="C214"/>
      <c r="D214" t="s">
        <v>115</v>
      </c>
      <c r="E214" t="s">
        <v>14</v>
      </c>
      <c r="F214" t="s">
        <v>1890</v>
      </c>
      <c r="G214" t="s">
        <v>261</v>
      </c>
      <c r="H214" t="s">
        <v>881</v>
      </c>
      <c r="I214">
        <v>150</v>
      </c>
      <c r="J214" s="41">
        <f>I214/'enter the discount'!$D$7</f>
        <v>35.110715790459253</v>
      </c>
      <c r="K214" s="41">
        <f>J214*(1-IFERROR(VLOOKUP(H214,'enter the discount'!$D$10:$E$40,2,FALSE),0))</f>
        <v>35.110715790459253</v>
      </c>
      <c r="L214" s="43" t="s">
        <v>2549</v>
      </c>
      <c r="M214" t="s">
        <v>624</v>
      </c>
      <c r="N214" t="s">
        <v>622</v>
      </c>
      <c r="O214" t="s">
        <v>2723</v>
      </c>
      <c r="P214">
        <v>1</v>
      </c>
      <c r="Q214">
        <v>52</v>
      </c>
      <c r="R214" t="s">
        <v>2468</v>
      </c>
      <c r="S214" s="42" t="str">
        <f>HYPERLINK("https://sklep.kobi.pl/produkt/wentylator-podlogowy-viento-45w-czarny")</f>
        <v>https://sklep.kobi.pl/produkt/wentylator-podlogowy-viento-45w-czarny</v>
      </c>
      <c r="T214" s="42" t="str">
        <f>HYPERLINK("https://eprel.ec.europa.eu/qr/NIE DOTYCZY    ")</f>
        <v xml:space="preserve">https://eprel.ec.europa.eu/qr/NIE DOTYCZY    </v>
      </c>
      <c r="U214">
        <v>2.423</v>
      </c>
      <c r="V214">
        <v>2.8330000000000002</v>
      </c>
      <c r="W214">
        <v>440</v>
      </c>
      <c r="X214">
        <v>520</v>
      </c>
      <c r="Y214">
        <v>120</v>
      </c>
    </row>
    <row r="215" spans="1:25" ht="15" x14ac:dyDescent="0.25">
      <c r="A215" t="s">
        <v>25</v>
      </c>
      <c r="B215" t="s">
        <v>104</v>
      </c>
      <c r="C215"/>
      <c r="D215" t="s">
        <v>115</v>
      </c>
      <c r="E215" t="s">
        <v>14</v>
      </c>
      <c r="F215" t="s">
        <v>1891</v>
      </c>
      <c r="G215" t="s">
        <v>262</v>
      </c>
      <c r="H215" t="s">
        <v>881</v>
      </c>
      <c r="I215">
        <v>581.09</v>
      </c>
      <c r="J215" s="41">
        <f>I215/'enter the discount'!$D$7</f>
        <v>136.01657225785311</v>
      </c>
      <c r="K215" s="41">
        <f>J215*(1-IFERROR(VLOOKUP(H215,'enter the discount'!$D$10:$E$40,2,FALSE),0))</f>
        <v>136.01657225785311</v>
      </c>
      <c r="L215" s="43" t="s">
        <v>2549</v>
      </c>
      <c r="M215" t="s">
        <v>625</v>
      </c>
      <c r="N215" t="s">
        <v>622</v>
      </c>
      <c r="O215" t="s">
        <v>2723</v>
      </c>
      <c r="P215">
        <v>1</v>
      </c>
      <c r="Q215">
        <v>20</v>
      </c>
      <c r="R215" t="s">
        <v>2468</v>
      </c>
      <c r="S215" s="42" t="str">
        <f>HYPERLINK("https://sklep.kobi.pl/produkt/wentylator-podlogowy-viento-100w")</f>
        <v>https://sklep.kobi.pl/produkt/wentylator-podlogowy-viento-100w</v>
      </c>
      <c r="T215" s="42" t="str">
        <f>HYPERLINK("https://eprel.ec.europa.eu/qr/NIE DOTYCZY    ")</f>
        <v xml:space="preserve">https://eprel.ec.europa.eu/qr/NIE DOTYCZY    </v>
      </c>
      <c r="U215">
        <v>4.2489999999999997</v>
      </c>
      <c r="V215">
        <v>6.0460000000000003</v>
      </c>
      <c r="W215">
        <v>600</v>
      </c>
      <c r="X215">
        <v>610</v>
      </c>
      <c r="Y215">
        <v>220</v>
      </c>
    </row>
    <row r="216" spans="1:25" ht="15" x14ac:dyDescent="0.25">
      <c r="A216" t="s">
        <v>25</v>
      </c>
      <c r="B216" t="s">
        <v>104</v>
      </c>
      <c r="C216"/>
      <c r="D216" t="s">
        <v>115</v>
      </c>
      <c r="E216" t="s">
        <v>14</v>
      </c>
      <c r="F216" t="s">
        <v>2521</v>
      </c>
      <c r="G216" t="s">
        <v>2522</v>
      </c>
      <c r="H216" t="s">
        <v>881</v>
      </c>
      <c r="I216">
        <v>130</v>
      </c>
      <c r="J216" s="41">
        <f>I216/'enter the discount'!$D$7</f>
        <v>30.429287018398018</v>
      </c>
      <c r="K216" s="41">
        <f>J216*(1-IFERROR(VLOOKUP(H216,'enter the discount'!$D$10:$E$40,2,FALSE),0))</f>
        <v>30.429287018398018</v>
      </c>
      <c r="L216" s="43" t="s">
        <v>2549</v>
      </c>
      <c r="M216" t="s">
        <v>2541</v>
      </c>
      <c r="N216" t="s">
        <v>622</v>
      </c>
      <c r="O216" t="s">
        <v>2723</v>
      </c>
      <c r="P216">
        <v>1</v>
      </c>
      <c r="Q216">
        <v>54</v>
      </c>
      <c r="R216" t="s">
        <v>2468</v>
      </c>
      <c r="S216" s="42" t="str">
        <f>HYPERLINK("https://sklep.kobi.pl/produkt/wentylator-stolowy-viento-40w-bialy")</f>
        <v>https://sklep.kobi.pl/produkt/wentylator-stolowy-viento-40w-bialy</v>
      </c>
      <c r="T216" s="42" t="str">
        <f>HYPERLINK("https://eprel.ec.europa.eu/qr/NIE DOTYCZY    ")</f>
        <v xml:space="preserve">https://eprel.ec.europa.eu/qr/NIE DOTYCZY    </v>
      </c>
      <c r="U216">
        <v>1.7030000000000001</v>
      </c>
      <c r="V216">
        <v>2.06</v>
      </c>
      <c r="W216">
        <v>380</v>
      </c>
      <c r="X216">
        <v>350</v>
      </c>
      <c r="Y216">
        <v>180</v>
      </c>
    </row>
    <row r="217" spans="1:25" ht="15" x14ac:dyDescent="0.25">
      <c r="A217" t="s">
        <v>22</v>
      </c>
      <c r="B217" t="s">
        <v>1566</v>
      </c>
      <c r="C217"/>
      <c r="D217"/>
      <c r="E217" t="s">
        <v>2722</v>
      </c>
      <c r="F217" t="s">
        <v>1252</v>
      </c>
      <c r="G217" t="s">
        <v>1253</v>
      </c>
      <c r="H217" t="s">
        <v>945</v>
      </c>
      <c r="I217">
        <v>450</v>
      </c>
      <c r="J217" s="41">
        <f>I217/'enter the discount'!$D$7</f>
        <v>105.33214737137774</v>
      </c>
      <c r="K217" s="41">
        <f>J217*(1-IFERROR(VLOOKUP(H217,'enter the discount'!$D$10:$E$40,2,FALSE),0))</f>
        <v>105.33214737137774</v>
      </c>
      <c r="L217" s="43" t="s">
        <v>1254</v>
      </c>
      <c r="M217" t="s">
        <v>1255</v>
      </c>
      <c r="N217" t="s">
        <v>932</v>
      </c>
      <c r="O217" t="s">
        <v>2723</v>
      </c>
      <c r="P217">
        <v>12</v>
      </c>
      <c r="Q217">
        <v>0</v>
      </c>
      <c r="R217" t="s">
        <v>2467</v>
      </c>
      <c r="S217"/>
      <c r="T217" t="s">
        <v>14</v>
      </c>
      <c r="U217">
        <v>1.79</v>
      </c>
      <c r="V217">
        <v>2.0819999999999999</v>
      </c>
      <c r="W217">
        <v>250</v>
      </c>
      <c r="X217">
        <v>250</v>
      </c>
      <c r="Y217">
        <v>150</v>
      </c>
    </row>
    <row r="218" spans="1:25" ht="15" x14ac:dyDescent="0.25">
      <c r="A218" t="s">
        <v>22</v>
      </c>
      <c r="B218" t="s">
        <v>1566</v>
      </c>
      <c r="C218"/>
      <c r="D218" t="s">
        <v>945</v>
      </c>
      <c r="E218" t="s">
        <v>2722</v>
      </c>
      <c r="F218" t="s">
        <v>1062</v>
      </c>
      <c r="G218" t="s">
        <v>1063</v>
      </c>
      <c r="H218" t="s">
        <v>945</v>
      </c>
      <c r="I218">
        <v>450</v>
      </c>
      <c r="J218" s="41">
        <f>I218/'enter the discount'!$D$7</f>
        <v>105.33214737137774</v>
      </c>
      <c r="K218" s="41">
        <f>J218*(1-IFERROR(VLOOKUP(H218,'enter the discount'!$D$10:$E$40,2,FALSE),0))</f>
        <v>105.33214737137774</v>
      </c>
      <c r="L218" s="43" t="s">
        <v>858</v>
      </c>
      <c r="M218" t="s">
        <v>1064</v>
      </c>
      <c r="N218" t="s">
        <v>932</v>
      </c>
      <c r="O218" t="s">
        <v>2723</v>
      </c>
      <c r="P218">
        <v>12</v>
      </c>
      <c r="Q218">
        <v>0</v>
      </c>
      <c r="R218" t="s">
        <v>2467</v>
      </c>
      <c r="S218"/>
      <c r="T218" s="42" t="str">
        <f>HYPERLINK("https://eprel.ec.europa.eu/qr/931171         ")</f>
        <v xml:space="preserve">https://eprel.ec.europa.eu/qr/931171         </v>
      </c>
      <c r="U218">
        <v>1.79</v>
      </c>
      <c r="V218">
        <v>2.0819999999999999</v>
      </c>
      <c r="W218">
        <v>250</v>
      </c>
      <c r="X218">
        <v>250</v>
      </c>
      <c r="Y218">
        <v>150</v>
      </c>
    </row>
    <row r="219" spans="1:25" ht="15" x14ac:dyDescent="0.25">
      <c r="A219" t="s">
        <v>22</v>
      </c>
      <c r="B219" t="s">
        <v>1566</v>
      </c>
      <c r="C219"/>
      <c r="D219" t="s">
        <v>945</v>
      </c>
      <c r="E219" t="s">
        <v>2722</v>
      </c>
      <c r="F219" t="s">
        <v>1065</v>
      </c>
      <c r="G219" t="s">
        <v>1066</v>
      </c>
      <c r="H219" t="s">
        <v>945</v>
      </c>
      <c r="I219">
        <v>432</v>
      </c>
      <c r="J219" s="41">
        <f>I219/'enter the discount'!$D$7</f>
        <v>101.11886147652264</v>
      </c>
      <c r="K219" s="41">
        <f>J219*(1-IFERROR(VLOOKUP(H219,'enter the discount'!$D$10:$E$40,2,FALSE),0))</f>
        <v>101.11886147652264</v>
      </c>
      <c r="L219" s="43" t="s">
        <v>858</v>
      </c>
      <c r="M219" t="s">
        <v>1067</v>
      </c>
      <c r="N219" t="s">
        <v>932</v>
      </c>
      <c r="O219" t="s">
        <v>2723</v>
      </c>
      <c r="P219">
        <v>8</v>
      </c>
      <c r="Q219">
        <v>0</v>
      </c>
      <c r="R219" t="s">
        <v>2467</v>
      </c>
      <c r="S219" s="42" t="str">
        <f>HYPERLINK("https://sklep.kobi.pl/produkt/nextrack-nt3-35w-25st-3000k-cri-90-czarn")</f>
        <v>https://sklep.kobi.pl/produkt/nextrack-nt3-35w-25st-3000k-cri-90-czarn</v>
      </c>
      <c r="T219" s="42" t="str">
        <f>HYPERLINK("https://eprel.ec.europa.eu/qr/930750         ")</f>
        <v xml:space="preserve">https://eprel.ec.europa.eu/qr/930750         </v>
      </c>
      <c r="U219">
        <v>1.07</v>
      </c>
      <c r="V219">
        <v>1.53</v>
      </c>
      <c r="W219">
        <v>300</v>
      </c>
      <c r="X219">
        <v>150</v>
      </c>
      <c r="Y219">
        <v>200</v>
      </c>
    </row>
    <row r="220" spans="1:25" ht="15" x14ac:dyDescent="0.25">
      <c r="A220" t="s">
        <v>22</v>
      </c>
      <c r="B220" t="s">
        <v>1566</v>
      </c>
      <c r="C220"/>
      <c r="D220" t="s">
        <v>945</v>
      </c>
      <c r="E220" t="s">
        <v>14</v>
      </c>
      <c r="F220" t="s">
        <v>1068</v>
      </c>
      <c r="G220" t="s">
        <v>1069</v>
      </c>
      <c r="H220" t="s">
        <v>945</v>
      </c>
      <c r="I220">
        <v>450</v>
      </c>
      <c r="J220" s="41">
        <f>I220/'enter the discount'!$D$7</f>
        <v>105.33214737137774</v>
      </c>
      <c r="K220" s="41">
        <f>J220*(1-IFERROR(VLOOKUP(H220,'enter the discount'!$D$10:$E$40,2,FALSE),0))</f>
        <v>105.33214737137774</v>
      </c>
      <c r="L220" s="43" t="s">
        <v>858</v>
      </c>
      <c r="M220" t="s">
        <v>1070</v>
      </c>
      <c r="N220" t="s">
        <v>932</v>
      </c>
      <c r="O220" t="s">
        <v>2723</v>
      </c>
      <c r="P220">
        <v>12</v>
      </c>
      <c r="Q220">
        <v>0</v>
      </c>
      <c r="R220" t="s">
        <v>2467</v>
      </c>
      <c r="S220" s="42" t="str">
        <f>HYPERLINK("https://sklep.kobi.pl/produkt/nextrack-nt4-38w-36st-4000k-cri-90-cz-p")</f>
        <v>https://sklep.kobi.pl/produkt/nextrack-nt4-38w-36st-4000k-cri-90-cz-p</v>
      </c>
      <c r="T220" s="42" t="str">
        <f>HYPERLINK("https://eprel.ec.europa.eu/qr/930216         ")</f>
        <v xml:space="preserve">https://eprel.ec.europa.eu/qr/930216         </v>
      </c>
      <c r="U220">
        <v>1.25</v>
      </c>
      <c r="V220"/>
      <c r="W220"/>
      <c r="X220"/>
      <c r="Y220"/>
    </row>
    <row r="221" spans="1:25" ht="15" x14ac:dyDescent="0.25">
      <c r="A221" t="s">
        <v>22</v>
      </c>
      <c r="B221" t="s">
        <v>1566</v>
      </c>
      <c r="C221"/>
      <c r="D221" t="s">
        <v>945</v>
      </c>
      <c r="E221" t="s">
        <v>14</v>
      </c>
      <c r="F221" t="s">
        <v>1071</v>
      </c>
      <c r="G221" t="s">
        <v>1072</v>
      </c>
      <c r="H221" t="s">
        <v>945</v>
      </c>
      <c r="I221">
        <v>450</v>
      </c>
      <c r="J221" s="41">
        <f>I221/'enter the discount'!$D$7</f>
        <v>105.33214737137774</v>
      </c>
      <c r="K221" s="41">
        <f>J221*(1-IFERROR(VLOOKUP(H221,'enter the discount'!$D$10:$E$40,2,FALSE),0))</f>
        <v>105.33214737137774</v>
      </c>
      <c r="L221" s="43" t="s">
        <v>858</v>
      </c>
      <c r="M221" t="s">
        <v>1073</v>
      </c>
      <c r="N221" t="s">
        <v>932</v>
      </c>
      <c r="O221" t="s">
        <v>2723</v>
      </c>
      <c r="P221">
        <v>12</v>
      </c>
      <c r="Q221">
        <v>0</v>
      </c>
      <c r="R221" t="s">
        <v>2467</v>
      </c>
      <c r="S221" s="42" t="str">
        <f>HYPERLINK("https://sklep.kobi.pl/produkt/nextrack-nt4-38w-60st-4000k-cri-90-cz-p-pl")</f>
        <v>https://sklep.kobi.pl/produkt/nextrack-nt4-38w-60st-4000k-cri-90-cz-p-pl</v>
      </c>
      <c r="T221" s="42" t="str">
        <f>HYPERLINK("https://eprel.ec.europa.eu/qr/956931         ")</f>
        <v xml:space="preserve">https://eprel.ec.europa.eu/qr/956931         </v>
      </c>
      <c r="U221">
        <v>1.25</v>
      </c>
      <c r="V221"/>
      <c r="W221"/>
      <c r="X221"/>
      <c r="Y221"/>
    </row>
    <row r="222" spans="1:25" ht="15" x14ac:dyDescent="0.25">
      <c r="A222" t="s">
        <v>22</v>
      </c>
      <c r="B222" t="s">
        <v>1566</v>
      </c>
      <c r="C222"/>
      <c r="D222" t="s">
        <v>945</v>
      </c>
      <c r="E222" t="s">
        <v>14</v>
      </c>
      <c r="F222" t="s">
        <v>1074</v>
      </c>
      <c r="G222" t="s">
        <v>1075</v>
      </c>
      <c r="H222" t="s">
        <v>945</v>
      </c>
      <c r="I222">
        <v>290</v>
      </c>
      <c r="J222" s="41">
        <f>I222/'enter the discount'!$D$7</f>
        <v>67.880717194887879</v>
      </c>
      <c r="K222" s="41">
        <f>J222*(1-IFERROR(VLOOKUP(H222,'enter the discount'!$D$10:$E$40,2,FALSE),0))</f>
        <v>67.880717194887879</v>
      </c>
      <c r="L222" s="43" t="s">
        <v>858</v>
      </c>
      <c r="M222" t="s">
        <v>1076</v>
      </c>
      <c r="N222" t="s">
        <v>936</v>
      </c>
      <c r="O222" t="s">
        <v>2723</v>
      </c>
      <c r="P222">
        <v>20</v>
      </c>
      <c r="Q222">
        <v>0</v>
      </c>
      <c r="R222" t="s">
        <v>2467</v>
      </c>
      <c r="S222" s="42" t="str">
        <f>HYPERLINK("https://sklep.kobi.pl/produkt/nextrack-nt4-mini-10w-36st-4000k-cri90-b")</f>
        <v>https://sklep.kobi.pl/produkt/nextrack-nt4-mini-10w-36st-4000k-cri90-b</v>
      </c>
      <c r="T222" s="42" t="str">
        <f>HYPERLINK("https://eprel.ec.europa.eu/qr/930201         ")</f>
        <v xml:space="preserve">https://eprel.ec.europa.eu/qr/930201         </v>
      </c>
      <c r="U222">
        <v>0.63</v>
      </c>
      <c r="V222"/>
      <c r="W222"/>
      <c r="X222"/>
      <c r="Y222"/>
    </row>
    <row r="223" spans="1:25" ht="15" x14ac:dyDescent="0.25">
      <c r="A223" t="s">
        <v>22</v>
      </c>
      <c r="B223" t="s">
        <v>1566</v>
      </c>
      <c r="C223"/>
      <c r="D223" t="s">
        <v>945</v>
      </c>
      <c r="E223" t="s">
        <v>14</v>
      </c>
      <c r="F223" t="s">
        <v>1077</v>
      </c>
      <c r="G223" t="s">
        <v>1078</v>
      </c>
      <c r="H223" t="s">
        <v>945</v>
      </c>
      <c r="I223">
        <v>290</v>
      </c>
      <c r="J223" s="41">
        <f>I223/'enter the discount'!$D$7</f>
        <v>67.880717194887879</v>
      </c>
      <c r="K223" s="41">
        <f>J223*(1-IFERROR(VLOOKUP(H223,'enter the discount'!$D$10:$E$40,2,FALSE),0))</f>
        <v>67.880717194887879</v>
      </c>
      <c r="L223" s="43" t="s">
        <v>858</v>
      </c>
      <c r="M223" t="s">
        <v>1079</v>
      </c>
      <c r="N223" t="s">
        <v>936</v>
      </c>
      <c r="O223" t="s">
        <v>2723</v>
      </c>
      <c r="P223">
        <v>20</v>
      </c>
      <c r="Q223">
        <v>0</v>
      </c>
      <c r="R223" t="s">
        <v>2467</v>
      </c>
      <c r="S223" s="42" t="str">
        <f>HYPERLINK("https://sklep.kobi.pl/produkt/nextrack-nt4-mini-10w-36st-4000k-cri90-c")</f>
        <v>https://sklep.kobi.pl/produkt/nextrack-nt4-mini-10w-36st-4000k-cri90-c</v>
      </c>
      <c r="T223" s="42" t="str">
        <f>HYPERLINK("https://eprel.ec.europa.eu/qr/930201         ")</f>
        <v xml:space="preserve">https://eprel.ec.europa.eu/qr/930201         </v>
      </c>
      <c r="U223">
        <v>0.63</v>
      </c>
      <c r="V223"/>
      <c r="W223"/>
      <c r="X223"/>
      <c r="Y223"/>
    </row>
    <row r="224" spans="1:25" ht="15" x14ac:dyDescent="0.25">
      <c r="A224" t="s">
        <v>22</v>
      </c>
      <c r="B224" t="s">
        <v>1566</v>
      </c>
      <c r="C224"/>
      <c r="D224" t="s">
        <v>945</v>
      </c>
      <c r="E224" t="s">
        <v>14</v>
      </c>
      <c r="F224" t="s">
        <v>1080</v>
      </c>
      <c r="G224" t="s">
        <v>1081</v>
      </c>
      <c r="H224" t="s">
        <v>945</v>
      </c>
      <c r="I224">
        <v>325</v>
      </c>
      <c r="J224" s="41">
        <f>I224/'enter the discount'!$D$7</f>
        <v>76.073217545995035</v>
      </c>
      <c r="K224" s="41">
        <f>J224*(1-IFERROR(VLOOKUP(H224,'enter the discount'!$D$10:$E$40,2,FALSE),0))</f>
        <v>76.073217545995035</v>
      </c>
      <c r="L224" s="43" t="s">
        <v>858</v>
      </c>
      <c r="M224" t="s">
        <v>1082</v>
      </c>
      <c r="N224" t="s">
        <v>936</v>
      </c>
      <c r="O224" t="s">
        <v>2723</v>
      </c>
      <c r="P224">
        <v>20</v>
      </c>
      <c r="Q224">
        <v>0</v>
      </c>
      <c r="R224" t="s">
        <v>2467</v>
      </c>
      <c r="S224" s="42" t="str">
        <f>HYPERLINK("https://sklep.kobi.pl/produkt/nextrack-nt4-mini-20w-60st-4000k-cri90-b")</f>
        <v>https://sklep.kobi.pl/produkt/nextrack-nt4-mini-20w-60st-4000k-cri90-b</v>
      </c>
      <c r="T224" s="42" t="str">
        <f>HYPERLINK("https://eprel.ec.europa.eu/qr/930149         ")</f>
        <v xml:space="preserve">https://eprel.ec.europa.eu/qr/930149         </v>
      </c>
      <c r="U224">
        <v>0.82</v>
      </c>
      <c r="V224"/>
      <c r="W224"/>
      <c r="X224"/>
      <c r="Y224"/>
    </row>
    <row r="225" spans="1:25" ht="15" x14ac:dyDescent="0.25">
      <c r="A225" t="s">
        <v>22</v>
      </c>
      <c r="B225" t="s">
        <v>1566</v>
      </c>
      <c r="C225"/>
      <c r="D225" t="s">
        <v>945</v>
      </c>
      <c r="E225" t="s">
        <v>2722</v>
      </c>
      <c r="F225" t="s">
        <v>1083</v>
      </c>
      <c r="G225" t="s">
        <v>1084</v>
      </c>
      <c r="H225" t="s">
        <v>945</v>
      </c>
      <c r="I225">
        <v>389</v>
      </c>
      <c r="J225" s="41">
        <f>I225/'enter the discount'!$D$7</f>
        <v>91.05378961659099</v>
      </c>
      <c r="K225" s="41">
        <f>J225*(1-IFERROR(VLOOKUP(H225,'enter the discount'!$D$10:$E$40,2,FALSE),0))</f>
        <v>91.05378961659099</v>
      </c>
      <c r="L225" s="43" t="s">
        <v>859</v>
      </c>
      <c r="M225" t="s">
        <v>1085</v>
      </c>
      <c r="N225" t="s">
        <v>932</v>
      </c>
      <c r="O225" t="s">
        <v>2723</v>
      </c>
      <c r="P225">
        <v>12</v>
      </c>
      <c r="Q225">
        <v>0</v>
      </c>
      <c r="R225" t="s">
        <v>2467</v>
      </c>
      <c r="S225" s="42" t="str">
        <f>HYPERLINK("https://sklep.kobi.pl/produkt/nextrack-nt5-28w-15st-3000k-cri-90-bialy")</f>
        <v>https://sklep.kobi.pl/produkt/nextrack-nt5-28w-15st-3000k-cri-90-bialy</v>
      </c>
      <c r="T225" s="42" t="str">
        <f>HYPERLINK("https://eprel.ec.europa.eu/qr/930096         ")</f>
        <v xml:space="preserve">https://eprel.ec.europa.eu/qr/930096         </v>
      </c>
      <c r="U225">
        <v>1.38</v>
      </c>
      <c r="V225">
        <v>1.3109999999999999</v>
      </c>
      <c r="W225">
        <v>270</v>
      </c>
      <c r="X225">
        <v>180</v>
      </c>
      <c r="Y225">
        <v>100</v>
      </c>
    </row>
    <row r="226" spans="1:25" ht="15" x14ac:dyDescent="0.25">
      <c r="A226" t="s">
        <v>22</v>
      </c>
      <c r="B226" t="s">
        <v>1566</v>
      </c>
      <c r="C226"/>
      <c r="D226" t="s">
        <v>945</v>
      </c>
      <c r="E226" t="s">
        <v>2722</v>
      </c>
      <c r="F226" t="s">
        <v>1086</v>
      </c>
      <c r="G226" t="s">
        <v>1087</v>
      </c>
      <c r="H226" t="s">
        <v>945</v>
      </c>
      <c r="I226">
        <v>389</v>
      </c>
      <c r="J226" s="41">
        <f>I226/'enter the discount'!$D$7</f>
        <v>91.05378961659099</v>
      </c>
      <c r="K226" s="41">
        <f>J226*(1-IFERROR(VLOOKUP(H226,'enter the discount'!$D$10:$E$40,2,FALSE),0))</f>
        <v>91.05378961659099</v>
      </c>
      <c r="L226" s="43" t="s">
        <v>859</v>
      </c>
      <c r="M226" t="s">
        <v>1088</v>
      </c>
      <c r="N226" t="s">
        <v>932</v>
      </c>
      <c r="O226" t="s">
        <v>2723</v>
      </c>
      <c r="P226">
        <v>12</v>
      </c>
      <c r="Q226">
        <v>0</v>
      </c>
      <c r="R226" t="s">
        <v>2467</v>
      </c>
      <c r="S226" s="42" t="str">
        <f>HYPERLINK("https://sklep.kobi.pl/produkt/nextrack-nt5-28w-45st-3000k-cri-90-czarn")</f>
        <v>https://sklep.kobi.pl/produkt/nextrack-nt5-28w-45st-3000k-cri-90-czarn</v>
      </c>
      <c r="T226" s="42" t="str">
        <f>HYPERLINK("https://eprel.ec.europa.eu/qr/930024         ")</f>
        <v xml:space="preserve">https://eprel.ec.europa.eu/qr/930024         </v>
      </c>
      <c r="U226">
        <v>1.38</v>
      </c>
      <c r="V226">
        <v>1.3109999999999999</v>
      </c>
      <c r="W226">
        <v>270</v>
      </c>
      <c r="X226">
        <v>180</v>
      </c>
      <c r="Y226">
        <v>100</v>
      </c>
    </row>
    <row r="227" spans="1:25" ht="15" x14ac:dyDescent="0.25">
      <c r="A227" t="s">
        <v>22</v>
      </c>
      <c r="B227" t="s">
        <v>1566</v>
      </c>
      <c r="C227"/>
      <c r="D227" t="s">
        <v>111</v>
      </c>
      <c r="E227" t="s">
        <v>14</v>
      </c>
      <c r="F227" t="s">
        <v>1892</v>
      </c>
      <c r="G227" t="s">
        <v>1299</v>
      </c>
      <c r="H227" t="s">
        <v>1</v>
      </c>
      <c r="I227">
        <v>67.89</v>
      </c>
      <c r="J227" s="41">
        <f>I227/'enter the discount'!$D$7</f>
        <v>15.891109966761856</v>
      </c>
      <c r="K227" s="41">
        <f>J227*(1-IFERROR(VLOOKUP(H227,'enter the discount'!$D$10:$E$40,2,FALSE),0))</f>
        <v>15.891109966761856</v>
      </c>
      <c r="L227" s="43" t="s">
        <v>2549</v>
      </c>
      <c r="M227" t="s">
        <v>1300</v>
      </c>
      <c r="N227" t="s">
        <v>936</v>
      </c>
      <c r="O227" t="s">
        <v>2723</v>
      </c>
      <c r="P227">
        <v>50</v>
      </c>
      <c r="Q227">
        <v>0</v>
      </c>
      <c r="R227" t="s">
        <v>2465</v>
      </c>
      <c r="S227" s="42" t="str">
        <f>HYPERLINK("https://sklep.kobi.pl/produkt/nextrack-s-line-1xgu10-bialy")</f>
        <v>https://sklep.kobi.pl/produkt/nextrack-s-line-1xgu10-bialy</v>
      </c>
      <c r="T227" s="42" t="str">
        <f>HYPERLINK("https://eprel.ec.europa.eu/qr/NIE DOTYCZY    ")</f>
        <v xml:space="preserve">https://eprel.ec.europa.eu/qr/NIE DOTYCZY    </v>
      </c>
      <c r="U227">
        <v>0.25</v>
      </c>
      <c r="V227">
        <v>0</v>
      </c>
      <c r="W227">
        <v>0</v>
      </c>
      <c r="X227">
        <v>0</v>
      </c>
      <c r="Y227">
        <v>0</v>
      </c>
    </row>
    <row r="228" spans="1:25" ht="15" x14ac:dyDescent="0.25">
      <c r="A228" t="s">
        <v>22</v>
      </c>
      <c r="B228" t="s">
        <v>1566</v>
      </c>
      <c r="C228"/>
      <c r="D228" t="s">
        <v>111</v>
      </c>
      <c r="E228" t="s">
        <v>14</v>
      </c>
      <c r="F228" t="s">
        <v>1893</v>
      </c>
      <c r="G228" t="s">
        <v>1301</v>
      </c>
      <c r="H228" t="s">
        <v>1</v>
      </c>
      <c r="I228">
        <v>67.89</v>
      </c>
      <c r="J228" s="41">
        <f>I228/'enter the discount'!$D$7</f>
        <v>15.891109966761856</v>
      </c>
      <c r="K228" s="41">
        <f>J228*(1-IFERROR(VLOOKUP(H228,'enter the discount'!$D$10:$E$40,2,FALSE),0))</f>
        <v>15.891109966761856</v>
      </c>
      <c r="L228" s="43" t="s">
        <v>2549</v>
      </c>
      <c r="M228" t="s">
        <v>1302</v>
      </c>
      <c r="N228" t="s">
        <v>936</v>
      </c>
      <c r="O228" t="s">
        <v>2723</v>
      </c>
      <c r="P228">
        <v>50</v>
      </c>
      <c r="Q228">
        <v>0</v>
      </c>
      <c r="R228" t="s">
        <v>2465</v>
      </c>
      <c r="S228" s="42" t="str">
        <f>HYPERLINK("https://sklep.kobi.pl/produkt/nextrack-s-line-1xgu10-czarny")</f>
        <v>https://sklep.kobi.pl/produkt/nextrack-s-line-1xgu10-czarny</v>
      </c>
      <c r="T228" s="42" t="str">
        <f>HYPERLINK("https://eprel.ec.europa.eu/qr/NIE DOTYCZY    ")</f>
        <v xml:space="preserve">https://eprel.ec.europa.eu/qr/NIE DOTYCZY    </v>
      </c>
      <c r="U228">
        <v>0.25</v>
      </c>
      <c r="V228">
        <v>0</v>
      </c>
      <c r="W228">
        <v>0</v>
      </c>
      <c r="X228">
        <v>0</v>
      </c>
      <c r="Y228">
        <v>0</v>
      </c>
    </row>
    <row r="229" spans="1:25" ht="15" x14ac:dyDescent="0.25">
      <c r="A229" t="s">
        <v>22</v>
      </c>
      <c r="B229" t="s">
        <v>71</v>
      </c>
      <c r="C229" t="s">
        <v>59</v>
      </c>
      <c r="D229" t="s">
        <v>945</v>
      </c>
      <c r="E229" t="s">
        <v>14</v>
      </c>
      <c r="F229" t="s">
        <v>1894</v>
      </c>
      <c r="G229" t="s">
        <v>1089</v>
      </c>
      <c r="H229" t="s">
        <v>945</v>
      </c>
      <c r="I229">
        <v>719</v>
      </c>
      <c r="J229" s="41">
        <f>I229/'enter the discount'!$D$7</f>
        <v>168.29736435560133</v>
      </c>
      <c r="K229" s="41">
        <f>J229*(1-IFERROR(VLOOKUP(H229,'enter the discount'!$D$10:$E$40,2,FALSE),0))</f>
        <v>168.29736435560133</v>
      </c>
      <c r="L229" s="43" t="s">
        <v>963</v>
      </c>
      <c r="M229" t="s">
        <v>1090</v>
      </c>
      <c r="N229" t="s">
        <v>931</v>
      </c>
      <c r="O229" t="s">
        <v>2723</v>
      </c>
      <c r="P229">
        <v>1</v>
      </c>
      <c r="Q229">
        <v>0</v>
      </c>
      <c r="R229" t="s">
        <v>2467</v>
      </c>
      <c r="S229"/>
      <c r="T229" s="42" t="str">
        <f>HYPERLINK("https://eprel.ec.europa.eu/qr/952898         ")</f>
        <v xml:space="preserve">https://eprel.ec.europa.eu/qr/952898         </v>
      </c>
      <c r="U229">
        <v>1.7</v>
      </c>
      <c r="V229"/>
      <c r="W229"/>
      <c r="X229"/>
      <c r="Y229"/>
    </row>
    <row r="230" spans="1:25" ht="15" x14ac:dyDescent="0.25">
      <c r="A230" t="s">
        <v>22</v>
      </c>
      <c r="B230" t="s">
        <v>71</v>
      </c>
      <c r="C230" t="s">
        <v>59</v>
      </c>
      <c r="D230" t="s">
        <v>945</v>
      </c>
      <c r="E230" t="s">
        <v>14</v>
      </c>
      <c r="F230" t="s">
        <v>1895</v>
      </c>
      <c r="G230" t="s">
        <v>1091</v>
      </c>
      <c r="H230" t="s">
        <v>945</v>
      </c>
      <c r="I230">
        <v>719</v>
      </c>
      <c r="J230" s="41">
        <f>I230/'enter the discount'!$D$7</f>
        <v>168.29736435560133</v>
      </c>
      <c r="K230" s="41">
        <f>J230*(1-IFERROR(VLOOKUP(H230,'enter the discount'!$D$10:$E$40,2,FALSE),0))</f>
        <v>168.29736435560133</v>
      </c>
      <c r="L230" s="43" t="s">
        <v>967</v>
      </c>
      <c r="M230" t="s">
        <v>1092</v>
      </c>
      <c r="N230" t="s">
        <v>931</v>
      </c>
      <c r="O230" t="s">
        <v>2723</v>
      </c>
      <c r="P230">
        <v>1</v>
      </c>
      <c r="Q230">
        <v>0</v>
      </c>
      <c r="R230" t="s">
        <v>2467</v>
      </c>
      <c r="S230"/>
      <c r="T230" s="42" t="str">
        <f>HYPERLINK("https://eprel.ec.europa.eu/qr/1011279        ")</f>
        <v xml:space="preserve">https://eprel.ec.europa.eu/qr/1011279        </v>
      </c>
      <c r="U230">
        <v>1.7</v>
      </c>
      <c r="V230">
        <v>0</v>
      </c>
      <c r="W230"/>
      <c r="X230"/>
      <c r="Y230"/>
    </row>
    <row r="231" spans="1:25" ht="15" x14ac:dyDescent="0.25">
      <c r="A231" t="s">
        <v>22</v>
      </c>
      <c r="B231" t="s">
        <v>71</v>
      </c>
      <c r="C231" t="s">
        <v>59</v>
      </c>
      <c r="D231" t="s">
        <v>945</v>
      </c>
      <c r="E231" t="s">
        <v>14</v>
      </c>
      <c r="F231" t="s">
        <v>1896</v>
      </c>
      <c r="G231" t="s">
        <v>1093</v>
      </c>
      <c r="H231" t="s">
        <v>945</v>
      </c>
      <c r="I231">
        <v>399</v>
      </c>
      <c r="J231" s="41">
        <f>I231/'enter the discount'!$D$7</f>
        <v>93.394504002621602</v>
      </c>
      <c r="K231" s="41">
        <f>J231*(1-IFERROR(VLOOKUP(H231,'enter the discount'!$D$10:$E$40,2,FALSE),0))</f>
        <v>93.394504002621602</v>
      </c>
      <c r="L231" s="43" t="s">
        <v>859</v>
      </c>
      <c r="M231" t="s">
        <v>1094</v>
      </c>
      <c r="N231" t="s">
        <v>931</v>
      </c>
      <c r="O231" t="s">
        <v>2723</v>
      </c>
      <c r="P231">
        <v>1</v>
      </c>
      <c r="Q231">
        <v>0</v>
      </c>
      <c r="R231" t="s">
        <v>2467</v>
      </c>
      <c r="S231"/>
      <c r="T231" s="42" t="str">
        <f>HYPERLINK("https://eprel.ec.europa.eu/qr/952913         ")</f>
        <v xml:space="preserve">https://eprel.ec.europa.eu/qr/952913         </v>
      </c>
      <c r="U231">
        <v>0.9</v>
      </c>
      <c r="V231"/>
      <c r="W231"/>
      <c r="X231"/>
      <c r="Y231"/>
    </row>
    <row r="232" spans="1:25" ht="15" x14ac:dyDescent="0.25">
      <c r="A232" t="s">
        <v>22</v>
      </c>
      <c r="B232" t="s">
        <v>71</v>
      </c>
      <c r="C232" t="s">
        <v>59</v>
      </c>
      <c r="D232" t="s">
        <v>945</v>
      </c>
      <c r="E232" t="s">
        <v>14</v>
      </c>
      <c r="F232" t="s">
        <v>1897</v>
      </c>
      <c r="G232" t="s">
        <v>1095</v>
      </c>
      <c r="H232" t="s">
        <v>945</v>
      </c>
      <c r="I232">
        <v>551</v>
      </c>
      <c r="J232" s="41">
        <f>I232/'enter the discount'!$D$7</f>
        <v>128.97336267028697</v>
      </c>
      <c r="K232" s="41">
        <f>J232*(1-IFERROR(VLOOKUP(H232,'enter the discount'!$D$10:$E$40,2,FALSE),0))</f>
        <v>128.97336267028697</v>
      </c>
      <c r="L232" s="43" t="s">
        <v>859</v>
      </c>
      <c r="M232" t="s">
        <v>1096</v>
      </c>
      <c r="N232" t="s">
        <v>931</v>
      </c>
      <c r="O232" t="s">
        <v>2723</v>
      </c>
      <c r="P232">
        <v>1</v>
      </c>
      <c r="Q232">
        <v>0</v>
      </c>
      <c r="R232" t="s">
        <v>2467</v>
      </c>
      <c r="S232"/>
      <c r="T232" s="42" t="str">
        <f>HYPERLINK("https://eprel.ec.europa.eu/qr/952929         ")</f>
        <v xml:space="preserve">https://eprel.ec.europa.eu/qr/952929         </v>
      </c>
      <c r="U232">
        <v>1.7</v>
      </c>
      <c r="V232"/>
      <c r="W232"/>
      <c r="X232"/>
      <c r="Y232"/>
    </row>
    <row r="233" spans="1:25" ht="15" x14ac:dyDescent="0.25">
      <c r="A233" t="s">
        <v>22</v>
      </c>
      <c r="B233" t="s">
        <v>71</v>
      </c>
      <c r="C233" t="s">
        <v>59</v>
      </c>
      <c r="D233" t="s">
        <v>945</v>
      </c>
      <c r="E233" t="s">
        <v>14</v>
      </c>
      <c r="F233" t="s">
        <v>1898</v>
      </c>
      <c r="G233" t="s">
        <v>1097</v>
      </c>
      <c r="H233" t="s">
        <v>945</v>
      </c>
      <c r="I233">
        <v>399</v>
      </c>
      <c r="J233" s="41">
        <f>I233/'enter the discount'!$D$7</f>
        <v>93.394504002621602</v>
      </c>
      <c r="K233" s="41">
        <f>J233*(1-IFERROR(VLOOKUP(H233,'enter the discount'!$D$10:$E$40,2,FALSE),0))</f>
        <v>93.394504002621602</v>
      </c>
      <c r="L233" s="43" t="s">
        <v>963</v>
      </c>
      <c r="M233" t="s">
        <v>1098</v>
      </c>
      <c r="N233" t="s">
        <v>931</v>
      </c>
      <c r="O233" t="s">
        <v>2723</v>
      </c>
      <c r="P233">
        <v>1</v>
      </c>
      <c r="Q233">
        <v>0</v>
      </c>
      <c r="R233" t="s">
        <v>2467</v>
      </c>
      <c r="S233"/>
      <c r="T233" s="42" t="str">
        <f>HYPERLINK("https://eprel.ec.europa.eu/qr/1011286        ")</f>
        <v xml:space="preserve">https://eprel.ec.europa.eu/qr/1011286        </v>
      </c>
      <c r="U233">
        <v>0.9</v>
      </c>
      <c r="V233">
        <v>0</v>
      </c>
      <c r="W233"/>
      <c r="X233"/>
      <c r="Y233"/>
    </row>
    <row r="234" spans="1:25" ht="15" x14ac:dyDescent="0.25">
      <c r="A234" t="s">
        <v>22</v>
      </c>
      <c r="B234" t="s">
        <v>71</v>
      </c>
      <c r="C234" t="s">
        <v>59</v>
      </c>
      <c r="D234" t="s">
        <v>945</v>
      </c>
      <c r="E234" t="s">
        <v>14</v>
      </c>
      <c r="F234" t="s">
        <v>1899</v>
      </c>
      <c r="G234" t="s">
        <v>1099</v>
      </c>
      <c r="H234" t="s">
        <v>945</v>
      </c>
      <c r="I234">
        <v>551</v>
      </c>
      <c r="J234" s="41">
        <f>I234/'enter the discount'!$D$7</f>
        <v>128.97336267028697</v>
      </c>
      <c r="K234" s="41">
        <f>J234*(1-IFERROR(VLOOKUP(H234,'enter the discount'!$D$10:$E$40,2,FALSE),0))</f>
        <v>128.97336267028697</v>
      </c>
      <c r="L234" s="43" t="s">
        <v>963</v>
      </c>
      <c r="M234" t="s">
        <v>1100</v>
      </c>
      <c r="N234" t="s">
        <v>931</v>
      </c>
      <c r="O234" t="s">
        <v>2723</v>
      </c>
      <c r="P234">
        <v>1</v>
      </c>
      <c r="Q234">
        <v>0</v>
      </c>
      <c r="R234" t="s">
        <v>2467</v>
      </c>
      <c r="S234"/>
      <c r="T234" s="42" t="str">
        <f>HYPERLINK("https://eprel.ec.europa.eu/qr/953051         ")</f>
        <v xml:space="preserve">https://eprel.ec.europa.eu/qr/953051         </v>
      </c>
      <c r="U234">
        <v>1.7</v>
      </c>
      <c r="V234"/>
      <c r="W234"/>
      <c r="X234"/>
      <c r="Y234"/>
    </row>
    <row r="235" spans="1:25" ht="15" x14ac:dyDescent="0.25">
      <c r="A235" t="s">
        <v>22</v>
      </c>
      <c r="B235" t="s">
        <v>107</v>
      </c>
      <c r="C235" t="s">
        <v>59</v>
      </c>
      <c r="D235" t="s">
        <v>961</v>
      </c>
      <c r="E235" t="s">
        <v>2722</v>
      </c>
      <c r="F235" t="s">
        <v>1900</v>
      </c>
      <c r="G235" t="s">
        <v>968</v>
      </c>
      <c r="H235" t="s">
        <v>1</v>
      </c>
      <c r="I235">
        <v>1003</v>
      </c>
      <c r="J235" s="41">
        <f>I235/'enter the discount'!$D$7</f>
        <v>234.77365291887085</v>
      </c>
      <c r="K235" s="41">
        <f>J235*(1-IFERROR(VLOOKUP(H235,'enter the discount'!$D$10:$E$40,2,FALSE),0))</f>
        <v>234.77365291887085</v>
      </c>
      <c r="L235" s="43" t="s">
        <v>967</v>
      </c>
      <c r="M235" t="s">
        <v>969</v>
      </c>
      <c r="N235" t="s">
        <v>932</v>
      </c>
      <c r="O235" t="s">
        <v>2723</v>
      </c>
      <c r="P235">
        <v>1</v>
      </c>
      <c r="Q235">
        <v>54</v>
      </c>
      <c r="R235" t="s">
        <v>2467</v>
      </c>
      <c r="S235"/>
      <c r="T235" s="42" t="str">
        <f>HYPERLINK("https://eprel.ec.europa.eu/qr/669376         ")</f>
        <v xml:space="preserve">https://eprel.ec.europa.eu/qr/669376         </v>
      </c>
      <c r="U235">
        <v>3.7</v>
      </c>
      <c r="V235">
        <v>4.7729999999999997</v>
      </c>
      <c r="W235">
        <v>330</v>
      </c>
      <c r="X235">
        <v>310</v>
      </c>
      <c r="Y235">
        <v>150</v>
      </c>
    </row>
    <row r="236" spans="1:25" ht="15" x14ac:dyDescent="0.25">
      <c r="A236" t="s">
        <v>22</v>
      </c>
      <c r="B236" t="s">
        <v>107</v>
      </c>
      <c r="C236" t="s">
        <v>59</v>
      </c>
      <c r="D236" t="s">
        <v>961</v>
      </c>
      <c r="E236" t="s">
        <v>2722</v>
      </c>
      <c r="F236" t="s">
        <v>1901</v>
      </c>
      <c r="G236" t="s">
        <v>970</v>
      </c>
      <c r="H236" t="s">
        <v>1</v>
      </c>
      <c r="I236">
        <v>1281</v>
      </c>
      <c r="J236" s="41">
        <f>I236/'enter the discount'!$D$7</f>
        <v>299.84551285052197</v>
      </c>
      <c r="K236" s="41">
        <f>J236*(1-IFERROR(VLOOKUP(H236,'enter the discount'!$D$10:$E$40,2,FALSE),0))</f>
        <v>299.84551285052197</v>
      </c>
      <c r="L236" s="43" t="s">
        <v>967</v>
      </c>
      <c r="M236" t="s">
        <v>971</v>
      </c>
      <c r="N236" t="s">
        <v>932</v>
      </c>
      <c r="O236" t="s">
        <v>2723</v>
      </c>
      <c r="P236">
        <v>1</v>
      </c>
      <c r="Q236">
        <v>54</v>
      </c>
      <c r="R236" t="s">
        <v>2467</v>
      </c>
      <c r="S236" s="42" t="str">
        <f>HYPERLINK("https://sklep.kobi.pl/produkt/led-neo-high-bay-200w-110-4000k-ip65")</f>
        <v>https://sklep.kobi.pl/produkt/led-neo-high-bay-200w-110-4000k-ip65</v>
      </c>
      <c r="T236" s="42" t="str">
        <f>HYPERLINK("https://eprel.ec.europa.eu/qr/669377         ")</f>
        <v xml:space="preserve">https://eprel.ec.europa.eu/qr/669377         </v>
      </c>
      <c r="U236">
        <v>3.5190000000000001</v>
      </c>
      <c r="V236">
        <v>4.9000000000000004</v>
      </c>
      <c r="W236">
        <v>370</v>
      </c>
      <c r="X236">
        <v>370</v>
      </c>
      <c r="Y236">
        <v>160</v>
      </c>
    </row>
    <row r="237" spans="1:25" ht="15" x14ac:dyDescent="0.25">
      <c r="A237" t="s">
        <v>22</v>
      </c>
      <c r="B237" t="s">
        <v>108</v>
      </c>
      <c r="C237" t="s">
        <v>59</v>
      </c>
      <c r="D237" t="s">
        <v>961</v>
      </c>
      <c r="E237" t="s">
        <v>14</v>
      </c>
      <c r="F237" t="s">
        <v>1902</v>
      </c>
      <c r="G237" t="s">
        <v>972</v>
      </c>
      <c r="H237" t="s">
        <v>1</v>
      </c>
      <c r="I237">
        <v>164</v>
      </c>
      <c r="J237" s="41">
        <f>I237/'enter the discount'!$D$7</f>
        <v>38.387715930902111</v>
      </c>
      <c r="K237" s="41">
        <f>J237*(1-IFERROR(VLOOKUP(H237,'enter the discount'!$D$10:$E$40,2,FALSE),0))</f>
        <v>38.387715930902111</v>
      </c>
      <c r="L237" s="43" t="s">
        <v>859</v>
      </c>
      <c r="M237" t="s">
        <v>973</v>
      </c>
      <c r="N237" t="s">
        <v>936</v>
      </c>
      <c r="O237" t="s">
        <v>2723</v>
      </c>
      <c r="P237">
        <v>24</v>
      </c>
      <c r="Q237">
        <v>480</v>
      </c>
      <c r="R237" t="s">
        <v>2467</v>
      </c>
      <c r="S237" s="42" t="str">
        <f>HYPERLINK("https://sklep.kobi.pl/produkt/led-nexeye-ne1-pt-15w-4000k-ip44")</f>
        <v>https://sklep.kobi.pl/produkt/led-nexeye-ne1-pt-15w-4000k-ip44</v>
      </c>
      <c r="T237" s="42" t="str">
        <f>HYPERLINK("https://eprel.ec.europa.eu/qr/669368         ")</f>
        <v xml:space="preserve">https://eprel.ec.europa.eu/qr/669368         </v>
      </c>
      <c r="U237">
        <v>0.33900000000000002</v>
      </c>
      <c r="V237">
        <v>0.30199999999999999</v>
      </c>
      <c r="W237">
        <v>150</v>
      </c>
      <c r="X237">
        <v>150</v>
      </c>
      <c r="Y237">
        <v>60</v>
      </c>
    </row>
    <row r="238" spans="1:25" ht="15" x14ac:dyDescent="0.25">
      <c r="A238" t="s">
        <v>22</v>
      </c>
      <c r="B238" t="s">
        <v>108</v>
      </c>
      <c r="C238" t="s">
        <v>59</v>
      </c>
      <c r="D238" t="s">
        <v>961</v>
      </c>
      <c r="E238" t="s">
        <v>14</v>
      </c>
      <c r="F238" t="s">
        <v>1903</v>
      </c>
      <c r="G238" t="s">
        <v>974</v>
      </c>
      <c r="H238" t="s">
        <v>1</v>
      </c>
      <c r="I238">
        <v>475</v>
      </c>
      <c r="J238" s="41">
        <f>I238/'enter the discount'!$D$7</f>
        <v>111.18393333645429</v>
      </c>
      <c r="K238" s="41">
        <f>J238*(1-IFERROR(VLOOKUP(H238,'enter the discount'!$D$10:$E$40,2,FALSE),0))</f>
        <v>111.18393333645429</v>
      </c>
      <c r="L238" s="43" t="s">
        <v>859</v>
      </c>
      <c r="M238" t="s">
        <v>975</v>
      </c>
      <c r="N238" t="s">
        <v>936</v>
      </c>
      <c r="O238" t="s">
        <v>2723</v>
      </c>
      <c r="P238">
        <v>24</v>
      </c>
      <c r="Q238">
        <v>480</v>
      </c>
      <c r="R238" t="s">
        <v>2467</v>
      </c>
      <c r="S238" s="42" t="str">
        <f>HYPERLINK("https://sklep.kobi.pl/produkt/led-nexeye-ne1-pt-15w-4000k-ip44-dali")</f>
        <v>https://sklep.kobi.pl/produkt/led-nexeye-ne1-pt-15w-4000k-ip44-dali</v>
      </c>
      <c r="T238" s="42" t="str">
        <f>HYPERLINK("https://eprel.ec.europa.eu/qr/669368         ")</f>
        <v xml:space="preserve">https://eprel.ec.europa.eu/qr/669368         </v>
      </c>
      <c r="U238">
        <v>0.33</v>
      </c>
      <c r="V238">
        <v>0.30199999999999999</v>
      </c>
      <c r="W238">
        <v>150</v>
      </c>
      <c r="X238">
        <v>150</v>
      </c>
      <c r="Y238">
        <v>90</v>
      </c>
    </row>
    <row r="239" spans="1:25" ht="15" x14ac:dyDescent="0.25">
      <c r="A239" t="s">
        <v>22</v>
      </c>
      <c r="B239" t="s">
        <v>108</v>
      </c>
      <c r="C239" t="s">
        <v>59</v>
      </c>
      <c r="D239" t="s">
        <v>961</v>
      </c>
      <c r="E239" t="s">
        <v>14</v>
      </c>
      <c r="F239" t="s">
        <v>1904</v>
      </c>
      <c r="G239" t="s">
        <v>976</v>
      </c>
      <c r="H239" t="s">
        <v>1</v>
      </c>
      <c r="I239">
        <v>222</v>
      </c>
      <c r="J239" s="41">
        <f>I239/'enter the discount'!$D$7</f>
        <v>51.963859369879692</v>
      </c>
      <c r="K239" s="41">
        <f>J239*(1-IFERROR(VLOOKUP(H239,'enter the discount'!$D$10:$E$40,2,FALSE),0))</f>
        <v>51.963859369879692</v>
      </c>
      <c r="L239" s="43" t="s">
        <v>859</v>
      </c>
      <c r="M239" t="s">
        <v>977</v>
      </c>
      <c r="N239" t="s">
        <v>936</v>
      </c>
      <c r="O239" t="s">
        <v>2723</v>
      </c>
      <c r="P239">
        <v>16</v>
      </c>
      <c r="Q239">
        <v>288</v>
      </c>
      <c r="R239" t="s">
        <v>2467</v>
      </c>
      <c r="S239" s="42" t="str">
        <f>HYPERLINK("https://sklep.kobi.pl/produkt/led-nexeye-ne1-pt-20w-4000k-ip44")</f>
        <v>https://sklep.kobi.pl/produkt/led-nexeye-ne1-pt-20w-4000k-ip44</v>
      </c>
      <c r="T239" s="42" t="str">
        <f>HYPERLINK("https://eprel.ec.europa.eu/qr/669370         ")</f>
        <v xml:space="preserve">https://eprel.ec.europa.eu/qr/669370         </v>
      </c>
      <c r="U239">
        <v>0.47399999999999998</v>
      </c>
      <c r="V239">
        <v>0.66600000000000004</v>
      </c>
      <c r="W239">
        <v>200</v>
      </c>
      <c r="X239">
        <v>200</v>
      </c>
      <c r="Y239">
        <v>60</v>
      </c>
    </row>
    <row r="240" spans="1:25" ht="15" x14ac:dyDescent="0.25">
      <c r="A240" t="s">
        <v>22</v>
      </c>
      <c r="B240" t="s">
        <v>108</v>
      </c>
      <c r="C240" t="s">
        <v>59</v>
      </c>
      <c r="D240" t="s">
        <v>961</v>
      </c>
      <c r="E240" t="s">
        <v>14</v>
      </c>
      <c r="F240" t="s">
        <v>1905</v>
      </c>
      <c r="G240" t="s">
        <v>978</v>
      </c>
      <c r="H240" t="s">
        <v>1</v>
      </c>
      <c r="I240">
        <v>509</v>
      </c>
      <c r="J240" s="41">
        <f>I240/'enter the discount'!$D$7</f>
        <v>119.14236224895839</v>
      </c>
      <c r="K240" s="41">
        <f>J240*(1-IFERROR(VLOOKUP(H240,'enter the discount'!$D$10:$E$40,2,FALSE),0))</f>
        <v>119.14236224895839</v>
      </c>
      <c r="L240" s="43" t="s">
        <v>859</v>
      </c>
      <c r="M240" t="s">
        <v>979</v>
      </c>
      <c r="N240" t="s">
        <v>936</v>
      </c>
      <c r="O240" t="s">
        <v>2723</v>
      </c>
      <c r="P240">
        <v>16</v>
      </c>
      <c r="Q240">
        <v>288</v>
      </c>
      <c r="R240" t="s">
        <v>2467</v>
      </c>
      <c r="S240" s="42" t="str">
        <f>HYPERLINK("https://sklep.kobi.pl/produkt/led-nexeye-ne1-pt-20w-4000k-ip44-dali")</f>
        <v>https://sklep.kobi.pl/produkt/led-nexeye-ne1-pt-20w-4000k-ip44-dali</v>
      </c>
      <c r="T240" s="42" t="str">
        <f>HYPERLINK("https://eprel.ec.europa.eu/qr/669370         ")</f>
        <v xml:space="preserve">https://eprel.ec.europa.eu/qr/669370         </v>
      </c>
      <c r="U240">
        <v>0.57999999999999996</v>
      </c>
      <c r="V240">
        <v>0.66600000000000004</v>
      </c>
      <c r="W240">
        <v>200</v>
      </c>
      <c r="X240">
        <v>200</v>
      </c>
      <c r="Y240">
        <v>90</v>
      </c>
    </row>
    <row r="241" spans="1:25" ht="15" x14ac:dyDescent="0.25">
      <c r="A241" t="s">
        <v>22</v>
      </c>
      <c r="B241" t="s">
        <v>108</v>
      </c>
      <c r="C241" t="s">
        <v>59</v>
      </c>
      <c r="D241" t="s">
        <v>961</v>
      </c>
      <c r="E241" t="s">
        <v>14</v>
      </c>
      <c r="F241" t="s">
        <v>1906</v>
      </c>
      <c r="G241" t="s">
        <v>980</v>
      </c>
      <c r="H241" t="s">
        <v>1</v>
      </c>
      <c r="I241">
        <v>292</v>
      </c>
      <c r="J241" s="41">
        <f>I241/'enter the discount'!$D$7</f>
        <v>68.348860072094013</v>
      </c>
      <c r="K241" s="41">
        <f>J241*(1-IFERROR(VLOOKUP(H241,'enter the discount'!$D$10:$E$40,2,FALSE),0))</f>
        <v>68.348860072094013</v>
      </c>
      <c r="L241" s="43" t="s">
        <v>859</v>
      </c>
      <c r="M241" t="s">
        <v>981</v>
      </c>
      <c r="N241" t="s">
        <v>936</v>
      </c>
      <c r="O241" t="s">
        <v>2723</v>
      </c>
      <c r="P241">
        <v>10</v>
      </c>
      <c r="Q241">
        <v>190</v>
      </c>
      <c r="R241" t="s">
        <v>2467</v>
      </c>
      <c r="S241" s="42" t="str">
        <f>HYPERLINK("https://sklep.kobi.pl/produkt/led-nexeye-ne1-pt-30w-4000k-ip44")</f>
        <v>https://sklep.kobi.pl/produkt/led-nexeye-ne1-pt-30w-4000k-ip44</v>
      </c>
      <c r="T241" s="42" t="str">
        <f>HYPERLINK("https://eprel.ec.europa.eu/qr/669371         ")</f>
        <v xml:space="preserve">https://eprel.ec.europa.eu/qr/669371         </v>
      </c>
      <c r="U241">
        <v>0.77500000000000002</v>
      </c>
      <c r="V241">
        <v>0.92500000000000004</v>
      </c>
      <c r="W241">
        <v>230</v>
      </c>
      <c r="X241">
        <v>230</v>
      </c>
      <c r="Y241">
        <v>60</v>
      </c>
    </row>
    <row r="242" spans="1:25" ht="15" x14ac:dyDescent="0.25">
      <c r="A242" t="s">
        <v>22</v>
      </c>
      <c r="B242" t="s">
        <v>108</v>
      </c>
      <c r="C242" t="s">
        <v>59</v>
      </c>
      <c r="D242" t="s">
        <v>961</v>
      </c>
      <c r="E242" t="s">
        <v>14</v>
      </c>
      <c r="F242" t="s">
        <v>1907</v>
      </c>
      <c r="G242" t="s">
        <v>982</v>
      </c>
      <c r="H242" t="s">
        <v>1</v>
      </c>
      <c r="I242">
        <v>544</v>
      </c>
      <c r="J242" s="41">
        <f>I242/'enter the discount'!$D$7</f>
        <v>127.33486260006555</v>
      </c>
      <c r="K242" s="41">
        <f>J242*(1-IFERROR(VLOOKUP(H242,'enter the discount'!$D$10:$E$40,2,FALSE),0))</f>
        <v>127.33486260006555</v>
      </c>
      <c r="L242" s="43" t="s">
        <v>859</v>
      </c>
      <c r="M242" t="s">
        <v>983</v>
      </c>
      <c r="N242" t="s">
        <v>936</v>
      </c>
      <c r="O242" t="s">
        <v>2723</v>
      </c>
      <c r="P242">
        <v>10</v>
      </c>
      <c r="Q242">
        <v>190</v>
      </c>
      <c r="R242" t="s">
        <v>2467</v>
      </c>
      <c r="S242" s="42" t="str">
        <f>HYPERLINK("https://sklep.kobi.pl/produkt/led-nexeye-ne1-pt-30w-4000k-ip44-dali")</f>
        <v>https://sklep.kobi.pl/produkt/led-nexeye-ne1-pt-30w-4000k-ip44-dali</v>
      </c>
      <c r="T242" s="42" t="str">
        <f>HYPERLINK("https://eprel.ec.europa.eu/qr/669371         ")</f>
        <v xml:space="preserve">https://eprel.ec.europa.eu/qr/669371         </v>
      </c>
      <c r="U242">
        <v>0.76</v>
      </c>
      <c r="V242">
        <v>0.92500000000000004</v>
      </c>
      <c r="W242">
        <v>300</v>
      </c>
      <c r="X242">
        <v>300</v>
      </c>
      <c r="Y242">
        <v>90</v>
      </c>
    </row>
    <row r="243" spans="1:25" ht="15" x14ac:dyDescent="0.25">
      <c r="A243" t="s">
        <v>22</v>
      </c>
      <c r="B243" t="s">
        <v>71</v>
      </c>
      <c r="C243" t="s">
        <v>59</v>
      </c>
      <c r="D243" t="s">
        <v>961</v>
      </c>
      <c r="E243" t="s">
        <v>14</v>
      </c>
      <c r="F243" t="s">
        <v>1908</v>
      </c>
      <c r="G243" t="s">
        <v>1309</v>
      </c>
      <c r="H243" t="s">
        <v>1</v>
      </c>
      <c r="I243">
        <v>185.59</v>
      </c>
      <c r="J243" s="41">
        <f>I243/'enter the discount'!$D$7</f>
        <v>43.441318290342217</v>
      </c>
      <c r="K243" s="41">
        <f>J243*(1-IFERROR(VLOOKUP(H243,'enter the discount'!$D$10:$E$40,2,FALSE),0))</f>
        <v>43.441318290342217</v>
      </c>
      <c r="L243" s="43" t="s">
        <v>2547</v>
      </c>
      <c r="M243" t="s">
        <v>1310</v>
      </c>
      <c r="N243" t="s">
        <v>931</v>
      </c>
      <c r="O243" t="s">
        <v>2723</v>
      </c>
      <c r="P243">
        <v>8</v>
      </c>
      <c r="Q243">
        <v>0</v>
      </c>
      <c r="R243" t="s">
        <v>2467</v>
      </c>
      <c r="S243" s="42" t="str">
        <f>HYPERLINK("https://sklep.kobi.pl/produkt/led-nexforce1-20w-4000k")</f>
        <v>https://sklep.kobi.pl/produkt/led-nexforce1-20w-4000k</v>
      </c>
      <c r="T243" s="42" t="str">
        <f>HYPERLINK("https://eprel.ec.europa.eu/qr/1864792        ")</f>
        <v xml:space="preserve">https://eprel.ec.europa.eu/qr/1864792        </v>
      </c>
      <c r="U243">
        <v>0.78</v>
      </c>
      <c r="V243">
        <v>0</v>
      </c>
      <c r="W243">
        <v>0</v>
      </c>
      <c r="X243">
        <v>0</v>
      </c>
      <c r="Y243">
        <v>0</v>
      </c>
    </row>
    <row r="244" spans="1:25" ht="15" x14ac:dyDescent="0.25">
      <c r="A244" t="s">
        <v>22</v>
      </c>
      <c r="B244" t="s">
        <v>71</v>
      </c>
      <c r="C244" t="s">
        <v>59</v>
      </c>
      <c r="D244" t="s">
        <v>961</v>
      </c>
      <c r="E244" t="s">
        <v>14</v>
      </c>
      <c r="F244" t="s">
        <v>1909</v>
      </c>
      <c r="G244" t="s">
        <v>984</v>
      </c>
      <c r="H244" t="s">
        <v>1</v>
      </c>
      <c r="I244">
        <v>292</v>
      </c>
      <c r="J244" s="41">
        <f>I244/'enter the discount'!$D$7</f>
        <v>68.348860072094013</v>
      </c>
      <c r="K244" s="41">
        <f>J244*(1-IFERROR(VLOOKUP(H244,'enter the discount'!$D$10:$E$40,2,FALSE),0))</f>
        <v>68.348860072094013</v>
      </c>
      <c r="L244" s="43" t="s">
        <v>2547</v>
      </c>
      <c r="M244" t="s">
        <v>985</v>
      </c>
      <c r="N244" t="s">
        <v>931</v>
      </c>
      <c r="O244" t="s">
        <v>2723</v>
      </c>
      <c r="P244">
        <v>8</v>
      </c>
      <c r="Q244">
        <v>120</v>
      </c>
      <c r="R244" t="s">
        <v>2467</v>
      </c>
      <c r="S244" s="42" t="str">
        <f>HYPERLINK("https://sklep.kobi.pl/produkt/led-nexforce1-40w-4000k")</f>
        <v>https://sklep.kobi.pl/produkt/led-nexforce1-40w-4000k</v>
      </c>
      <c r="T244" s="42" t="str">
        <f>HYPERLINK("https://eprel.ec.europa.eu/qr/1863738        ")</f>
        <v xml:space="preserve">https://eprel.ec.europa.eu/qr/1863738        </v>
      </c>
      <c r="U244">
        <v>1.5069999999999999</v>
      </c>
      <c r="V244">
        <v>1.7</v>
      </c>
      <c r="W244">
        <v>1200</v>
      </c>
      <c r="X244">
        <v>100</v>
      </c>
      <c r="Y244">
        <v>80</v>
      </c>
    </row>
    <row r="245" spans="1:25" ht="15" x14ac:dyDescent="0.25">
      <c r="A245" t="s">
        <v>22</v>
      </c>
      <c r="B245" t="s">
        <v>71</v>
      </c>
      <c r="C245" t="s">
        <v>59</v>
      </c>
      <c r="D245" t="s">
        <v>961</v>
      </c>
      <c r="E245" t="s">
        <v>14</v>
      </c>
      <c r="F245" t="s">
        <v>1910</v>
      </c>
      <c r="G245" t="s">
        <v>986</v>
      </c>
      <c r="H245" t="s">
        <v>1</v>
      </c>
      <c r="I245">
        <v>335</v>
      </c>
      <c r="J245" s="41">
        <f>I245/'enter the discount'!$D$7</f>
        <v>78.413931932025662</v>
      </c>
      <c r="K245" s="41">
        <f>J245*(1-IFERROR(VLOOKUP(H245,'enter the discount'!$D$10:$E$40,2,FALSE),0))</f>
        <v>78.413931932025662</v>
      </c>
      <c r="L245" s="43" t="s">
        <v>2547</v>
      </c>
      <c r="M245" t="s">
        <v>987</v>
      </c>
      <c r="N245" t="s">
        <v>931</v>
      </c>
      <c r="O245" t="s">
        <v>2723</v>
      </c>
      <c r="P245">
        <v>8</v>
      </c>
      <c r="Q245">
        <v>88</v>
      </c>
      <c r="R245" t="s">
        <v>2467</v>
      </c>
      <c r="S245"/>
      <c r="T245" s="42" t="str">
        <f>HYPERLINK("https://eprel.ec.europa.eu/qr/1864743        ")</f>
        <v xml:space="preserve">https://eprel.ec.europa.eu/qr/1864743        </v>
      </c>
      <c r="U245">
        <v>1.8380000000000001</v>
      </c>
      <c r="V245"/>
      <c r="W245">
        <v>1540</v>
      </c>
      <c r="X245">
        <v>80</v>
      </c>
      <c r="Y245">
        <v>100</v>
      </c>
    </row>
    <row r="246" spans="1:25" ht="15" x14ac:dyDescent="0.25">
      <c r="A246" t="s">
        <v>22</v>
      </c>
      <c r="B246" t="s">
        <v>100</v>
      </c>
      <c r="C246" t="s">
        <v>59</v>
      </c>
      <c r="D246" t="s">
        <v>961</v>
      </c>
      <c r="E246" t="s">
        <v>2722</v>
      </c>
      <c r="F246" t="s">
        <v>1911</v>
      </c>
      <c r="G246" t="s">
        <v>988</v>
      </c>
      <c r="H246" t="s">
        <v>1</v>
      </c>
      <c r="I246">
        <v>670.18</v>
      </c>
      <c r="J246" s="41">
        <f>I246/'enter the discount'!$D$7</f>
        <v>156.86999672299984</v>
      </c>
      <c r="K246" s="41">
        <f>J246*(1-IFERROR(VLOOKUP(H246,'enter the discount'!$D$10:$E$40,2,FALSE),0))</f>
        <v>156.86999672299984</v>
      </c>
      <c r="L246" s="43" t="s">
        <v>859</v>
      </c>
      <c r="M246" t="s">
        <v>989</v>
      </c>
      <c r="N246" t="s">
        <v>932</v>
      </c>
      <c r="O246" t="s">
        <v>2723</v>
      </c>
      <c r="P246">
        <v>2</v>
      </c>
      <c r="Q246">
        <v>0</v>
      </c>
      <c r="R246" t="s">
        <v>2467</v>
      </c>
      <c r="S246" s="42" t="str">
        <f>HYPERLINK("https://sklep.kobi.pl/produkt/led-nexpro-fl-150w-4000k-45-80st")</f>
        <v>https://sklep.kobi.pl/produkt/led-nexpro-fl-150w-4000k-45-80st</v>
      </c>
      <c r="T246" s="42" t="str">
        <f>HYPERLINK("https://eprel.ec.europa.eu/qr/669389         ")</f>
        <v xml:space="preserve">https://eprel.ec.europa.eu/qr/669389         </v>
      </c>
      <c r="U246">
        <v>3.6949999999999998</v>
      </c>
      <c r="V246">
        <v>3.97</v>
      </c>
      <c r="W246">
        <v>360</v>
      </c>
      <c r="X246">
        <v>320</v>
      </c>
      <c r="Y246">
        <v>70</v>
      </c>
    </row>
    <row r="247" spans="1:25" ht="15" x14ac:dyDescent="0.25">
      <c r="A247" t="s">
        <v>22</v>
      </c>
      <c r="B247" t="s">
        <v>100</v>
      </c>
      <c r="C247" t="s">
        <v>59</v>
      </c>
      <c r="D247" t="s">
        <v>961</v>
      </c>
      <c r="E247" t="s">
        <v>14</v>
      </c>
      <c r="F247" t="s">
        <v>1912</v>
      </c>
      <c r="G247" t="s">
        <v>1384</v>
      </c>
      <c r="H247" t="s">
        <v>1</v>
      </c>
      <c r="I247">
        <v>1241</v>
      </c>
      <c r="J247" s="41">
        <f>I247/'enter the discount'!$D$7</f>
        <v>290.48265530639952</v>
      </c>
      <c r="K247" s="41">
        <f>J247*(1-IFERROR(VLOOKUP(H247,'enter the discount'!$D$10:$E$40,2,FALSE),0))</f>
        <v>290.48265530639952</v>
      </c>
      <c r="L247" s="43" t="s">
        <v>963</v>
      </c>
      <c r="M247" t="s">
        <v>1385</v>
      </c>
      <c r="N247" t="s">
        <v>932</v>
      </c>
      <c r="O247" t="s">
        <v>2723</v>
      </c>
      <c r="P247">
        <v>3</v>
      </c>
      <c r="Q247">
        <v>0</v>
      </c>
      <c r="R247" t="s">
        <v>2467</v>
      </c>
      <c r="S247" s="42" t="str">
        <f>HYPERLINK("https://sklep.kobi.pl/produkt/led-us-300w-5000k-90st-ip66-dim")</f>
        <v>https://sklep.kobi.pl/produkt/led-us-300w-5000k-90st-ip66-dim</v>
      </c>
      <c r="T247" s="42" t="str">
        <f>HYPERLINK("https://eprel.ec.europa.eu/qr/1661892        ")</f>
        <v xml:space="preserve">https://eprel.ec.europa.eu/qr/1661892        </v>
      </c>
      <c r="U247">
        <v>4.2</v>
      </c>
      <c r="V247">
        <v>0</v>
      </c>
      <c r="W247">
        <v>0</v>
      </c>
      <c r="X247">
        <v>0</v>
      </c>
      <c r="Y247">
        <v>0</v>
      </c>
    </row>
    <row r="248" spans="1:25" ht="15" x14ac:dyDescent="0.25">
      <c r="A248" t="s">
        <v>22</v>
      </c>
      <c r="B248" t="s">
        <v>100</v>
      </c>
      <c r="C248" t="s">
        <v>59</v>
      </c>
      <c r="D248" t="s">
        <v>961</v>
      </c>
      <c r="E248" t="s">
        <v>14</v>
      </c>
      <c r="F248" t="s">
        <v>1913</v>
      </c>
      <c r="G248" t="s">
        <v>1342</v>
      </c>
      <c r="H248" t="s">
        <v>1</v>
      </c>
      <c r="I248">
        <v>3938.05</v>
      </c>
      <c r="J248" s="41">
        <f>I248/'enter the discount'!$D$7</f>
        <v>921.78502879078701</v>
      </c>
      <c r="K248" s="41">
        <f>J248*(1-IFERROR(VLOOKUP(H248,'enter the discount'!$D$10:$E$40,2,FALSE),0))</f>
        <v>921.78502879078701</v>
      </c>
      <c r="L248" s="43" t="s">
        <v>2542</v>
      </c>
      <c r="M248" t="s">
        <v>1343</v>
      </c>
      <c r="N248" t="s">
        <v>932</v>
      </c>
      <c r="O248" t="s">
        <v>2723</v>
      </c>
      <c r="P248">
        <v>1</v>
      </c>
      <c r="Q248">
        <v>0</v>
      </c>
      <c r="R248" t="s">
        <v>2467</v>
      </c>
      <c r="S248" s="42" t="str">
        <f>HYPERLINK("https://sklep.kobi.pl/produkt/led-us-500w-5000k-60st-ip66-dim")</f>
        <v>https://sklep.kobi.pl/produkt/led-us-500w-5000k-60st-ip66-dim</v>
      </c>
      <c r="T248" s="42" t="str">
        <f>HYPERLINK("https://eprel.ec.europa.eu/qr/1742631        ")</f>
        <v xml:space="preserve">https://eprel.ec.europa.eu/qr/1742631        </v>
      </c>
      <c r="U248">
        <v>12.5</v>
      </c>
      <c r="V248">
        <v>0</v>
      </c>
      <c r="W248">
        <v>0</v>
      </c>
      <c r="X248">
        <v>0</v>
      </c>
      <c r="Y248">
        <v>0</v>
      </c>
    </row>
    <row r="249" spans="1:25" ht="15" x14ac:dyDescent="0.25">
      <c r="A249" t="s">
        <v>22</v>
      </c>
      <c r="B249" t="s">
        <v>58</v>
      </c>
      <c r="C249" t="s">
        <v>74</v>
      </c>
      <c r="D249" t="s">
        <v>111</v>
      </c>
      <c r="E249" t="s">
        <v>14</v>
      </c>
      <c r="F249" t="s">
        <v>1914</v>
      </c>
      <c r="G249" t="s">
        <v>263</v>
      </c>
      <c r="H249" t="s">
        <v>3</v>
      </c>
      <c r="I249">
        <v>42</v>
      </c>
      <c r="J249" s="41">
        <f>I249/'enter the discount'!$D$7</f>
        <v>9.8310004213285893</v>
      </c>
      <c r="K249" s="41">
        <f>J249*(1-IFERROR(VLOOKUP(H249,'enter the discount'!$D$10:$E$40,2,FALSE),0))</f>
        <v>9.8310004213285893</v>
      </c>
      <c r="L249" s="43" t="s">
        <v>2549</v>
      </c>
      <c r="M249" t="s">
        <v>626</v>
      </c>
      <c r="N249" t="s">
        <v>928</v>
      </c>
      <c r="O249" t="s">
        <v>2723</v>
      </c>
      <c r="P249">
        <v>5</v>
      </c>
      <c r="Q249">
        <v>0</v>
      </c>
      <c r="R249" t="s">
        <v>2465</v>
      </c>
      <c r="S249" s="42" t="str">
        <f>HYPERLINK("https://sklep.kobi.pl/produkt/opr-oswietleniowa-wega-75w-pc-e27-biala")</f>
        <v>https://sklep.kobi.pl/produkt/opr-oswietleniowa-wega-75w-pc-e27-biala</v>
      </c>
      <c r="T249" s="42" t="str">
        <f>HYPERLINK("https://eprel.ec.europa.eu/qr/NIE DOTYCZY    ")</f>
        <v xml:space="preserve">https://eprel.ec.europa.eu/qr/NIE DOTYCZY    </v>
      </c>
      <c r="U249">
        <v>0.32</v>
      </c>
      <c r="V249">
        <v>0.32800000000000001</v>
      </c>
      <c r="W249">
        <v>250</v>
      </c>
      <c r="X249">
        <v>250</v>
      </c>
      <c r="Y249">
        <v>100</v>
      </c>
    </row>
    <row r="250" spans="1:25" ht="15" x14ac:dyDescent="0.25">
      <c r="A250" t="s">
        <v>22</v>
      </c>
      <c r="B250" t="s">
        <v>71</v>
      </c>
      <c r="C250" t="s">
        <v>59</v>
      </c>
      <c r="D250" t="s">
        <v>945</v>
      </c>
      <c r="E250" t="s">
        <v>14</v>
      </c>
      <c r="F250" t="s">
        <v>1915</v>
      </c>
      <c r="G250" t="s">
        <v>1101</v>
      </c>
      <c r="H250" t="s">
        <v>945</v>
      </c>
      <c r="I250">
        <v>875</v>
      </c>
      <c r="J250" s="41">
        <f>I250/'enter the discount'!$D$7</f>
        <v>204.81250877767897</v>
      </c>
      <c r="K250" s="41">
        <f>J250*(1-IFERROR(VLOOKUP(H250,'enter the discount'!$D$10:$E$40,2,FALSE),0))</f>
        <v>204.81250877767897</v>
      </c>
      <c r="L250" s="43" t="s">
        <v>963</v>
      </c>
      <c r="M250" t="s">
        <v>1102</v>
      </c>
      <c r="N250" t="s">
        <v>932</v>
      </c>
      <c r="O250" t="s">
        <v>2723</v>
      </c>
      <c r="P250">
        <v>1</v>
      </c>
      <c r="Q250">
        <v>90</v>
      </c>
      <c r="R250" t="s">
        <v>2467</v>
      </c>
      <c r="S250"/>
      <c r="T250" s="42" t="str">
        <f>HYPERLINK("https://eprel.ec.europa.eu/qr/953103         ")</f>
        <v xml:space="preserve">https://eprel.ec.europa.eu/qr/953103         </v>
      </c>
      <c r="U250">
        <v>1.83</v>
      </c>
      <c r="V250">
        <v>0</v>
      </c>
      <c r="W250"/>
      <c r="X250"/>
      <c r="Y250"/>
    </row>
    <row r="251" spans="1:25" ht="15" x14ac:dyDescent="0.25">
      <c r="A251" t="s">
        <v>22</v>
      </c>
      <c r="B251" t="s">
        <v>71</v>
      </c>
      <c r="C251" t="s">
        <v>59</v>
      </c>
      <c r="D251" t="s">
        <v>945</v>
      </c>
      <c r="E251" t="s">
        <v>14</v>
      </c>
      <c r="F251" t="s">
        <v>1916</v>
      </c>
      <c r="G251" t="s">
        <v>1103</v>
      </c>
      <c r="H251" t="s">
        <v>945</v>
      </c>
      <c r="I251">
        <v>689</v>
      </c>
      <c r="J251" s="41">
        <f>I251/'enter the discount'!$D$7</f>
        <v>161.2752211975095</v>
      </c>
      <c r="K251" s="41">
        <f>J251*(1-IFERROR(VLOOKUP(H251,'enter the discount'!$D$10:$E$40,2,FALSE),0))</f>
        <v>161.2752211975095</v>
      </c>
      <c r="L251" s="43" t="s">
        <v>2547</v>
      </c>
      <c r="M251" t="s">
        <v>1104</v>
      </c>
      <c r="N251" t="s">
        <v>932</v>
      </c>
      <c r="O251" t="s">
        <v>2723</v>
      </c>
      <c r="P251">
        <v>1</v>
      </c>
      <c r="Q251">
        <v>0</v>
      </c>
      <c r="R251" t="s">
        <v>2467</v>
      </c>
      <c r="S251" s="42" t="str">
        <f>HYPERLINK("https://sklep.kobi.pl/produkt/oprawa-led-hpl1-30w-120-pro-p")</f>
        <v>https://sklep.kobi.pl/produkt/oprawa-led-hpl1-30w-120-pro-p</v>
      </c>
      <c r="T251" s="42" t="str">
        <f>HYPERLINK("https://eprel.ec.europa.eu/qr/1988556        ")</f>
        <v xml:space="preserve">https://eprel.ec.europa.eu/qr/1988556        </v>
      </c>
      <c r="U251">
        <v>1.83</v>
      </c>
      <c r="V251"/>
      <c r="W251"/>
      <c r="X251"/>
      <c r="Y251"/>
    </row>
    <row r="252" spans="1:25" ht="15" x14ac:dyDescent="0.25">
      <c r="A252" t="s">
        <v>22</v>
      </c>
      <c r="B252" t="s">
        <v>71</v>
      </c>
      <c r="C252" t="s">
        <v>59</v>
      </c>
      <c r="D252" t="s">
        <v>945</v>
      </c>
      <c r="E252" t="s">
        <v>14</v>
      </c>
      <c r="F252" t="s">
        <v>1917</v>
      </c>
      <c r="G252" t="s">
        <v>1105</v>
      </c>
      <c r="H252" t="s">
        <v>945</v>
      </c>
      <c r="I252">
        <v>875</v>
      </c>
      <c r="J252" s="41">
        <f>I252/'enter the discount'!$D$7</f>
        <v>204.81250877767897</v>
      </c>
      <c r="K252" s="41">
        <f>J252*(1-IFERROR(VLOOKUP(H252,'enter the discount'!$D$10:$E$40,2,FALSE),0))</f>
        <v>204.81250877767897</v>
      </c>
      <c r="L252" s="43" t="s">
        <v>859</v>
      </c>
      <c r="M252" t="s">
        <v>1106</v>
      </c>
      <c r="N252" t="s">
        <v>932</v>
      </c>
      <c r="O252" t="s">
        <v>2723</v>
      </c>
      <c r="P252">
        <v>1</v>
      </c>
      <c r="Q252">
        <v>90</v>
      </c>
      <c r="R252" t="s">
        <v>2467</v>
      </c>
      <c r="S252"/>
      <c r="T252" s="42" t="str">
        <f>HYPERLINK("https://eprel.ec.europa.eu/qr/953122         ")</f>
        <v xml:space="preserve">https://eprel.ec.europa.eu/qr/953122         </v>
      </c>
      <c r="U252">
        <v>1.83</v>
      </c>
      <c r="V252">
        <v>0</v>
      </c>
      <c r="W252"/>
      <c r="X252"/>
      <c r="Y252"/>
    </row>
    <row r="253" spans="1:25" ht="15" x14ac:dyDescent="0.25">
      <c r="A253" t="s">
        <v>22</v>
      </c>
      <c r="B253" t="s">
        <v>71</v>
      </c>
      <c r="C253" t="s">
        <v>59</v>
      </c>
      <c r="D253" t="s">
        <v>945</v>
      </c>
      <c r="E253" t="s">
        <v>14</v>
      </c>
      <c r="F253" t="s">
        <v>1918</v>
      </c>
      <c r="G253" t="s">
        <v>1107</v>
      </c>
      <c r="H253" t="s">
        <v>945</v>
      </c>
      <c r="I253">
        <v>782</v>
      </c>
      <c r="J253" s="41">
        <f>I253/'enter the discount'!$D$7</f>
        <v>183.04386498759422</v>
      </c>
      <c r="K253" s="41">
        <f>J253*(1-IFERROR(VLOOKUP(H253,'enter the discount'!$D$10:$E$40,2,FALSE),0))</f>
        <v>183.04386498759422</v>
      </c>
      <c r="L253" s="43" t="s">
        <v>2547</v>
      </c>
      <c r="M253" t="s">
        <v>1108</v>
      </c>
      <c r="N253" t="s">
        <v>932</v>
      </c>
      <c r="O253" t="s">
        <v>2723</v>
      </c>
      <c r="P253">
        <v>1</v>
      </c>
      <c r="Q253">
        <v>0</v>
      </c>
      <c r="R253" t="s">
        <v>2467</v>
      </c>
      <c r="S253" s="42" t="str">
        <f>HYPERLINK("https://sklep.kobi.pl/produkt/oprawa-led-hpl1-30w-90-pro-p")</f>
        <v>https://sklep.kobi.pl/produkt/oprawa-led-hpl1-30w-90-pro-p</v>
      </c>
      <c r="T253" s="42" t="str">
        <f>HYPERLINK("https://eprel.ec.europa.eu/qr/1988556        ")</f>
        <v xml:space="preserve">https://eprel.ec.europa.eu/qr/1988556        </v>
      </c>
      <c r="U253">
        <v>1.83</v>
      </c>
      <c r="V253"/>
      <c r="W253"/>
      <c r="X253"/>
      <c r="Y253"/>
    </row>
    <row r="254" spans="1:25" ht="15" x14ac:dyDescent="0.25">
      <c r="A254" t="s">
        <v>22</v>
      </c>
      <c r="B254" t="s">
        <v>71</v>
      </c>
      <c r="C254" t="s">
        <v>59</v>
      </c>
      <c r="D254" t="s">
        <v>945</v>
      </c>
      <c r="E254" t="s">
        <v>14</v>
      </c>
      <c r="F254" t="s">
        <v>1919</v>
      </c>
      <c r="G254" t="s">
        <v>1109</v>
      </c>
      <c r="H254" t="s">
        <v>945</v>
      </c>
      <c r="I254">
        <v>1050</v>
      </c>
      <c r="J254" s="41">
        <f>I254/'enter the discount'!$D$7</f>
        <v>245.77501053321475</v>
      </c>
      <c r="K254" s="41">
        <f>J254*(1-IFERROR(VLOOKUP(H254,'enter the discount'!$D$10:$E$40,2,FALSE),0))</f>
        <v>245.77501053321475</v>
      </c>
      <c r="L254" s="43" t="s">
        <v>963</v>
      </c>
      <c r="M254" t="s">
        <v>1110</v>
      </c>
      <c r="N254" t="s">
        <v>932</v>
      </c>
      <c r="O254" t="s">
        <v>2723</v>
      </c>
      <c r="P254">
        <v>1</v>
      </c>
      <c r="Q254">
        <v>60</v>
      </c>
      <c r="R254" t="s">
        <v>2467</v>
      </c>
      <c r="S254"/>
      <c r="T254" s="42" t="str">
        <f>HYPERLINK("https://eprel.ec.europa.eu/qr/953134         ")</f>
        <v xml:space="preserve">https://eprel.ec.europa.eu/qr/953134         </v>
      </c>
      <c r="U254">
        <v>2.74</v>
      </c>
      <c r="V254">
        <v>0</v>
      </c>
      <c r="W254"/>
      <c r="X254"/>
      <c r="Y254"/>
    </row>
    <row r="255" spans="1:25" ht="15" x14ac:dyDescent="0.25">
      <c r="A255" t="s">
        <v>22</v>
      </c>
      <c r="B255" t="s">
        <v>71</v>
      </c>
      <c r="C255" t="s">
        <v>59</v>
      </c>
      <c r="D255" t="s">
        <v>945</v>
      </c>
      <c r="E255" t="s">
        <v>14</v>
      </c>
      <c r="F255" t="s">
        <v>1920</v>
      </c>
      <c r="G255" t="s">
        <v>1111</v>
      </c>
      <c r="H255" t="s">
        <v>945</v>
      </c>
      <c r="I255">
        <v>908</v>
      </c>
      <c r="J255" s="41">
        <f>I255/'enter the discount'!$D$7</f>
        <v>212.53686625157999</v>
      </c>
      <c r="K255" s="41">
        <f>J255*(1-IFERROR(VLOOKUP(H255,'enter the discount'!$D$10:$E$40,2,FALSE),0))</f>
        <v>212.53686625157999</v>
      </c>
      <c r="L255" s="43" t="s">
        <v>2547</v>
      </c>
      <c r="M255" t="s">
        <v>1112</v>
      </c>
      <c r="N255" t="s">
        <v>932</v>
      </c>
      <c r="O255" t="s">
        <v>2723</v>
      </c>
      <c r="P255">
        <v>1</v>
      </c>
      <c r="Q255">
        <v>0</v>
      </c>
      <c r="R255" t="s">
        <v>2467</v>
      </c>
      <c r="S255" s="42" t="str">
        <f>HYPERLINK("https://sklep.kobi.pl/produkt/oprawa-led-hpl1-45w-120-pro-p")</f>
        <v>https://sklep.kobi.pl/produkt/oprawa-led-hpl1-45w-120-pro-p</v>
      </c>
      <c r="T255" s="42" t="str">
        <f>HYPERLINK("https://eprel.ec.europa.eu/qr/1988556        ")</f>
        <v xml:space="preserve">https://eprel.ec.europa.eu/qr/1988556        </v>
      </c>
      <c r="U255">
        <v>2.74</v>
      </c>
      <c r="V255"/>
      <c r="W255"/>
      <c r="X255"/>
      <c r="Y255"/>
    </row>
    <row r="256" spans="1:25" ht="15" x14ac:dyDescent="0.25">
      <c r="A256" t="s">
        <v>22</v>
      </c>
      <c r="B256" t="s">
        <v>71</v>
      </c>
      <c r="C256" t="s">
        <v>59</v>
      </c>
      <c r="D256" t="s">
        <v>945</v>
      </c>
      <c r="E256" t="s">
        <v>14</v>
      </c>
      <c r="F256" t="s">
        <v>1921</v>
      </c>
      <c r="G256" t="s">
        <v>1113</v>
      </c>
      <c r="H256" t="s">
        <v>945</v>
      </c>
      <c r="I256">
        <v>1050</v>
      </c>
      <c r="J256" s="41">
        <f>I256/'enter the discount'!$D$7</f>
        <v>245.77501053321475</v>
      </c>
      <c r="K256" s="41">
        <f>J256*(1-IFERROR(VLOOKUP(H256,'enter the discount'!$D$10:$E$40,2,FALSE),0))</f>
        <v>245.77501053321475</v>
      </c>
      <c r="L256" s="43" t="s">
        <v>859</v>
      </c>
      <c r="M256" t="s">
        <v>1114</v>
      </c>
      <c r="N256" t="s">
        <v>932</v>
      </c>
      <c r="O256" t="s">
        <v>2723</v>
      </c>
      <c r="P256">
        <v>1</v>
      </c>
      <c r="Q256">
        <v>60</v>
      </c>
      <c r="R256" t="s">
        <v>2467</v>
      </c>
      <c r="S256"/>
      <c r="T256" s="42" t="str">
        <f>HYPERLINK("https://eprel.ec.europa.eu/qr/953186         ")</f>
        <v xml:space="preserve">https://eprel.ec.europa.eu/qr/953186         </v>
      </c>
      <c r="U256">
        <v>2.74</v>
      </c>
      <c r="V256">
        <v>0</v>
      </c>
      <c r="W256"/>
      <c r="X256"/>
      <c r="Y256"/>
    </row>
    <row r="257" spans="1:25" ht="15" x14ac:dyDescent="0.25">
      <c r="A257" t="s">
        <v>22</v>
      </c>
      <c r="B257" t="s">
        <v>71</v>
      </c>
      <c r="C257" t="s">
        <v>59</v>
      </c>
      <c r="D257" t="s">
        <v>945</v>
      </c>
      <c r="E257" t="s">
        <v>14</v>
      </c>
      <c r="F257" t="s">
        <v>1922</v>
      </c>
      <c r="G257" t="s">
        <v>1115</v>
      </c>
      <c r="H257" t="s">
        <v>945</v>
      </c>
      <c r="I257">
        <v>950</v>
      </c>
      <c r="J257" s="41">
        <f>I257/'enter the discount'!$D$7</f>
        <v>222.36786667290858</v>
      </c>
      <c r="K257" s="41">
        <f>J257*(1-IFERROR(VLOOKUP(H257,'enter the discount'!$D$10:$E$40,2,FALSE),0))</f>
        <v>222.36786667290858</v>
      </c>
      <c r="L257" s="43" t="s">
        <v>2547</v>
      </c>
      <c r="M257" t="s">
        <v>1116</v>
      </c>
      <c r="N257" t="s">
        <v>932</v>
      </c>
      <c r="O257" t="s">
        <v>2723</v>
      </c>
      <c r="P257">
        <v>1</v>
      </c>
      <c r="Q257">
        <v>0</v>
      </c>
      <c r="R257" t="s">
        <v>2467</v>
      </c>
      <c r="S257" s="42" t="str">
        <f>HYPERLINK("https://sklep.kobi.pl/produkt/oprawa-led-hpl1-45w-90-pro-p")</f>
        <v>https://sklep.kobi.pl/produkt/oprawa-led-hpl1-45w-90-pro-p</v>
      </c>
      <c r="T257" s="42" t="str">
        <f>HYPERLINK("https://eprel.ec.europa.eu/qr/1988556        ")</f>
        <v xml:space="preserve">https://eprel.ec.europa.eu/qr/1988556        </v>
      </c>
      <c r="U257">
        <v>2.74</v>
      </c>
      <c r="V257"/>
      <c r="W257"/>
      <c r="X257"/>
      <c r="Y257"/>
    </row>
    <row r="258" spans="1:25" ht="15" x14ac:dyDescent="0.25">
      <c r="A258" t="s">
        <v>22</v>
      </c>
      <c r="B258" t="s">
        <v>71</v>
      </c>
      <c r="C258" t="s">
        <v>59</v>
      </c>
      <c r="D258" t="s">
        <v>945</v>
      </c>
      <c r="E258" t="s">
        <v>14</v>
      </c>
      <c r="F258" t="s">
        <v>1923</v>
      </c>
      <c r="G258" t="s">
        <v>1117</v>
      </c>
      <c r="H258" t="s">
        <v>945</v>
      </c>
      <c r="I258">
        <v>1213</v>
      </c>
      <c r="J258" s="41">
        <f>I258/'enter the discount'!$D$7</f>
        <v>283.92865502551382</v>
      </c>
      <c r="K258" s="41">
        <f>J258*(1-IFERROR(VLOOKUP(H258,'enter the discount'!$D$10:$E$40,2,FALSE),0))</f>
        <v>283.92865502551382</v>
      </c>
      <c r="L258" s="43" t="s">
        <v>859</v>
      </c>
      <c r="M258" t="s">
        <v>1118</v>
      </c>
      <c r="N258" t="s">
        <v>932</v>
      </c>
      <c r="O258" t="s">
        <v>2723</v>
      </c>
      <c r="P258">
        <v>1</v>
      </c>
      <c r="Q258">
        <v>60</v>
      </c>
      <c r="R258" t="s">
        <v>2467</v>
      </c>
      <c r="S258"/>
      <c r="T258" s="42" t="str">
        <f>HYPERLINK("https://eprel.ec.europa.eu/qr/1013298        ")</f>
        <v xml:space="preserve">https://eprel.ec.europa.eu/qr/1013298        </v>
      </c>
      <c r="U258">
        <v>3.42</v>
      </c>
      <c r="V258">
        <v>0</v>
      </c>
      <c r="W258"/>
      <c r="X258"/>
      <c r="Y258"/>
    </row>
    <row r="259" spans="1:25" ht="15" x14ac:dyDescent="0.25">
      <c r="A259" t="s">
        <v>22</v>
      </c>
      <c r="B259" t="s">
        <v>71</v>
      </c>
      <c r="C259" t="s">
        <v>59</v>
      </c>
      <c r="D259" t="s">
        <v>945</v>
      </c>
      <c r="E259" t="s">
        <v>14</v>
      </c>
      <c r="F259" t="s">
        <v>1924</v>
      </c>
      <c r="G259" t="s">
        <v>1119</v>
      </c>
      <c r="H259" t="s">
        <v>945</v>
      </c>
      <c r="I259">
        <v>1084</v>
      </c>
      <c r="J259" s="41">
        <f>I259/'enter the discount'!$D$7</f>
        <v>253.73343944571886</v>
      </c>
      <c r="K259" s="41">
        <f>J259*(1-IFERROR(VLOOKUP(H259,'enter the discount'!$D$10:$E$40,2,FALSE),0))</f>
        <v>253.73343944571886</v>
      </c>
      <c r="L259" s="43" t="s">
        <v>2547</v>
      </c>
      <c r="M259" t="s">
        <v>1120</v>
      </c>
      <c r="N259" t="s">
        <v>932</v>
      </c>
      <c r="O259" t="s">
        <v>2723</v>
      </c>
      <c r="P259">
        <v>1</v>
      </c>
      <c r="Q259">
        <v>0</v>
      </c>
      <c r="R259" t="s">
        <v>2467</v>
      </c>
      <c r="S259" s="42" t="str">
        <f>HYPERLINK("https://sklep.kobi.pl/produkt/oprawa-led-hpl1-60w-120-pro-p")</f>
        <v>https://sklep.kobi.pl/produkt/oprawa-led-hpl1-60w-120-pro-p</v>
      </c>
      <c r="T259" s="42" t="str">
        <f>HYPERLINK("https://eprel.ec.europa.eu/qr/1988556        ")</f>
        <v xml:space="preserve">https://eprel.ec.europa.eu/qr/1988556        </v>
      </c>
      <c r="U259">
        <v>3.42</v>
      </c>
      <c r="V259"/>
      <c r="W259"/>
      <c r="X259"/>
      <c r="Y259"/>
    </row>
    <row r="260" spans="1:25" ht="15" x14ac:dyDescent="0.25">
      <c r="A260" t="s">
        <v>22</v>
      </c>
      <c r="B260" t="s">
        <v>71</v>
      </c>
      <c r="C260" t="s">
        <v>59</v>
      </c>
      <c r="D260" t="s">
        <v>945</v>
      </c>
      <c r="E260" t="s">
        <v>14</v>
      </c>
      <c r="F260" t="s">
        <v>1925</v>
      </c>
      <c r="G260" t="s">
        <v>1121</v>
      </c>
      <c r="H260" t="s">
        <v>945</v>
      </c>
      <c r="I260">
        <v>1213</v>
      </c>
      <c r="J260" s="41">
        <f>I260/'enter the discount'!$D$7</f>
        <v>283.92865502551382</v>
      </c>
      <c r="K260" s="41">
        <f>J260*(1-IFERROR(VLOOKUP(H260,'enter the discount'!$D$10:$E$40,2,FALSE),0))</f>
        <v>283.92865502551382</v>
      </c>
      <c r="L260" s="43" t="s">
        <v>859</v>
      </c>
      <c r="M260" t="s">
        <v>1122</v>
      </c>
      <c r="N260" t="s">
        <v>932</v>
      </c>
      <c r="O260" t="s">
        <v>2723</v>
      </c>
      <c r="P260">
        <v>1</v>
      </c>
      <c r="Q260">
        <v>60</v>
      </c>
      <c r="R260" t="s">
        <v>2467</v>
      </c>
      <c r="S260"/>
      <c r="T260" s="42" t="str">
        <f>HYPERLINK("https://eprel.ec.europa.eu/qr/953241         ")</f>
        <v xml:space="preserve">https://eprel.ec.europa.eu/qr/953241         </v>
      </c>
      <c r="U260">
        <v>3.42</v>
      </c>
      <c r="V260">
        <v>0</v>
      </c>
      <c r="W260"/>
      <c r="X260"/>
      <c r="Y260"/>
    </row>
    <row r="261" spans="1:25" ht="15" x14ac:dyDescent="0.25">
      <c r="A261" t="s">
        <v>22</v>
      </c>
      <c r="B261" t="s">
        <v>71</v>
      </c>
      <c r="C261" t="s">
        <v>59</v>
      </c>
      <c r="D261" t="s">
        <v>945</v>
      </c>
      <c r="E261" t="s">
        <v>14</v>
      </c>
      <c r="F261" t="s">
        <v>1926</v>
      </c>
      <c r="G261" t="s">
        <v>1123</v>
      </c>
      <c r="H261" t="s">
        <v>945</v>
      </c>
      <c r="I261">
        <v>1185</v>
      </c>
      <c r="J261" s="41">
        <f>I261/'enter the discount'!$D$7</f>
        <v>277.37465474462806</v>
      </c>
      <c r="K261" s="41">
        <f>J261*(1-IFERROR(VLOOKUP(H261,'enter the discount'!$D$10:$E$40,2,FALSE),0))</f>
        <v>277.37465474462806</v>
      </c>
      <c r="L261" s="43" t="s">
        <v>2547</v>
      </c>
      <c r="M261" t="s">
        <v>1124</v>
      </c>
      <c r="N261" t="s">
        <v>932</v>
      </c>
      <c r="O261" t="s">
        <v>2723</v>
      </c>
      <c r="P261">
        <v>1</v>
      </c>
      <c r="Q261">
        <v>0</v>
      </c>
      <c r="R261" t="s">
        <v>2467</v>
      </c>
      <c r="S261" s="42" t="str">
        <f>HYPERLINK("https://sklep.kobi.pl/produkt/oprawa-led-hpl1-60w-90-pro-p")</f>
        <v>https://sklep.kobi.pl/produkt/oprawa-led-hpl1-60w-90-pro-p</v>
      </c>
      <c r="T261" s="42" t="str">
        <f>HYPERLINK("https://eprel.ec.europa.eu/qr/1988556        ")</f>
        <v xml:space="preserve">https://eprel.ec.europa.eu/qr/1988556        </v>
      </c>
      <c r="U261">
        <v>3.42</v>
      </c>
      <c r="V261"/>
      <c r="W261"/>
      <c r="X261"/>
      <c r="Y261"/>
    </row>
    <row r="262" spans="1:25" ht="15" x14ac:dyDescent="0.25">
      <c r="A262" t="s">
        <v>22</v>
      </c>
      <c r="B262" t="s">
        <v>71</v>
      </c>
      <c r="C262" t="s">
        <v>59</v>
      </c>
      <c r="D262" t="s">
        <v>945</v>
      </c>
      <c r="E262" t="s">
        <v>14</v>
      </c>
      <c r="F262" t="s">
        <v>1927</v>
      </c>
      <c r="G262" t="s">
        <v>1125</v>
      </c>
      <c r="H262" t="s">
        <v>945</v>
      </c>
      <c r="I262">
        <v>1380</v>
      </c>
      <c r="J262" s="41">
        <f>I262/'enter the discount'!$D$7</f>
        <v>323.0185852722251</v>
      </c>
      <c r="K262" s="41">
        <f>J262*(1-IFERROR(VLOOKUP(H262,'enter the discount'!$D$10:$E$40,2,FALSE),0))</f>
        <v>323.0185852722251</v>
      </c>
      <c r="L262" s="43" t="s">
        <v>963</v>
      </c>
      <c r="M262" t="s">
        <v>1126</v>
      </c>
      <c r="N262" t="s">
        <v>932</v>
      </c>
      <c r="O262" t="s">
        <v>2723</v>
      </c>
      <c r="P262">
        <v>1</v>
      </c>
      <c r="Q262">
        <v>60</v>
      </c>
      <c r="R262" t="s">
        <v>2467</v>
      </c>
      <c r="S262"/>
      <c r="T262" s="42" t="str">
        <f>HYPERLINK("https://eprel.ec.europa.eu/qr/953524         ")</f>
        <v xml:space="preserve">https://eprel.ec.europa.eu/qr/953524         </v>
      </c>
      <c r="U262">
        <v>4.1900000000000004</v>
      </c>
      <c r="V262"/>
      <c r="W262"/>
      <c r="X262"/>
      <c r="Y262"/>
    </row>
    <row r="263" spans="1:25" ht="15" x14ac:dyDescent="0.25">
      <c r="A263" t="s">
        <v>22</v>
      </c>
      <c r="B263" t="s">
        <v>71</v>
      </c>
      <c r="C263" t="s">
        <v>59</v>
      </c>
      <c r="D263" t="s">
        <v>945</v>
      </c>
      <c r="E263" t="s">
        <v>14</v>
      </c>
      <c r="F263" t="s">
        <v>1928</v>
      </c>
      <c r="G263" t="s">
        <v>1127</v>
      </c>
      <c r="H263" t="s">
        <v>945</v>
      </c>
      <c r="I263">
        <v>1311</v>
      </c>
      <c r="J263" s="41">
        <f>I263/'enter the discount'!$D$7</f>
        <v>306.86765600861384</v>
      </c>
      <c r="K263" s="41">
        <f>J263*(1-IFERROR(VLOOKUP(H263,'enter the discount'!$D$10:$E$40,2,FALSE),0))</f>
        <v>306.86765600861384</v>
      </c>
      <c r="L263" s="43" t="s">
        <v>2547</v>
      </c>
      <c r="M263" t="s">
        <v>1128</v>
      </c>
      <c r="N263" t="s">
        <v>932</v>
      </c>
      <c r="O263" t="s">
        <v>2723</v>
      </c>
      <c r="P263">
        <v>1</v>
      </c>
      <c r="Q263">
        <v>0</v>
      </c>
      <c r="R263" t="s">
        <v>2467</v>
      </c>
      <c r="S263" s="42" t="str">
        <f>HYPERLINK("https://sklep.kobi.pl/produkt/oprawa-led-hpl1-75w-120-pro-p")</f>
        <v>https://sklep.kobi.pl/produkt/oprawa-led-hpl1-75w-120-pro-p</v>
      </c>
      <c r="T263" s="42" t="str">
        <f>HYPERLINK("https://eprel.ec.europa.eu/qr/1988556        ")</f>
        <v xml:space="preserve">https://eprel.ec.europa.eu/qr/1988556        </v>
      </c>
      <c r="U263">
        <v>4.1900000000000004</v>
      </c>
      <c r="V263"/>
      <c r="W263"/>
      <c r="X263"/>
      <c r="Y263"/>
    </row>
    <row r="264" spans="1:25" ht="15" x14ac:dyDescent="0.25">
      <c r="A264" t="s">
        <v>22</v>
      </c>
      <c r="B264" t="s">
        <v>71</v>
      </c>
      <c r="C264" t="s">
        <v>59</v>
      </c>
      <c r="D264" t="s">
        <v>945</v>
      </c>
      <c r="E264" t="s">
        <v>14</v>
      </c>
      <c r="F264" t="s">
        <v>1929</v>
      </c>
      <c r="G264" t="s">
        <v>1129</v>
      </c>
      <c r="H264" t="s">
        <v>945</v>
      </c>
      <c r="I264">
        <v>1380</v>
      </c>
      <c r="J264" s="41">
        <f>I264/'enter the discount'!$D$7</f>
        <v>323.0185852722251</v>
      </c>
      <c r="K264" s="41">
        <f>J264*(1-IFERROR(VLOOKUP(H264,'enter the discount'!$D$10:$E$40,2,FALSE),0))</f>
        <v>323.0185852722251</v>
      </c>
      <c r="L264" s="43" t="s">
        <v>859</v>
      </c>
      <c r="M264" t="s">
        <v>1130</v>
      </c>
      <c r="N264" t="s">
        <v>932</v>
      </c>
      <c r="O264" t="s">
        <v>2723</v>
      </c>
      <c r="P264">
        <v>1</v>
      </c>
      <c r="Q264">
        <v>60</v>
      </c>
      <c r="R264" t="s">
        <v>2467</v>
      </c>
      <c r="S264"/>
      <c r="T264" s="42" t="str">
        <f>HYPERLINK("https://eprel.ec.europa.eu/qr/953535         ")</f>
        <v xml:space="preserve">https://eprel.ec.europa.eu/qr/953535         </v>
      </c>
      <c r="U264">
        <v>4.1900000000000004</v>
      </c>
      <c r="V264">
        <v>0</v>
      </c>
      <c r="W264"/>
      <c r="X264"/>
      <c r="Y264"/>
    </row>
    <row r="265" spans="1:25" ht="15" x14ac:dyDescent="0.25">
      <c r="A265" t="s">
        <v>22</v>
      </c>
      <c r="B265" t="s">
        <v>71</v>
      </c>
      <c r="C265" t="s">
        <v>59</v>
      </c>
      <c r="D265" t="s">
        <v>945</v>
      </c>
      <c r="E265" t="s">
        <v>14</v>
      </c>
      <c r="F265" t="s">
        <v>1930</v>
      </c>
      <c r="G265" t="s">
        <v>1131</v>
      </c>
      <c r="H265" t="s">
        <v>945</v>
      </c>
      <c r="I265">
        <v>1347</v>
      </c>
      <c r="J265" s="41">
        <f>I265/'enter the discount'!$D$7</f>
        <v>315.29422779832407</v>
      </c>
      <c r="K265" s="41">
        <f>J265*(1-IFERROR(VLOOKUP(H265,'enter the discount'!$D$10:$E$40,2,FALSE),0))</f>
        <v>315.29422779832407</v>
      </c>
      <c r="L265" s="43" t="s">
        <v>2547</v>
      </c>
      <c r="M265" t="s">
        <v>1132</v>
      </c>
      <c r="N265" t="s">
        <v>932</v>
      </c>
      <c r="O265" t="s">
        <v>2723</v>
      </c>
      <c r="P265">
        <v>1</v>
      </c>
      <c r="Q265">
        <v>0</v>
      </c>
      <c r="R265" t="s">
        <v>2467</v>
      </c>
      <c r="S265" s="42" t="str">
        <f>HYPERLINK("https://sklep.kobi.pl/produkt/oprawa-led-hpl1-75w-90-pro-p")</f>
        <v>https://sklep.kobi.pl/produkt/oprawa-led-hpl1-75w-90-pro-p</v>
      </c>
      <c r="T265" s="42" t="str">
        <f>HYPERLINK("https://eprel.ec.europa.eu/qr/1988556        ")</f>
        <v xml:space="preserve">https://eprel.ec.europa.eu/qr/1988556        </v>
      </c>
      <c r="U265">
        <v>4.1900000000000004</v>
      </c>
      <c r="V265"/>
      <c r="W265"/>
      <c r="X265"/>
      <c r="Y265"/>
    </row>
    <row r="266" spans="1:25" ht="15" x14ac:dyDescent="0.25">
      <c r="A266" t="s">
        <v>22</v>
      </c>
      <c r="B266" t="s">
        <v>71</v>
      </c>
      <c r="C266" t="s">
        <v>59</v>
      </c>
      <c r="D266" t="s">
        <v>945</v>
      </c>
      <c r="E266" t="s">
        <v>14</v>
      </c>
      <c r="F266" t="s">
        <v>1931</v>
      </c>
      <c r="G266" t="s">
        <v>1133</v>
      </c>
      <c r="H266" t="s">
        <v>945</v>
      </c>
      <c r="I266">
        <v>1260</v>
      </c>
      <c r="J266" s="41">
        <f>I266/'enter the discount'!$D$7</f>
        <v>294.93001263985769</v>
      </c>
      <c r="K266" s="41">
        <f>J266*(1-IFERROR(VLOOKUP(H266,'enter the discount'!$D$10:$E$40,2,FALSE),0))</f>
        <v>294.93001263985769</v>
      </c>
      <c r="L266" s="43" t="s">
        <v>963</v>
      </c>
      <c r="M266" t="s">
        <v>1134</v>
      </c>
      <c r="N266" t="s">
        <v>932</v>
      </c>
      <c r="O266" t="s">
        <v>2723</v>
      </c>
      <c r="P266">
        <v>1</v>
      </c>
      <c r="Q266">
        <v>30</v>
      </c>
      <c r="R266" t="s">
        <v>2467</v>
      </c>
      <c r="S266"/>
      <c r="T266" s="42" t="str">
        <f>HYPERLINK("https://eprel.ec.europa.eu/qr/1013612        ")</f>
        <v xml:space="preserve">https://eprel.ec.europa.eu/qr/1013612        </v>
      </c>
      <c r="U266">
        <v>3.66</v>
      </c>
      <c r="V266">
        <v>0</v>
      </c>
      <c r="W266"/>
      <c r="X266"/>
      <c r="Y266"/>
    </row>
    <row r="267" spans="1:25" ht="15" x14ac:dyDescent="0.25">
      <c r="A267" t="s">
        <v>22</v>
      </c>
      <c r="B267" t="s">
        <v>71</v>
      </c>
      <c r="C267" t="s">
        <v>59</v>
      </c>
      <c r="D267" t="s">
        <v>945</v>
      </c>
      <c r="E267" t="s">
        <v>14</v>
      </c>
      <c r="F267" t="s">
        <v>1932</v>
      </c>
      <c r="G267" t="s">
        <v>1135</v>
      </c>
      <c r="H267" t="s">
        <v>945</v>
      </c>
      <c r="I267">
        <v>1167</v>
      </c>
      <c r="J267" s="41">
        <f>I267/'enter the discount'!$D$7</f>
        <v>273.16136884977294</v>
      </c>
      <c r="K267" s="41">
        <f>J267*(1-IFERROR(VLOOKUP(H267,'enter the discount'!$D$10:$E$40,2,FALSE),0))</f>
        <v>273.16136884977294</v>
      </c>
      <c r="L267" s="43" t="s">
        <v>2547</v>
      </c>
      <c r="M267" t="s">
        <v>1136</v>
      </c>
      <c r="N267" t="s">
        <v>932</v>
      </c>
      <c r="O267" t="s">
        <v>2723</v>
      </c>
      <c r="P267">
        <v>1</v>
      </c>
      <c r="Q267">
        <v>0</v>
      </c>
      <c r="R267" t="s">
        <v>2467</v>
      </c>
      <c r="S267" s="42" t="str">
        <f>HYPERLINK("https://sklep.kobi.pl/produkt/oprawa-led-hpl2-60w-120-pro-p")</f>
        <v>https://sklep.kobi.pl/produkt/oprawa-led-hpl2-60w-120-pro-p</v>
      </c>
      <c r="T267" s="42" t="str">
        <f>HYPERLINK("https://eprel.ec.europa.eu/qr/1988556        ")</f>
        <v xml:space="preserve">https://eprel.ec.europa.eu/qr/1988556        </v>
      </c>
      <c r="U267">
        <v>3.66</v>
      </c>
      <c r="V267"/>
      <c r="W267"/>
      <c r="X267"/>
      <c r="Y267"/>
    </row>
    <row r="268" spans="1:25" ht="15" x14ac:dyDescent="0.25">
      <c r="A268" t="s">
        <v>22</v>
      </c>
      <c r="B268" t="s">
        <v>71</v>
      </c>
      <c r="C268" t="s">
        <v>59</v>
      </c>
      <c r="D268" t="s">
        <v>945</v>
      </c>
      <c r="E268" t="s">
        <v>14</v>
      </c>
      <c r="F268" t="s">
        <v>1933</v>
      </c>
      <c r="G268" t="s">
        <v>1137</v>
      </c>
      <c r="H268" t="s">
        <v>945</v>
      </c>
      <c r="I268">
        <v>1260</v>
      </c>
      <c r="J268" s="41">
        <f>I268/'enter the discount'!$D$7</f>
        <v>294.93001263985769</v>
      </c>
      <c r="K268" s="41">
        <f>J268*(1-IFERROR(VLOOKUP(H268,'enter the discount'!$D$10:$E$40,2,FALSE),0))</f>
        <v>294.93001263985769</v>
      </c>
      <c r="L268" s="43" t="s">
        <v>859</v>
      </c>
      <c r="M268" t="s">
        <v>1138</v>
      </c>
      <c r="N268" t="s">
        <v>932</v>
      </c>
      <c r="O268" t="s">
        <v>2723</v>
      </c>
      <c r="P268">
        <v>1</v>
      </c>
      <c r="Q268">
        <v>30</v>
      </c>
      <c r="R268" t="s">
        <v>2467</v>
      </c>
      <c r="S268"/>
      <c r="T268" s="42" t="str">
        <f>HYPERLINK("https://eprel.ec.europa.eu/qr/1013617        ")</f>
        <v xml:space="preserve">https://eprel.ec.europa.eu/qr/1013617        </v>
      </c>
      <c r="U268">
        <v>3.66</v>
      </c>
      <c r="V268">
        <v>0</v>
      </c>
      <c r="W268"/>
      <c r="X268"/>
      <c r="Y268"/>
    </row>
    <row r="269" spans="1:25" ht="15" x14ac:dyDescent="0.25">
      <c r="A269" t="s">
        <v>22</v>
      </c>
      <c r="B269" t="s">
        <v>71</v>
      </c>
      <c r="C269" t="s">
        <v>59</v>
      </c>
      <c r="D269" t="s">
        <v>945</v>
      </c>
      <c r="E269" t="s">
        <v>14</v>
      </c>
      <c r="F269" t="s">
        <v>1934</v>
      </c>
      <c r="G269" t="s">
        <v>1139</v>
      </c>
      <c r="H269" t="s">
        <v>945</v>
      </c>
      <c r="I269">
        <v>1167</v>
      </c>
      <c r="J269" s="41">
        <f>I269/'enter the discount'!$D$7</f>
        <v>273.16136884977294</v>
      </c>
      <c r="K269" s="41">
        <f>J269*(1-IFERROR(VLOOKUP(H269,'enter the discount'!$D$10:$E$40,2,FALSE),0))</f>
        <v>273.16136884977294</v>
      </c>
      <c r="L269" s="43" t="s">
        <v>2547</v>
      </c>
      <c r="M269" t="s">
        <v>1140</v>
      </c>
      <c r="N269" t="s">
        <v>932</v>
      </c>
      <c r="O269" t="s">
        <v>2723</v>
      </c>
      <c r="P269">
        <v>1</v>
      </c>
      <c r="Q269">
        <v>0</v>
      </c>
      <c r="R269" t="s">
        <v>2467</v>
      </c>
      <c r="S269" s="42" t="str">
        <f>HYPERLINK("https://sklep.kobi.pl/produkt/oprawa-led-hpl2-60w-90-pro-p")</f>
        <v>https://sklep.kobi.pl/produkt/oprawa-led-hpl2-60w-90-pro-p</v>
      </c>
      <c r="T269" s="42" t="str">
        <f>HYPERLINK("https://eprel.ec.europa.eu/qr/1988556        ")</f>
        <v xml:space="preserve">https://eprel.ec.europa.eu/qr/1988556        </v>
      </c>
      <c r="U269">
        <v>3.66</v>
      </c>
      <c r="V269"/>
      <c r="W269"/>
      <c r="X269"/>
      <c r="Y269"/>
    </row>
    <row r="270" spans="1:25" ht="15" x14ac:dyDescent="0.25">
      <c r="A270" t="s">
        <v>22</v>
      </c>
      <c r="B270" t="s">
        <v>71</v>
      </c>
      <c r="C270" t="s">
        <v>59</v>
      </c>
      <c r="D270" t="s">
        <v>945</v>
      </c>
      <c r="E270" t="s">
        <v>14</v>
      </c>
      <c r="F270" t="s">
        <v>1935</v>
      </c>
      <c r="G270" t="s">
        <v>1141</v>
      </c>
      <c r="H270" t="s">
        <v>945</v>
      </c>
      <c r="I270">
        <v>1870</v>
      </c>
      <c r="J270" s="41">
        <f>I270/'enter the discount'!$D$7</f>
        <v>437.71359018772534</v>
      </c>
      <c r="K270" s="41">
        <f>J270*(1-IFERROR(VLOOKUP(H270,'enter the discount'!$D$10:$E$40,2,FALSE),0))</f>
        <v>437.71359018772534</v>
      </c>
      <c r="L270" s="43" t="s">
        <v>963</v>
      </c>
      <c r="M270" t="s">
        <v>1142</v>
      </c>
      <c r="N270" t="s">
        <v>932</v>
      </c>
      <c r="O270" t="s">
        <v>2723</v>
      </c>
      <c r="P270">
        <v>1</v>
      </c>
      <c r="Q270">
        <v>40</v>
      </c>
      <c r="R270" t="s">
        <v>2467</v>
      </c>
      <c r="S270"/>
      <c r="T270" s="42" t="str">
        <f>HYPERLINK("https://eprel.ec.europa.eu/qr/953550         ")</f>
        <v xml:space="preserve">https://eprel.ec.europa.eu/qr/953550         </v>
      </c>
      <c r="U270">
        <v>5.47</v>
      </c>
      <c r="V270">
        <v>0</v>
      </c>
      <c r="W270"/>
      <c r="X270"/>
      <c r="Y270"/>
    </row>
    <row r="271" spans="1:25" ht="15" x14ac:dyDescent="0.25">
      <c r="A271" t="s">
        <v>22</v>
      </c>
      <c r="B271" t="s">
        <v>71</v>
      </c>
      <c r="C271" t="s">
        <v>59</v>
      </c>
      <c r="D271" t="s">
        <v>945</v>
      </c>
      <c r="E271" t="s">
        <v>14</v>
      </c>
      <c r="F271" t="s">
        <v>1936</v>
      </c>
      <c r="G271" t="s">
        <v>1143</v>
      </c>
      <c r="H271" t="s">
        <v>945</v>
      </c>
      <c r="I271">
        <v>1611</v>
      </c>
      <c r="J271" s="41">
        <f>I271/'enter the discount'!$D$7</f>
        <v>377.08908758953237</v>
      </c>
      <c r="K271" s="41">
        <f>J271*(1-IFERROR(VLOOKUP(H271,'enter the discount'!$D$10:$E$40,2,FALSE),0))</f>
        <v>377.08908758953237</v>
      </c>
      <c r="L271" s="43" t="s">
        <v>2547</v>
      </c>
      <c r="M271" t="s">
        <v>1144</v>
      </c>
      <c r="N271" t="s">
        <v>932</v>
      </c>
      <c r="O271" t="s">
        <v>2723</v>
      </c>
      <c r="P271">
        <v>1</v>
      </c>
      <c r="Q271">
        <v>0</v>
      </c>
      <c r="R271" t="s">
        <v>2467</v>
      </c>
      <c r="S271" s="42" t="str">
        <f>HYPERLINK("https://sklep.kobi.pl/produkt/oprawa-led-hpl2-90w-120-pro-p")</f>
        <v>https://sklep.kobi.pl/produkt/oprawa-led-hpl2-90w-120-pro-p</v>
      </c>
      <c r="T271" s="42" t="str">
        <f>HYPERLINK("https://eprel.ec.europa.eu/qr/1988556        ")</f>
        <v xml:space="preserve">https://eprel.ec.europa.eu/qr/1988556        </v>
      </c>
      <c r="U271">
        <v>5.47</v>
      </c>
      <c r="V271"/>
      <c r="W271"/>
      <c r="X271"/>
      <c r="Y271"/>
    </row>
    <row r="272" spans="1:25" ht="15" x14ac:dyDescent="0.25">
      <c r="A272" t="s">
        <v>22</v>
      </c>
      <c r="B272" t="s">
        <v>71</v>
      </c>
      <c r="C272" t="s">
        <v>59</v>
      </c>
      <c r="D272" t="s">
        <v>945</v>
      </c>
      <c r="E272" t="s">
        <v>14</v>
      </c>
      <c r="F272" t="s">
        <v>1937</v>
      </c>
      <c r="G272" t="s">
        <v>1145</v>
      </c>
      <c r="H272" t="s">
        <v>945</v>
      </c>
      <c r="I272">
        <v>1870</v>
      </c>
      <c r="J272" s="41">
        <f>I272/'enter the discount'!$D$7</f>
        <v>437.71359018772534</v>
      </c>
      <c r="K272" s="41">
        <f>J272*(1-IFERROR(VLOOKUP(H272,'enter the discount'!$D$10:$E$40,2,FALSE),0))</f>
        <v>437.71359018772534</v>
      </c>
      <c r="L272" s="43" t="s">
        <v>859</v>
      </c>
      <c r="M272" t="s">
        <v>1146</v>
      </c>
      <c r="N272" t="s">
        <v>932</v>
      </c>
      <c r="O272" t="s">
        <v>2723</v>
      </c>
      <c r="P272">
        <v>1</v>
      </c>
      <c r="Q272">
        <v>40</v>
      </c>
      <c r="R272" t="s">
        <v>2467</v>
      </c>
      <c r="S272"/>
      <c r="T272" s="42" t="str">
        <f>HYPERLINK("https://eprel.ec.europa.eu/qr/953566         ")</f>
        <v xml:space="preserve">https://eprel.ec.europa.eu/qr/953566         </v>
      </c>
      <c r="U272">
        <v>5.47</v>
      </c>
      <c r="V272">
        <v>0</v>
      </c>
      <c r="W272"/>
      <c r="X272"/>
      <c r="Y272"/>
    </row>
    <row r="273" spans="1:25" ht="15" x14ac:dyDescent="0.25">
      <c r="A273" t="s">
        <v>22</v>
      </c>
      <c r="B273" t="s">
        <v>71</v>
      </c>
      <c r="C273" t="s">
        <v>59</v>
      </c>
      <c r="D273" t="s">
        <v>945</v>
      </c>
      <c r="E273" t="s">
        <v>14</v>
      </c>
      <c r="F273" t="s">
        <v>1938</v>
      </c>
      <c r="G273" t="s">
        <v>1147</v>
      </c>
      <c r="H273" t="s">
        <v>945</v>
      </c>
      <c r="I273">
        <v>1657</v>
      </c>
      <c r="J273" s="41">
        <f>I273/'enter the discount'!$D$7</f>
        <v>387.85637376527319</v>
      </c>
      <c r="K273" s="41">
        <f>J273*(1-IFERROR(VLOOKUP(H273,'enter the discount'!$D$10:$E$40,2,FALSE),0))</f>
        <v>387.85637376527319</v>
      </c>
      <c r="L273" s="43" t="s">
        <v>2547</v>
      </c>
      <c r="M273" t="s">
        <v>1148</v>
      </c>
      <c r="N273" t="s">
        <v>932</v>
      </c>
      <c r="O273" t="s">
        <v>2723</v>
      </c>
      <c r="P273">
        <v>1</v>
      </c>
      <c r="Q273">
        <v>0</v>
      </c>
      <c r="R273" t="s">
        <v>2467</v>
      </c>
      <c r="S273" s="42" t="str">
        <f>HYPERLINK("https://sklep.kobi.pl/produkt/oprawa-led-hpl2-90w-90-pro-p")</f>
        <v>https://sklep.kobi.pl/produkt/oprawa-led-hpl2-90w-90-pro-p</v>
      </c>
      <c r="T273" s="42" t="str">
        <f>HYPERLINK("https://eprel.ec.europa.eu/qr/1988556        ")</f>
        <v xml:space="preserve">https://eprel.ec.europa.eu/qr/1988556        </v>
      </c>
      <c r="U273">
        <v>5.47</v>
      </c>
      <c r="V273"/>
      <c r="W273"/>
      <c r="X273"/>
      <c r="Y273"/>
    </row>
    <row r="274" spans="1:25" ht="15" x14ac:dyDescent="0.25">
      <c r="A274" t="s">
        <v>22</v>
      </c>
      <c r="B274" t="s">
        <v>71</v>
      </c>
      <c r="C274" t="s">
        <v>59</v>
      </c>
      <c r="D274" t="s">
        <v>945</v>
      </c>
      <c r="E274" t="s">
        <v>14</v>
      </c>
      <c r="F274" t="s">
        <v>1939</v>
      </c>
      <c r="G274" t="s">
        <v>1149</v>
      </c>
      <c r="H274" t="s">
        <v>945</v>
      </c>
      <c r="I274">
        <v>2139</v>
      </c>
      <c r="J274" s="41">
        <f>I274/'enter the discount'!$D$7</f>
        <v>500.6788071719489</v>
      </c>
      <c r="K274" s="41">
        <f>J274*(1-IFERROR(VLOOKUP(H274,'enter the discount'!$D$10:$E$40,2,FALSE),0))</f>
        <v>500.6788071719489</v>
      </c>
      <c r="L274" s="43" t="s">
        <v>963</v>
      </c>
      <c r="M274" t="s">
        <v>1150</v>
      </c>
      <c r="N274" t="s">
        <v>932</v>
      </c>
      <c r="O274" t="s">
        <v>2723</v>
      </c>
      <c r="P274">
        <v>1</v>
      </c>
      <c r="Q274">
        <v>30</v>
      </c>
      <c r="R274" t="s">
        <v>2467</v>
      </c>
      <c r="S274"/>
      <c r="T274" s="42" t="str">
        <f>HYPERLINK("https://eprel.ec.europa.eu/qr/953581         ")</f>
        <v xml:space="preserve">https://eprel.ec.europa.eu/qr/953581         </v>
      </c>
      <c r="U274">
        <v>6.85</v>
      </c>
      <c r="V274">
        <v>0</v>
      </c>
      <c r="W274"/>
      <c r="X274"/>
      <c r="Y274"/>
    </row>
    <row r="275" spans="1:25" ht="15" x14ac:dyDescent="0.25">
      <c r="A275" t="s">
        <v>22</v>
      </c>
      <c r="B275" t="s">
        <v>71</v>
      </c>
      <c r="C275" t="s">
        <v>59</v>
      </c>
      <c r="D275" t="s">
        <v>945</v>
      </c>
      <c r="E275" t="s">
        <v>14</v>
      </c>
      <c r="F275" t="s">
        <v>1940</v>
      </c>
      <c r="G275" t="s">
        <v>1151</v>
      </c>
      <c r="H275" t="s">
        <v>945</v>
      </c>
      <c r="I275">
        <v>1937</v>
      </c>
      <c r="J275" s="41">
        <f>I275/'enter the discount'!$D$7</f>
        <v>453.39637657413044</v>
      </c>
      <c r="K275" s="41">
        <f>J275*(1-IFERROR(VLOOKUP(H275,'enter the discount'!$D$10:$E$40,2,FALSE),0))</f>
        <v>453.39637657413044</v>
      </c>
      <c r="L275" s="43" t="s">
        <v>2547</v>
      </c>
      <c r="M275" t="s">
        <v>1152</v>
      </c>
      <c r="N275" t="s">
        <v>932</v>
      </c>
      <c r="O275" t="s">
        <v>2723</v>
      </c>
      <c r="P275">
        <v>1</v>
      </c>
      <c r="Q275">
        <v>0</v>
      </c>
      <c r="R275" t="s">
        <v>2467</v>
      </c>
      <c r="S275" s="42" t="str">
        <f>HYPERLINK("https://sklep.kobi.pl/produkt/oprawa-led-hpl2-120w-120-pro-p")</f>
        <v>https://sklep.kobi.pl/produkt/oprawa-led-hpl2-120w-120-pro-p</v>
      </c>
      <c r="T275" s="42" t="str">
        <f>HYPERLINK("https://eprel.ec.europa.eu/qr/1988556        ")</f>
        <v xml:space="preserve">https://eprel.ec.europa.eu/qr/1988556        </v>
      </c>
      <c r="U275">
        <v>6.85</v>
      </c>
      <c r="V275"/>
      <c r="W275"/>
      <c r="X275"/>
      <c r="Y275"/>
    </row>
    <row r="276" spans="1:25" ht="15" x14ac:dyDescent="0.25">
      <c r="A276" t="s">
        <v>22</v>
      </c>
      <c r="B276" t="s">
        <v>71</v>
      </c>
      <c r="C276" t="s">
        <v>59</v>
      </c>
      <c r="D276" t="s">
        <v>945</v>
      </c>
      <c r="E276" t="s">
        <v>14</v>
      </c>
      <c r="F276" t="s">
        <v>1941</v>
      </c>
      <c r="G276" t="s">
        <v>1153</v>
      </c>
      <c r="H276" t="s">
        <v>945</v>
      </c>
      <c r="I276">
        <v>2139</v>
      </c>
      <c r="J276" s="41">
        <f>I276/'enter the discount'!$D$7</f>
        <v>500.6788071719489</v>
      </c>
      <c r="K276" s="41">
        <f>J276*(1-IFERROR(VLOOKUP(H276,'enter the discount'!$D$10:$E$40,2,FALSE),0))</f>
        <v>500.6788071719489</v>
      </c>
      <c r="L276" s="43" t="s">
        <v>859</v>
      </c>
      <c r="M276" t="s">
        <v>1154</v>
      </c>
      <c r="N276" t="s">
        <v>932</v>
      </c>
      <c r="O276" t="s">
        <v>2723</v>
      </c>
      <c r="P276">
        <v>1</v>
      </c>
      <c r="Q276">
        <v>30</v>
      </c>
      <c r="R276" t="s">
        <v>2467</v>
      </c>
      <c r="S276"/>
      <c r="T276" s="42" t="str">
        <f>HYPERLINK("https://eprel.ec.europa.eu/qr/953606         ")</f>
        <v xml:space="preserve">https://eprel.ec.europa.eu/qr/953606         </v>
      </c>
      <c r="U276">
        <v>6.85</v>
      </c>
      <c r="V276">
        <v>0</v>
      </c>
      <c r="W276"/>
      <c r="X276"/>
      <c r="Y276"/>
    </row>
    <row r="277" spans="1:25" ht="15" x14ac:dyDescent="0.25">
      <c r="A277" t="s">
        <v>22</v>
      </c>
      <c r="B277" t="s">
        <v>71</v>
      </c>
      <c r="C277" t="s">
        <v>59</v>
      </c>
      <c r="D277" t="s">
        <v>945</v>
      </c>
      <c r="E277" t="s">
        <v>14</v>
      </c>
      <c r="F277" t="s">
        <v>1942</v>
      </c>
      <c r="G277" t="s">
        <v>1155</v>
      </c>
      <c r="H277" t="s">
        <v>945</v>
      </c>
      <c r="I277">
        <v>1995</v>
      </c>
      <c r="J277" s="41">
        <f>I277/'enter the discount'!$D$7</f>
        <v>466.97252001310801</v>
      </c>
      <c r="K277" s="41">
        <f>J277*(1-IFERROR(VLOOKUP(H277,'enter the discount'!$D$10:$E$40,2,FALSE),0))</f>
        <v>466.97252001310801</v>
      </c>
      <c r="L277" s="43" t="s">
        <v>2547</v>
      </c>
      <c r="M277" t="s">
        <v>1156</v>
      </c>
      <c r="N277" t="s">
        <v>932</v>
      </c>
      <c r="O277" t="s">
        <v>2723</v>
      </c>
      <c r="P277">
        <v>1</v>
      </c>
      <c r="Q277">
        <v>0</v>
      </c>
      <c r="R277" t="s">
        <v>2467</v>
      </c>
      <c r="S277" s="42" t="str">
        <f>HYPERLINK("https://sklep.kobi.pl/produkt/oprawa-led-hpl2-120w-90-pro-p")</f>
        <v>https://sklep.kobi.pl/produkt/oprawa-led-hpl2-120w-90-pro-p</v>
      </c>
      <c r="T277" s="42" t="str">
        <f>HYPERLINK("https://eprel.ec.europa.eu/qr/1988556        ")</f>
        <v xml:space="preserve">https://eprel.ec.europa.eu/qr/1988556        </v>
      </c>
      <c r="U277">
        <v>6.85</v>
      </c>
      <c r="V277"/>
      <c r="W277"/>
      <c r="X277"/>
      <c r="Y277"/>
    </row>
    <row r="278" spans="1:25" ht="15" x14ac:dyDescent="0.25">
      <c r="A278" t="s">
        <v>22</v>
      </c>
      <c r="B278" t="s">
        <v>71</v>
      </c>
      <c r="C278" t="s">
        <v>59</v>
      </c>
      <c r="D278" t="s">
        <v>945</v>
      </c>
      <c r="E278" t="s">
        <v>14</v>
      </c>
      <c r="F278" t="s">
        <v>1943</v>
      </c>
      <c r="G278" t="s">
        <v>1157</v>
      </c>
      <c r="H278" t="s">
        <v>945</v>
      </c>
      <c r="I278">
        <v>2507</v>
      </c>
      <c r="J278" s="41">
        <f>I278/'enter the discount'!$D$7</f>
        <v>586.81709657787565</v>
      </c>
      <c r="K278" s="41">
        <f>J278*(1-IFERROR(VLOOKUP(H278,'enter the discount'!$D$10:$E$40,2,FALSE),0))</f>
        <v>586.81709657787565</v>
      </c>
      <c r="L278" s="43" t="s">
        <v>963</v>
      </c>
      <c r="M278" t="s">
        <v>1158</v>
      </c>
      <c r="N278" t="s">
        <v>932</v>
      </c>
      <c r="O278" t="s">
        <v>2723</v>
      </c>
      <c r="P278">
        <v>1</v>
      </c>
      <c r="Q278">
        <v>30</v>
      </c>
      <c r="R278" t="s">
        <v>2467</v>
      </c>
      <c r="S278"/>
      <c r="T278" s="42" t="str">
        <f>HYPERLINK("https://eprel.ec.europa.eu/qr/953653         ")</f>
        <v xml:space="preserve">https://eprel.ec.europa.eu/qr/953653         </v>
      </c>
      <c r="U278">
        <v>8.3699999999999992</v>
      </c>
      <c r="V278">
        <v>0</v>
      </c>
      <c r="W278"/>
      <c r="X278"/>
      <c r="Y278"/>
    </row>
    <row r="279" spans="1:25" ht="15" x14ac:dyDescent="0.25">
      <c r="A279" t="s">
        <v>22</v>
      </c>
      <c r="B279" t="s">
        <v>71</v>
      </c>
      <c r="C279" t="s">
        <v>59</v>
      </c>
      <c r="D279" t="s">
        <v>945</v>
      </c>
      <c r="E279" t="s">
        <v>14</v>
      </c>
      <c r="F279" t="s">
        <v>1944</v>
      </c>
      <c r="G279" t="s">
        <v>1159</v>
      </c>
      <c r="H279" t="s">
        <v>945</v>
      </c>
      <c r="I279">
        <v>2268</v>
      </c>
      <c r="J279" s="41">
        <f>I279/'enter the discount'!$D$7</f>
        <v>530.87402275174384</v>
      </c>
      <c r="K279" s="41">
        <f>J279*(1-IFERROR(VLOOKUP(H279,'enter the discount'!$D$10:$E$40,2,FALSE),0))</f>
        <v>530.87402275174384</v>
      </c>
      <c r="L279" s="43" t="s">
        <v>2547</v>
      </c>
      <c r="M279" t="s">
        <v>1160</v>
      </c>
      <c r="N279" t="s">
        <v>932</v>
      </c>
      <c r="O279" t="s">
        <v>2723</v>
      </c>
      <c r="P279">
        <v>1</v>
      </c>
      <c r="Q279">
        <v>0</v>
      </c>
      <c r="R279" t="s">
        <v>2467</v>
      </c>
      <c r="S279" s="42" t="str">
        <f>HYPERLINK("https://sklep.kobi.pl/produkt/oprawa-led-hpl2-150w-120-pro-p")</f>
        <v>https://sklep.kobi.pl/produkt/oprawa-led-hpl2-150w-120-pro-p</v>
      </c>
      <c r="T279" t="s">
        <v>14</v>
      </c>
      <c r="U279">
        <v>8.3699999999999992</v>
      </c>
      <c r="V279"/>
      <c r="W279"/>
      <c r="X279"/>
      <c r="Y279"/>
    </row>
    <row r="280" spans="1:25" ht="15" x14ac:dyDescent="0.25">
      <c r="A280" t="s">
        <v>22</v>
      </c>
      <c r="B280" t="s">
        <v>71</v>
      </c>
      <c r="C280" t="s">
        <v>59</v>
      </c>
      <c r="D280" t="s">
        <v>945</v>
      </c>
      <c r="E280" t="s">
        <v>14</v>
      </c>
      <c r="F280" t="s">
        <v>1945</v>
      </c>
      <c r="G280" t="s">
        <v>1161</v>
      </c>
      <c r="H280" t="s">
        <v>945</v>
      </c>
      <c r="I280">
        <v>2507</v>
      </c>
      <c r="J280" s="41">
        <f>I280/'enter the discount'!$D$7</f>
        <v>586.81709657787565</v>
      </c>
      <c r="K280" s="41">
        <f>J280*(1-IFERROR(VLOOKUP(H280,'enter the discount'!$D$10:$E$40,2,FALSE),0))</f>
        <v>586.81709657787565</v>
      </c>
      <c r="L280" s="43" t="s">
        <v>859</v>
      </c>
      <c r="M280" t="s">
        <v>1162</v>
      </c>
      <c r="N280" t="s">
        <v>932</v>
      </c>
      <c r="O280" t="s">
        <v>2723</v>
      </c>
      <c r="P280">
        <v>1</v>
      </c>
      <c r="Q280">
        <v>30</v>
      </c>
      <c r="R280" t="s">
        <v>2467</v>
      </c>
      <c r="S280"/>
      <c r="T280" s="42" t="str">
        <f>HYPERLINK("https://eprel.ec.europa.eu/qr/953668         ")</f>
        <v xml:space="preserve">https://eprel.ec.europa.eu/qr/953668         </v>
      </c>
      <c r="U280">
        <v>8.3699999999999992</v>
      </c>
      <c r="V280">
        <v>0</v>
      </c>
      <c r="W280"/>
      <c r="X280"/>
      <c r="Y280"/>
    </row>
    <row r="281" spans="1:25" ht="15" x14ac:dyDescent="0.25">
      <c r="A281" t="s">
        <v>22</v>
      </c>
      <c r="B281" t="s">
        <v>71</v>
      </c>
      <c r="C281" t="s">
        <v>59</v>
      </c>
      <c r="D281" t="s">
        <v>945</v>
      </c>
      <c r="E281" t="s">
        <v>14</v>
      </c>
      <c r="F281" t="s">
        <v>1946</v>
      </c>
      <c r="G281" t="s">
        <v>1163</v>
      </c>
      <c r="H281" t="s">
        <v>945</v>
      </c>
      <c r="I281">
        <v>2325</v>
      </c>
      <c r="J281" s="41">
        <f>I281/'enter the discount'!$D$7</f>
        <v>544.21609475211835</v>
      </c>
      <c r="K281" s="41">
        <f>J281*(1-IFERROR(VLOOKUP(H281,'enter the discount'!$D$10:$E$40,2,FALSE),0))</f>
        <v>544.21609475211835</v>
      </c>
      <c r="L281" s="43" t="s">
        <v>2547</v>
      </c>
      <c r="M281" t="s">
        <v>1164</v>
      </c>
      <c r="N281" t="s">
        <v>932</v>
      </c>
      <c r="O281" t="s">
        <v>2723</v>
      </c>
      <c r="P281">
        <v>1</v>
      </c>
      <c r="Q281">
        <v>0</v>
      </c>
      <c r="R281" t="s">
        <v>2467</v>
      </c>
      <c r="S281" s="42" t="str">
        <f>HYPERLINK("https://sklep.kobi.pl/produkt/oprawa-led-hpl2-150w-90-pro-p")</f>
        <v>https://sklep.kobi.pl/produkt/oprawa-led-hpl2-150w-90-pro-p</v>
      </c>
      <c r="T281" s="42" t="str">
        <f>HYPERLINK("https://eprel.ec.europa.eu/qr/1988556        ")</f>
        <v xml:space="preserve">https://eprel.ec.europa.eu/qr/1988556        </v>
      </c>
      <c r="U281">
        <v>8.3699999999999992</v>
      </c>
      <c r="V281"/>
      <c r="W281"/>
      <c r="X281"/>
      <c r="Y281"/>
    </row>
    <row r="282" spans="1:25" ht="15" x14ac:dyDescent="0.25">
      <c r="A282" t="s">
        <v>22</v>
      </c>
      <c r="B282" t="s">
        <v>58</v>
      </c>
      <c r="C282" t="s">
        <v>74</v>
      </c>
      <c r="D282" t="s">
        <v>111</v>
      </c>
      <c r="E282" t="s">
        <v>14</v>
      </c>
      <c r="F282" t="s">
        <v>862</v>
      </c>
      <c r="G282" t="s">
        <v>264</v>
      </c>
      <c r="H282" t="s">
        <v>3</v>
      </c>
      <c r="I282">
        <v>64</v>
      </c>
      <c r="J282" s="41">
        <f>I282/'enter the discount'!$D$7</f>
        <v>14.980572070595947</v>
      </c>
      <c r="K282" s="41">
        <f>J282*(1-IFERROR(VLOOKUP(H282,'enter the discount'!$D$10:$E$40,2,FALSE),0))</f>
        <v>14.980572070595947</v>
      </c>
      <c r="L282" s="43" t="s">
        <v>2549</v>
      </c>
      <c r="M282" t="s">
        <v>627</v>
      </c>
      <c r="N282" t="s">
        <v>929</v>
      </c>
      <c r="O282" t="s">
        <v>2723</v>
      </c>
      <c r="P282">
        <v>5</v>
      </c>
      <c r="Q282">
        <v>180</v>
      </c>
      <c r="R282" t="s">
        <v>2465</v>
      </c>
      <c r="S282" s="42" t="str">
        <f>HYPERLINK("https://sklep.kobi.pl/produkt/oprawa-oswietleniowa-ruto-100w-e27-biala")</f>
        <v>https://sklep.kobi.pl/produkt/oprawa-oswietleniowa-ruto-100w-e27-biala</v>
      </c>
      <c r="T282" s="42" t="str">
        <f>HYPERLINK("https://eprel.ec.europa.eu/qr/NIE DOTYCZY    ")</f>
        <v xml:space="preserve">https://eprel.ec.europa.eu/qr/NIE DOTYCZY    </v>
      </c>
      <c r="U282">
        <v>1.26</v>
      </c>
      <c r="V282">
        <v>1.3</v>
      </c>
      <c r="W282">
        <v>100</v>
      </c>
      <c r="X282">
        <v>240</v>
      </c>
      <c r="Y282">
        <v>240</v>
      </c>
    </row>
    <row r="283" spans="1:25" ht="15" x14ac:dyDescent="0.25">
      <c r="A283" t="s">
        <v>22</v>
      </c>
      <c r="B283" t="s">
        <v>58</v>
      </c>
      <c r="C283" t="s">
        <v>74</v>
      </c>
      <c r="D283" t="s">
        <v>111</v>
      </c>
      <c r="E283" t="s">
        <v>14</v>
      </c>
      <c r="F283" t="s">
        <v>1947</v>
      </c>
      <c r="G283" t="s">
        <v>265</v>
      </c>
      <c r="H283" t="s">
        <v>3</v>
      </c>
      <c r="I283">
        <v>88</v>
      </c>
      <c r="J283" s="41">
        <f>I283/'enter the discount'!$D$7</f>
        <v>20.598286597069428</v>
      </c>
      <c r="K283" s="41">
        <f>J283*(1-IFERROR(VLOOKUP(H283,'enter the discount'!$D$10:$E$40,2,FALSE),0))</f>
        <v>20.598286597069428</v>
      </c>
      <c r="L283" s="43" t="s">
        <v>2549</v>
      </c>
      <c r="M283" t="s">
        <v>628</v>
      </c>
      <c r="N283" t="s">
        <v>930</v>
      </c>
      <c r="O283" t="s">
        <v>2723</v>
      </c>
      <c r="P283">
        <v>10</v>
      </c>
      <c r="Q283">
        <v>80</v>
      </c>
      <c r="R283" t="s">
        <v>2465</v>
      </c>
      <c r="S283" s="42" t="str">
        <f>HYPERLINK("https://sklep.kobi.pl/produkt/opr-oswietleniowa-romero-2xe27-okragla")</f>
        <v>https://sklep.kobi.pl/produkt/opr-oswietleniowa-romero-2xe27-okragla</v>
      </c>
      <c r="T283" s="42" t="str">
        <f>HYPERLINK("https://eprel.ec.europa.eu/qr/NIE DOTYCZY    ")</f>
        <v xml:space="preserve">https://eprel.ec.europa.eu/qr/NIE DOTYCZY    </v>
      </c>
      <c r="U283">
        <v>0.64800000000000002</v>
      </c>
      <c r="V283">
        <v>0.82799999999999996</v>
      </c>
      <c r="W283">
        <v>112</v>
      </c>
      <c r="X283">
        <v>345</v>
      </c>
      <c r="Y283">
        <v>345</v>
      </c>
    </row>
    <row r="284" spans="1:25" ht="15" x14ac:dyDescent="0.25">
      <c r="A284" t="s">
        <v>22</v>
      </c>
      <c r="B284" t="s">
        <v>58</v>
      </c>
      <c r="C284" t="s">
        <v>74</v>
      </c>
      <c r="D284" t="s">
        <v>111</v>
      </c>
      <c r="E284" t="s">
        <v>14</v>
      </c>
      <c r="F284" t="s">
        <v>1948</v>
      </c>
      <c r="G284" t="s">
        <v>266</v>
      </c>
      <c r="H284" t="s">
        <v>3</v>
      </c>
      <c r="I284">
        <v>97</v>
      </c>
      <c r="J284" s="41">
        <f>I284/'enter the discount'!$D$7</f>
        <v>22.704929544496981</v>
      </c>
      <c r="K284" s="41">
        <f>J284*(1-IFERROR(VLOOKUP(H284,'enter the discount'!$D$10:$E$40,2,FALSE),0))</f>
        <v>22.704929544496981</v>
      </c>
      <c r="L284" s="43" t="s">
        <v>2549</v>
      </c>
      <c r="M284" t="s">
        <v>629</v>
      </c>
      <c r="N284" t="s">
        <v>930</v>
      </c>
      <c r="O284" t="s">
        <v>2723</v>
      </c>
      <c r="P284">
        <v>10</v>
      </c>
      <c r="Q284">
        <v>80</v>
      </c>
      <c r="R284" t="s">
        <v>2465</v>
      </c>
      <c r="S284" s="42" t="str">
        <f>HYPERLINK("https://sklep.kobi.pl/produkt/opr-oswietleniowa-romero-2xe27-okragla-c")</f>
        <v>https://sklep.kobi.pl/produkt/opr-oswietleniowa-romero-2xe27-okragla-c</v>
      </c>
      <c r="T284" s="42" t="str">
        <f>HYPERLINK("https://eprel.ec.europa.eu/qr/NIE DOTYCZY    ")</f>
        <v xml:space="preserve">https://eprel.ec.europa.eu/qr/NIE DOTYCZY    </v>
      </c>
      <c r="U284">
        <v>0.64800000000000002</v>
      </c>
      <c r="V284">
        <v>0.82799999999999996</v>
      </c>
      <c r="W284">
        <v>345</v>
      </c>
      <c r="X284">
        <v>340</v>
      </c>
      <c r="Y284">
        <v>105</v>
      </c>
    </row>
    <row r="285" spans="1:25" ht="15" x14ac:dyDescent="0.25">
      <c r="A285" t="s">
        <v>22</v>
      </c>
      <c r="B285" t="s">
        <v>58</v>
      </c>
      <c r="C285" t="s">
        <v>74</v>
      </c>
      <c r="D285" t="s">
        <v>111</v>
      </c>
      <c r="E285" t="s">
        <v>2722</v>
      </c>
      <c r="F285" t="s">
        <v>1949</v>
      </c>
      <c r="G285" t="s">
        <v>1311</v>
      </c>
      <c r="H285" t="s">
        <v>3</v>
      </c>
      <c r="I285">
        <v>142.52000000000001</v>
      </c>
      <c r="J285" s="41">
        <f>I285/'enter the discount'!$D$7</f>
        <v>33.359861429708353</v>
      </c>
      <c r="K285" s="41">
        <f>J285*(1-IFERROR(VLOOKUP(H285,'enter the discount'!$D$10:$E$40,2,FALSE),0))</f>
        <v>33.359861429708353</v>
      </c>
      <c r="L285" s="43" t="s">
        <v>2549</v>
      </c>
      <c r="M285" t="s">
        <v>1312</v>
      </c>
      <c r="N285" t="s">
        <v>930</v>
      </c>
      <c r="O285" t="s">
        <v>2723</v>
      </c>
      <c r="P285">
        <v>5</v>
      </c>
      <c r="Q285">
        <v>80</v>
      </c>
      <c r="R285" t="s">
        <v>2465</v>
      </c>
      <c r="S285" s="42" t="str">
        <f>HYPERLINK("https://sklep.kobi.pl/produkt/opr-oswietleniowa-samira-b-2xe27-kwadrat")</f>
        <v>https://sklep.kobi.pl/produkt/opr-oswietleniowa-samira-b-2xe27-kwadrat</v>
      </c>
      <c r="T285" s="42" t="str">
        <f>HYPERLINK("https://eprel.ec.europa.eu/qr/NIE DOTYCZY    ")</f>
        <v xml:space="preserve">https://eprel.ec.europa.eu/qr/NIE DOTYCZY    </v>
      </c>
      <c r="U285">
        <v>1.244</v>
      </c>
      <c r="V285">
        <v>1.6759999999999999</v>
      </c>
      <c r="W285">
        <v>130</v>
      </c>
      <c r="X285">
        <v>420</v>
      </c>
      <c r="Y285">
        <v>420</v>
      </c>
    </row>
    <row r="286" spans="1:25" ht="15" x14ac:dyDescent="0.25">
      <c r="A286" t="s">
        <v>22</v>
      </c>
      <c r="B286" t="s">
        <v>58</v>
      </c>
      <c r="C286" t="s">
        <v>74</v>
      </c>
      <c r="D286" t="s">
        <v>111</v>
      </c>
      <c r="E286" t="s">
        <v>2722</v>
      </c>
      <c r="F286" t="s">
        <v>1950</v>
      </c>
      <c r="G286" t="s">
        <v>1313</v>
      </c>
      <c r="H286" t="s">
        <v>3</v>
      </c>
      <c r="I286">
        <v>142.52000000000001</v>
      </c>
      <c r="J286" s="41">
        <f>I286/'enter the discount'!$D$7</f>
        <v>33.359861429708353</v>
      </c>
      <c r="K286" s="41">
        <f>J286*(1-IFERROR(VLOOKUP(H286,'enter the discount'!$D$10:$E$40,2,FALSE),0))</f>
        <v>33.359861429708353</v>
      </c>
      <c r="L286" s="43" t="s">
        <v>2549</v>
      </c>
      <c r="M286" t="s">
        <v>1314</v>
      </c>
      <c r="N286" t="s">
        <v>930</v>
      </c>
      <c r="O286" t="s">
        <v>2723</v>
      </c>
      <c r="P286">
        <v>5</v>
      </c>
      <c r="Q286">
        <v>80</v>
      </c>
      <c r="R286" t="s">
        <v>2465</v>
      </c>
      <c r="S286" s="42" t="str">
        <f>HYPERLINK("https://sklep.kobi.pl/produkt/opr-osw-samira-b-2xe27-kwadrat-black")</f>
        <v>https://sklep.kobi.pl/produkt/opr-osw-samira-b-2xe27-kwadrat-black</v>
      </c>
      <c r="T286" s="42" t="str">
        <f>HYPERLINK("https://eprel.ec.europa.eu/qr/NIE DOTYCZY    ")</f>
        <v xml:space="preserve">https://eprel.ec.europa.eu/qr/NIE DOTYCZY    </v>
      </c>
      <c r="U286">
        <v>1.244</v>
      </c>
      <c r="V286">
        <v>1.6759999999999999</v>
      </c>
      <c r="W286">
        <v>440</v>
      </c>
      <c r="X286">
        <v>435</v>
      </c>
      <c r="Y286">
        <v>100</v>
      </c>
    </row>
    <row r="287" spans="1:25" ht="15" x14ac:dyDescent="0.25">
      <c r="A287" t="s">
        <v>22</v>
      </c>
      <c r="B287" t="s">
        <v>58</v>
      </c>
      <c r="C287" t="s">
        <v>74</v>
      </c>
      <c r="D287" t="s">
        <v>111</v>
      </c>
      <c r="E287" t="s">
        <v>14</v>
      </c>
      <c r="F287" t="s">
        <v>1951</v>
      </c>
      <c r="G287" t="s">
        <v>267</v>
      </c>
      <c r="H287" t="s">
        <v>3</v>
      </c>
      <c r="I287">
        <v>115.25</v>
      </c>
      <c r="J287" s="41">
        <f>I287/'enter the discount'!$D$7</f>
        <v>26.976733299002856</v>
      </c>
      <c r="K287" s="41">
        <f>J287*(1-IFERROR(VLOOKUP(H287,'enter the discount'!$D$10:$E$40,2,FALSE),0))</f>
        <v>26.976733299002856</v>
      </c>
      <c r="L287" s="43" t="s">
        <v>2549</v>
      </c>
      <c r="M287" t="s">
        <v>630</v>
      </c>
      <c r="N287" t="s">
        <v>930</v>
      </c>
      <c r="O287" t="s">
        <v>2723</v>
      </c>
      <c r="P287">
        <v>10</v>
      </c>
      <c r="Q287">
        <v>80</v>
      </c>
      <c r="R287" t="s">
        <v>2465</v>
      </c>
      <c r="S287" s="42" t="str">
        <f>HYPERLINK("https://sklep.kobi.pl/produkt/opr-oswietleniowa-samira-s-2xe27-kwadrat")</f>
        <v>https://sklep.kobi.pl/produkt/opr-oswietleniowa-samira-s-2xe27-kwadrat</v>
      </c>
      <c r="T287" s="42" t="str">
        <f>HYPERLINK("https://eprel.ec.europa.eu/qr/NIE DOTYCZY    ")</f>
        <v xml:space="preserve">https://eprel.ec.europa.eu/qr/NIE DOTYCZY    </v>
      </c>
      <c r="U287">
        <v>0.69</v>
      </c>
      <c r="V287">
        <v>0.93300000000000005</v>
      </c>
      <c r="W287">
        <v>112</v>
      </c>
      <c r="X287">
        <v>355</v>
      </c>
      <c r="Y287">
        <v>355</v>
      </c>
    </row>
    <row r="288" spans="1:25" ht="15" x14ac:dyDescent="0.25">
      <c r="A288" t="s">
        <v>22</v>
      </c>
      <c r="B288" t="s">
        <v>58</v>
      </c>
      <c r="C288" t="s">
        <v>74</v>
      </c>
      <c r="D288" t="s">
        <v>111</v>
      </c>
      <c r="E288" t="s">
        <v>14</v>
      </c>
      <c r="F288" t="s">
        <v>863</v>
      </c>
      <c r="G288" t="s">
        <v>268</v>
      </c>
      <c r="H288" t="s">
        <v>3</v>
      </c>
      <c r="I288">
        <v>115.25</v>
      </c>
      <c r="J288" s="41">
        <f>I288/'enter the discount'!$D$7</f>
        <v>26.976733299002856</v>
      </c>
      <c r="K288" s="41">
        <f>J288*(1-IFERROR(VLOOKUP(H288,'enter the discount'!$D$10:$E$40,2,FALSE),0))</f>
        <v>26.976733299002856</v>
      </c>
      <c r="L288" s="43" t="s">
        <v>2549</v>
      </c>
      <c r="M288" t="s">
        <v>631</v>
      </c>
      <c r="N288" t="s">
        <v>930</v>
      </c>
      <c r="O288" t="s">
        <v>2723</v>
      </c>
      <c r="P288">
        <v>10</v>
      </c>
      <c r="Q288">
        <v>80</v>
      </c>
      <c r="R288" t="s">
        <v>2465</v>
      </c>
      <c r="S288" s="42" t="str">
        <f>HYPERLINK("https://sklep.kobi.pl/produkt/opr-osw-samira-s-2xe27-kwadrat-black")</f>
        <v>https://sklep.kobi.pl/produkt/opr-osw-samira-s-2xe27-kwadrat-black</v>
      </c>
      <c r="T288" s="42" t="str">
        <f>HYPERLINK("https://eprel.ec.europa.eu/qr/NIE DOTYCZY    ")</f>
        <v xml:space="preserve">https://eprel.ec.europa.eu/qr/NIE DOTYCZY    </v>
      </c>
      <c r="U288">
        <v>0.69</v>
      </c>
      <c r="V288">
        <v>0.93300000000000005</v>
      </c>
      <c r="W288">
        <v>345</v>
      </c>
      <c r="X288">
        <v>340</v>
      </c>
      <c r="Y288">
        <v>110</v>
      </c>
    </row>
    <row r="289" spans="1:25" ht="15" x14ac:dyDescent="0.25">
      <c r="A289" t="s">
        <v>22</v>
      </c>
      <c r="B289" t="s">
        <v>72</v>
      </c>
      <c r="C289" t="s">
        <v>52</v>
      </c>
      <c r="D289" t="s">
        <v>961</v>
      </c>
      <c r="E289" t="s">
        <v>2722</v>
      </c>
      <c r="F289" t="s">
        <v>1952</v>
      </c>
      <c r="G289" t="s">
        <v>990</v>
      </c>
      <c r="H289" t="s">
        <v>1</v>
      </c>
      <c r="I289">
        <v>45</v>
      </c>
      <c r="J289" s="41">
        <f>I289/'enter the discount'!$D$7</f>
        <v>10.533214737137776</v>
      </c>
      <c r="K289" s="41">
        <f>J289*(1-IFERROR(VLOOKUP(H289,'enter the discount'!$D$10:$E$40,2,FALSE),0))</f>
        <v>10.533214737137776</v>
      </c>
      <c r="L289" s="43" t="s">
        <v>478</v>
      </c>
      <c r="M289" t="s">
        <v>991</v>
      </c>
      <c r="N289" t="s">
        <v>633</v>
      </c>
      <c r="O289" t="s">
        <v>2723</v>
      </c>
      <c r="P289">
        <v>1</v>
      </c>
      <c r="Q289">
        <v>0</v>
      </c>
      <c r="R289" t="s">
        <v>2465</v>
      </c>
      <c r="S289" s="42" t="str">
        <f>HYPERLINK("https://sklep.kobi.pl/produkt/oslona-do-neo-hb-150w-200w")</f>
        <v>https://sklep.kobi.pl/produkt/oslona-do-neo-hb-150w-200w</v>
      </c>
      <c r="T289" t="s">
        <v>14</v>
      </c>
      <c r="U289">
        <v>0.13</v>
      </c>
      <c r="V289">
        <v>0</v>
      </c>
      <c r="W289">
        <v>0</v>
      </c>
      <c r="X289">
        <v>0</v>
      </c>
      <c r="Y289">
        <v>0</v>
      </c>
    </row>
    <row r="290" spans="1:25" ht="15" x14ac:dyDescent="0.25">
      <c r="A290" t="s">
        <v>22</v>
      </c>
      <c r="B290" t="s">
        <v>72</v>
      </c>
      <c r="C290" t="s">
        <v>52</v>
      </c>
      <c r="D290" t="s">
        <v>111</v>
      </c>
      <c r="E290" t="s">
        <v>14</v>
      </c>
      <c r="F290" t="s">
        <v>1953</v>
      </c>
      <c r="G290" t="s">
        <v>1344</v>
      </c>
      <c r="H290" t="s">
        <v>1</v>
      </c>
      <c r="I290">
        <v>77.599999999999994</v>
      </c>
      <c r="J290" s="41">
        <f>I290/'enter the discount'!$D$7</f>
        <v>18.163943635597583</v>
      </c>
      <c r="K290" s="41">
        <f>J290*(1-IFERROR(VLOOKUP(H290,'enter the discount'!$D$10:$E$40,2,FALSE),0))</f>
        <v>18.163943635597583</v>
      </c>
      <c r="L290" s="43" t="s">
        <v>2549</v>
      </c>
      <c r="M290" t="s">
        <v>1439</v>
      </c>
      <c r="N290" t="s">
        <v>633</v>
      </c>
      <c r="O290" t="s">
        <v>2723</v>
      </c>
      <c r="P290">
        <v>20</v>
      </c>
      <c r="Q290">
        <v>0</v>
      </c>
      <c r="R290" t="s">
        <v>2465</v>
      </c>
      <c r="S290" s="42" t="str">
        <f>HYPERLINK("https://sklep.kobi.pl/produkt/oslona-do-nina-hb-100w")</f>
        <v>https://sklep.kobi.pl/produkt/oslona-do-nina-hb-100w</v>
      </c>
      <c r="T290" s="42" t="str">
        <f>HYPERLINK("https://eprel.ec.europa.eu/qr/NIE DOTYCZY    ")</f>
        <v xml:space="preserve">https://eprel.ec.europa.eu/qr/NIE DOTYCZY    </v>
      </c>
      <c r="U290">
        <v>0.14000000000000001</v>
      </c>
      <c r="V290">
        <v>0</v>
      </c>
      <c r="W290">
        <v>0</v>
      </c>
      <c r="X290">
        <v>0</v>
      </c>
      <c r="Y290">
        <v>0</v>
      </c>
    </row>
    <row r="291" spans="1:25" ht="15" x14ac:dyDescent="0.25">
      <c r="A291" t="s">
        <v>22</v>
      </c>
      <c r="B291" t="s">
        <v>72</v>
      </c>
      <c r="C291" t="s">
        <v>52</v>
      </c>
      <c r="D291" t="s">
        <v>111</v>
      </c>
      <c r="E291" t="s">
        <v>14</v>
      </c>
      <c r="F291" t="s">
        <v>1954</v>
      </c>
      <c r="G291" t="s">
        <v>1242</v>
      </c>
      <c r="H291" t="s">
        <v>1</v>
      </c>
      <c r="I291">
        <v>70.77</v>
      </c>
      <c r="J291" s="41">
        <f>I291/'enter the discount'!$D$7</f>
        <v>16.565235709938673</v>
      </c>
      <c r="K291" s="41">
        <f>J291*(1-IFERROR(VLOOKUP(H291,'enter the discount'!$D$10:$E$40,2,FALSE),0))</f>
        <v>16.565235709938673</v>
      </c>
      <c r="L291" s="43" t="s">
        <v>2549</v>
      </c>
      <c r="M291" t="s">
        <v>1243</v>
      </c>
      <c r="N291" t="s">
        <v>633</v>
      </c>
      <c r="O291" t="s">
        <v>2723</v>
      </c>
      <c r="P291">
        <v>20</v>
      </c>
      <c r="Q291">
        <v>0</v>
      </c>
      <c r="R291" t="s">
        <v>2465</v>
      </c>
      <c r="S291" s="42" t="str">
        <f>HYPERLINK("https://sklep.kobi.pl/produkt/oslona-do-nina-hb-150w")</f>
        <v>https://sklep.kobi.pl/produkt/oslona-do-nina-hb-150w</v>
      </c>
      <c r="T291" s="42" t="str">
        <f>HYPERLINK("https://eprel.ec.europa.eu/qr/NIE DOTYCZY    ")</f>
        <v xml:space="preserve">https://eprel.ec.europa.eu/qr/NIE DOTYCZY    </v>
      </c>
      <c r="U291">
        <v>0.14000000000000001</v>
      </c>
      <c r="V291">
        <v>0</v>
      </c>
      <c r="W291">
        <v>0</v>
      </c>
      <c r="X291">
        <v>0</v>
      </c>
      <c r="Y291">
        <v>0</v>
      </c>
    </row>
    <row r="292" spans="1:25" ht="15" x14ac:dyDescent="0.25">
      <c r="A292" t="s">
        <v>22</v>
      </c>
      <c r="B292" t="s">
        <v>72</v>
      </c>
      <c r="C292" t="s">
        <v>52</v>
      </c>
      <c r="D292" t="s">
        <v>111</v>
      </c>
      <c r="E292" t="s">
        <v>14</v>
      </c>
      <c r="F292" t="s">
        <v>1955</v>
      </c>
      <c r="G292" t="s">
        <v>1244</v>
      </c>
      <c r="H292" t="s">
        <v>1</v>
      </c>
      <c r="I292">
        <v>87.32</v>
      </c>
      <c r="J292" s="41">
        <f>I292/'enter the discount'!$D$7</f>
        <v>20.439118018819343</v>
      </c>
      <c r="K292" s="41">
        <f>J292*(1-IFERROR(VLOOKUP(H292,'enter the discount'!$D$10:$E$40,2,FALSE),0))</f>
        <v>20.439118018819343</v>
      </c>
      <c r="L292" s="43" t="s">
        <v>2549</v>
      </c>
      <c r="M292" t="s">
        <v>1245</v>
      </c>
      <c r="N292" t="s">
        <v>633</v>
      </c>
      <c r="O292" t="s">
        <v>2723</v>
      </c>
      <c r="P292">
        <v>20</v>
      </c>
      <c r="Q292">
        <v>0</v>
      </c>
      <c r="R292" t="s">
        <v>2465</v>
      </c>
      <c r="S292" s="42" t="str">
        <f>HYPERLINK("https://sklep.kobi.pl/produkt/oslona-do-nina-hb-200w")</f>
        <v>https://sklep.kobi.pl/produkt/oslona-do-nina-hb-200w</v>
      </c>
      <c r="T292" s="42" t="str">
        <f>HYPERLINK("https://eprel.ec.europa.eu/qr/NIE DOTYCZY    ")</f>
        <v xml:space="preserve">https://eprel.ec.europa.eu/qr/NIE DOTYCZY    </v>
      </c>
      <c r="U292">
        <v>0.18</v>
      </c>
      <c r="V292">
        <v>0</v>
      </c>
      <c r="W292">
        <v>0</v>
      </c>
      <c r="X292">
        <v>0</v>
      </c>
      <c r="Y292">
        <v>0</v>
      </c>
    </row>
    <row r="293" spans="1:25" ht="15" x14ac:dyDescent="0.25">
      <c r="A293" t="s">
        <v>22</v>
      </c>
      <c r="B293" t="s">
        <v>72</v>
      </c>
      <c r="C293" t="s">
        <v>52</v>
      </c>
      <c r="D293" t="s">
        <v>961</v>
      </c>
      <c r="E293" t="s">
        <v>2722</v>
      </c>
      <c r="F293" t="s">
        <v>1956</v>
      </c>
      <c r="G293" t="s">
        <v>992</v>
      </c>
      <c r="H293" t="s">
        <v>1</v>
      </c>
      <c r="I293">
        <v>114</v>
      </c>
      <c r="J293" s="41">
        <f>I293/'enter the discount'!$D$7</f>
        <v>26.684144000749029</v>
      </c>
      <c r="K293" s="41">
        <f>J293*(1-IFERROR(VLOOKUP(H293,'enter the discount'!$D$10:$E$40,2,FALSE),0))</f>
        <v>26.684144000749029</v>
      </c>
      <c r="L293" s="43" t="s">
        <v>478</v>
      </c>
      <c r="M293" t="s">
        <v>993</v>
      </c>
      <c r="N293" t="s">
        <v>633</v>
      </c>
      <c r="O293" t="s">
        <v>2723</v>
      </c>
      <c r="P293">
        <v>10</v>
      </c>
      <c r="Q293">
        <v>1000</v>
      </c>
      <c r="R293" t="s">
        <v>2467</v>
      </c>
      <c r="S293" s="42" t="str">
        <f>HYPERLINK("https://sklep.kobi.pl/produkt/uchwyt-do-neo-hb-100w")</f>
        <v>https://sklep.kobi.pl/produkt/uchwyt-do-neo-hb-100w</v>
      </c>
      <c r="T293" t="s">
        <v>14</v>
      </c>
      <c r="U293">
        <v>0.75</v>
      </c>
      <c r="V293"/>
      <c r="W293"/>
      <c r="X293"/>
      <c r="Y293"/>
    </row>
    <row r="294" spans="1:25" ht="15" x14ac:dyDescent="0.25">
      <c r="A294" t="s">
        <v>22</v>
      </c>
      <c r="B294" t="s">
        <v>72</v>
      </c>
      <c r="C294" t="s">
        <v>52</v>
      </c>
      <c r="D294" t="s">
        <v>961</v>
      </c>
      <c r="E294" t="s">
        <v>2722</v>
      </c>
      <c r="F294" t="s">
        <v>1957</v>
      </c>
      <c r="G294" t="s">
        <v>994</v>
      </c>
      <c r="H294" t="s">
        <v>1</v>
      </c>
      <c r="I294">
        <v>114</v>
      </c>
      <c r="J294" s="41">
        <f>I294/'enter the discount'!$D$7</f>
        <v>26.684144000749029</v>
      </c>
      <c r="K294" s="41">
        <f>J294*(1-IFERROR(VLOOKUP(H294,'enter the discount'!$D$10:$E$40,2,FALSE),0))</f>
        <v>26.684144000749029</v>
      </c>
      <c r="L294" s="43" t="s">
        <v>478</v>
      </c>
      <c r="M294" t="s">
        <v>995</v>
      </c>
      <c r="N294" t="s">
        <v>633</v>
      </c>
      <c r="O294" t="s">
        <v>2723</v>
      </c>
      <c r="P294">
        <v>10</v>
      </c>
      <c r="Q294">
        <v>200</v>
      </c>
      <c r="R294" t="s">
        <v>2467</v>
      </c>
      <c r="S294" s="42" t="str">
        <f>HYPERLINK("https://sklep.kobi.pl/produkt/uchwyt-do-neo-hb-150w-200w")</f>
        <v>https://sklep.kobi.pl/produkt/uchwyt-do-neo-hb-150w-200w</v>
      </c>
      <c r="T294" t="s">
        <v>14</v>
      </c>
      <c r="U294">
        <v>1.45</v>
      </c>
      <c r="V294"/>
      <c r="W294">
        <v>200</v>
      </c>
      <c r="X294">
        <v>380</v>
      </c>
      <c r="Y294">
        <v>80</v>
      </c>
    </row>
    <row r="295" spans="1:25" ht="15" x14ac:dyDescent="0.25">
      <c r="A295" t="s">
        <v>22</v>
      </c>
      <c r="B295" t="s">
        <v>72</v>
      </c>
      <c r="C295" t="s">
        <v>52</v>
      </c>
      <c r="D295" t="s">
        <v>111</v>
      </c>
      <c r="E295" t="s">
        <v>2722</v>
      </c>
      <c r="F295" t="s">
        <v>1958</v>
      </c>
      <c r="G295" t="s">
        <v>1246</v>
      </c>
      <c r="H295" t="s">
        <v>1</v>
      </c>
      <c r="I295">
        <v>106.76</v>
      </c>
      <c r="J295" s="41">
        <f>I295/'enter the discount'!$D$7</f>
        <v>24.989466785262866</v>
      </c>
      <c r="K295" s="41">
        <f>J295*(1-IFERROR(VLOOKUP(H295,'enter the discount'!$D$10:$E$40,2,FALSE),0))</f>
        <v>24.989466785262866</v>
      </c>
      <c r="L295" s="43" t="s">
        <v>2549</v>
      </c>
      <c r="M295" t="s">
        <v>1247</v>
      </c>
      <c r="N295" t="s">
        <v>633</v>
      </c>
      <c r="O295" t="s">
        <v>2723</v>
      </c>
      <c r="P295">
        <v>12</v>
      </c>
      <c r="Q295">
        <v>0</v>
      </c>
      <c r="R295" t="s">
        <v>2465</v>
      </c>
      <c r="S295" s="42" t="str">
        <f>HYPERLINK("https://sklep.kobi.pl/produkt/uchwyt-do-nina-hb-100w")</f>
        <v>https://sklep.kobi.pl/produkt/uchwyt-do-nina-hb-100w</v>
      </c>
      <c r="T295" s="42" t="str">
        <f>HYPERLINK("https://eprel.ec.europa.eu/qr/NIE DOTYCZY    ")</f>
        <v xml:space="preserve">https://eprel.ec.europa.eu/qr/NIE DOTYCZY    </v>
      </c>
      <c r="U295">
        <v>0.5</v>
      </c>
      <c r="V295">
        <v>0</v>
      </c>
      <c r="W295">
        <v>0</v>
      </c>
      <c r="X295">
        <v>0</v>
      </c>
      <c r="Y295">
        <v>0</v>
      </c>
    </row>
    <row r="296" spans="1:25" ht="15" x14ac:dyDescent="0.25">
      <c r="A296" t="s">
        <v>22</v>
      </c>
      <c r="B296" t="s">
        <v>72</v>
      </c>
      <c r="C296" t="s">
        <v>52</v>
      </c>
      <c r="D296" t="s">
        <v>111</v>
      </c>
      <c r="E296" t="s">
        <v>14</v>
      </c>
      <c r="F296" t="s">
        <v>1959</v>
      </c>
      <c r="G296" t="s">
        <v>1228</v>
      </c>
      <c r="H296" t="s">
        <v>1</v>
      </c>
      <c r="I296">
        <v>114</v>
      </c>
      <c r="J296" s="41">
        <f>I296/'enter the discount'!$D$7</f>
        <v>26.684144000749029</v>
      </c>
      <c r="K296" s="41">
        <f>J296*(1-IFERROR(VLOOKUP(H296,'enter the discount'!$D$10:$E$40,2,FALSE),0))</f>
        <v>26.684144000749029</v>
      </c>
      <c r="L296" s="43" t="s">
        <v>2549</v>
      </c>
      <c r="M296" t="s">
        <v>1229</v>
      </c>
      <c r="N296" t="s">
        <v>633</v>
      </c>
      <c r="O296" t="s">
        <v>2723</v>
      </c>
      <c r="P296">
        <v>12</v>
      </c>
      <c r="Q296">
        <v>0</v>
      </c>
      <c r="R296" t="s">
        <v>2465</v>
      </c>
      <c r="S296" s="42" t="str">
        <f>HYPERLINK("https://sklep.kobi.pl/produkt/uchwyt-do-nina-hb-150w")</f>
        <v>https://sklep.kobi.pl/produkt/uchwyt-do-nina-hb-150w</v>
      </c>
      <c r="T296" s="42" t="str">
        <f>HYPERLINK("https://eprel.ec.europa.eu/qr/NIE DOTYCZY    ")</f>
        <v xml:space="preserve">https://eprel.ec.europa.eu/qr/NIE DOTYCZY    </v>
      </c>
      <c r="U296">
        <v>0.52</v>
      </c>
      <c r="V296">
        <v>0</v>
      </c>
      <c r="W296">
        <v>0</v>
      </c>
      <c r="X296">
        <v>0</v>
      </c>
      <c r="Y296">
        <v>0</v>
      </c>
    </row>
    <row r="297" spans="1:25" ht="15" x14ac:dyDescent="0.25">
      <c r="A297" t="s">
        <v>22</v>
      </c>
      <c r="B297" t="s">
        <v>72</v>
      </c>
      <c r="C297" t="s">
        <v>52</v>
      </c>
      <c r="D297" t="s">
        <v>111</v>
      </c>
      <c r="E297" t="s">
        <v>14</v>
      </c>
      <c r="F297" t="s">
        <v>1960</v>
      </c>
      <c r="G297" t="s">
        <v>1230</v>
      </c>
      <c r="H297" t="s">
        <v>1</v>
      </c>
      <c r="I297">
        <v>125</v>
      </c>
      <c r="J297" s="41">
        <f>I297/'enter the discount'!$D$7</f>
        <v>29.258929825382708</v>
      </c>
      <c r="K297" s="41">
        <f>J297*(1-IFERROR(VLOOKUP(H297,'enter the discount'!$D$10:$E$40,2,FALSE),0))</f>
        <v>29.258929825382708</v>
      </c>
      <c r="L297" s="43" t="s">
        <v>2549</v>
      </c>
      <c r="M297" t="s">
        <v>1231</v>
      </c>
      <c r="N297" t="s">
        <v>633</v>
      </c>
      <c r="O297" t="s">
        <v>2723</v>
      </c>
      <c r="P297">
        <v>12</v>
      </c>
      <c r="Q297">
        <v>0</v>
      </c>
      <c r="R297" t="s">
        <v>2465</v>
      </c>
      <c r="S297" s="42" t="str">
        <f>HYPERLINK("https://sklep.kobi.pl/produkt/uchwyt-do-nina-hb-200w")</f>
        <v>https://sklep.kobi.pl/produkt/uchwyt-do-nina-hb-200w</v>
      </c>
      <c r="T297" s="42" t="str">
        <f>HYPERLINK("https://eprel.ec.europa.eu/qr/NIE DOTYCZY    ")</f>
        <v xml:space="preserve">https://eprel.ec.europa.eu/qr/NIE DOTYCZY    </v>
      </c>
      <c r="U297">
        <v>0.56999999999999995</v>
      </c>
      <c r="V297">
        <v>0</v>
      </c>
      <c r="W297">
        <v>0</v>
      </c>
      <c r="X297">
        <v>0</v>
      </c>
      <c r="Y297">
        <v>0</v>
      </c>
    </row>
    <row r="298" spans="1:25" ht="15" x14ac:dyDescent="0.25">
      <c r="A298" t="s">
        <v>22</v>
      </c>
      <c r="B298" t="s">
        <v>82</v>
      </c>
      <c r="C298"/>
      <c r="D298" t="s">
        <v>111</v>
      </c>
      <c r="E298" t="s">
        <v>14</v>
      </c>
      <c r="F298" t="s">
        <v>1961</v>
      </c>
      <c r="G298" t="s">
        <v>269</v>
      </c>
      <c r="H298" t="s">
        <v>1</v>
      </c>
      <c r="I298">
        <v>27.75</v>
      </c>
      <c r="J298" s="41">
        <f>I298/'enter the discount'!$D$7</f>
        <v>6.4954824212349616</v>
      </c>
      <c r="K298" s="41">
        <f>J298*(1-IFERROR(VLOOKUP(H298,'enter the discount'!$D$10:$E$40,2,FALSE),0))</f>
        <v>6.4954824212349616</v>
      </c>
      <c r="L298" s="43" t="s">
        <v>2549</v>
      </c>
      <c r="M298" t="s">
        <v>632</v>
      </c>
      <c r="N298" t="s">
        <v>633</v>
      </c>
      <c r="O298" t="s">
        <v>2724</v>
      </c>
      <c r="P298">
        <v>200</v>
      </c>
      <c r="Q298">
        <v>0</v>
      </c>
      <c r="R298" t="s">
        <v>2465</v>
      </c>
      <c r="S298" s="42" t="str">
        <f>HYPERLINK("https://sklep.kobi.pl/produkt/linka-do-panelu-led")</f>
        <v>https://sklep.kobi.pl/produkt/linka-do-panelu-led</v>
      </c>
      <c r="T298" s="42" t="str">
        <f>HYPERLINK("https://eprel.ec.europa.eu/qr/NIE DOTYCZY    ")</f>
        <v xml:space="preserve">https://eprel.ec.europa.eu/qr/NIE DOTYCZY    </v>
      </c>
      <c r="U298">
        <v>9.8000000000000004E-2</v>
      </c>
      <c r="V298">
        <v>0.13100000000000001</v>
      </c>
      <c r="W298">
        <v>50</v>
      </c>
      <c r="X298">
        <v>20</v>
      </c>
      <c r="Y298">
        <v>20</v>
      </c>
    </row>
    <row r="299" spans="1:25" ht="15" x14ac:dyDescent="0.25">
      <c r="A299" t="s">
        <v>22</v>
      </c>
      <c r="B299" t="s">
        <v>82</v>
      </c>
      <c r="C299"/>
      <c r="D299" t="s">
        <v>111</v>
      </c>
      <c r="E299" t="s">
        <v>14</v>
      </c>
      <c r="F299" t="s">
        <v>1962</v>
      </c>
      <c r="G299" t="s">
        <v>270</v>
      </c>
      <c r="H299" t="s">
        <v>1</v>
      </c>
      <c r="I299">
        <v>56</v>
      </c>
      <c r="J299" s="41">
        <f>I299/'enter the discount'!$D$7</f>
        <v>13.108000561771453</v>
      </c>
      <c r="K299" s="41">
        <f>J299*(1-IFERROR(VLOOKUP(H299,'enter the discount'!$D$10:$E$40,2,FALSE),0))</f>
        <v>13.108000561771453</v>
      </c>
      <c r="L299" s="43" t="s">
        <v>2549</v>
      </c>
      <c r="M299" t="s">
        <v>634</v>
      </c>
      <c r="N299" t="s">
        <v>633</v>
      </c>
      <c r="O299" t="s">
        <v>2723</v>
      </c>
      <c r="P299">
        <v>20</v>
      </c>
      <c r="Q299">
        <v>0</v>
      </c>
      <c r="R299" t="s">
        <v>2465</v>
      </c>
      <c r="S299" s="42" t="str">
        <f>HYPERLINK("https://sklep.kobi.pl/produkt/ramka-nt-do-panelu-led-30x120-klik")</f>
        <v>https://sklep.kobi.pl/produkt/ramka-nt-do-panelu-led-30x120-klik</v>
      </c>
      <c r="T299" s="42" t="str">
        <f>HYPERLINK("https://eprel.ec.europa.eu/qr/NIE DOTYCZY    ")</f>
        <v xml:space="preserve">https://eprel.ec.europa.eu/qr/NIE DOTYCZY    </v>
      </c>
      <c r="U299">
        <v>0.7</v>
      </c>
      <c r="V299">
        <v>0.73</v>
      </c>
      <c r="W299">
        <v>1200</v>
      </c>
      <c r="X299">
        <v>40</v>
      </c>
      <c r="Y299">
        <v>65</v>
      </c>
    </row>
    <row r="300" spans="1:25" ht="15" x14ac:dyDescent="0.25">
      <c r="A300" t="s">
        <v>22</v>
      </c>
      <c r="B300" t="s">
        <v>82</v>
      </c>
      <c r="C300"/>
      <c r="D300" t="s">
        <v>111</v>
      </c>
      <c r="E300" t="s">
        <v>14</v>
      </c>
      <c r="F300" t="s">
        <v>1963</v>
      </c>
      <c r="G300" t="s">
        <v>271</v>
      </c>
      <c r="H300" t="s">
        <v>1</v>
      </c>
      <c r="I300">
        <v>42</v>
      </c>
      <c r="J300" s="41">
        <f>I300/'enter the discount'!$D$7</f>
        <v>9.8310004213285893</v>
      </c>
      <c r="K300" s="41">
        <f>J300*(1-IFERROR(VLOOKUP(H300,'enter the discount'!$D$10:$E$40,2,FALSE),0))</f>
        <v>9.8310004213285893</v>
      </c>
      <c r="L300" s="43" t="s">
        <v>2549</v>
      </c>
      <c r="M300" t="s">
        <v>635</v>
      </c>
      <c r="N300" t="s">
        <v>633</v>
      </c>
      <c r="O300" t="s">
        <v>2723</v>
      </c>
      <c r="P300">
        <v>20</v>
      </c>
      <c r="Q300">
        <v>800</v>
      </c>
      <c r="R300" t="s">
        <v>2465</v>
      </c>
      <c r="S300" s="42" t="str">
        <f>HYPERLINK("https://sklep.kobi.pl/produkt/ramka-45mm-do-panelu-led-30x60-klik")</f>
        <v>https://sklep.kobi.pl/produkt/ramka-45mm-do-panelu-led-30x60-klik</v>
      </c>
      <c r="T300" s="42" t="str">
        <f>HYPERLINK("https://eprel.ec.europa.eu/qr/NIE DOTYCZY    ")</f>
        <v xml:space="preserve">https://eprel.ec.europa.eu/qr/NIE DOTYCZY    </v>
      </c>
      <c r="U300">
        <v>0.30499999999999999</v>
      </c>
      <c r="V300">
        <v>0.32</v>
      </c>
      <c r="W300">
        <v>600</v>
      </c>
      <c r="X300">
        <v>50</v>
      </c>
      <c r="Y300">
        <v>50</v>
      </c>
    </row>
    <row r="301" spans="1:25" ht="15" x14ac:dyDescent="0.25">
      <c r="A301" t="s">
        <v>22</v>
      </c>
      <c r="B301" t="s">
        <v>82</v>
      </c>
      <c r="C301"/>
      <c r="D301" t="s">
        <v>111</v>
      </c>
      <c r="E301" t="s">
        <v>14</v>
      </c>
      <c r="F301" t="s">
        <v>1964</v>
      </c>
      <c r="G301" t="s">
        <v>272</v>
      </c>
      <c r="H301" t="s">
        <v>1</v>
      </c>
      <c r="I301">
        <v>47.4</v>
      </c>
      <c r="J301" s="41">
        <f>I301/'enter the discount'!$D$7</f>
        <v>11.094986189785123</v>
      </c>
      <c r="K301" s="41">
        <f>J301*(1-IFERROR(VLOOKUP(H301,'enter the discount'!$D$10:$E$40,2,FALSE),0))</f>
        <v>11.094986189785123</v>
      </c>
      <c r="L301" s="43" t="s">
        <v>2549</v>
      </c>
      <c r="M301" t="s">
        <v>636</v>
      </c>
      <c r="N301" t="s">
        <v>633</v>
      </c>
      <c r="O301" t="s">
        <v>2723</v>
      </c>
      <c r="P301">
        <v>20</v>
      </c>
      <c r="Q301">
        <v>800</v>
      </c>
      <c r="R301" t="s">
        <v>2465</v>
      </c>
      <c r="S301" s="42" t="str">
        <f>HYPERLINK("https://sklep.kobi.pl/produkt/ramka-nt-do-panelu-led-60x60-klik")</f>
        <v>https://sklep.kobi.pl/produkt/ramka-nt-do-panelu-led-60x60-klik</v>
      </c>
      <c r="T301" s="42" t="str">
        <f>HYPERLINK("https://eprel.ec.europa.eu/qr/NIE DOTYCZY    ")</f>
        <v xml:space="preserve">https://eprel.ec.europa.eu/qr/NIE DOTYCZY    </v>
      </c>
      <c r="U301">
        <v>0.39</v>
      </c>
      <c r="V301">
        <v>0.6</v>
      </c>
      <c r="W301">
        <v>600</v>
      </c>
      <c r="X301">
        <v>40</v>
      </c>
      <c r="Y301">
        <v>65</v>
      </c>
    </row>
    <row r="302" spans="1:25" ht="15" x14ac:dyDescent="0.25">
      <c r="A302" t="s">
        <v>22</v>
      </c>
      <c r="B302" t="s">
        <v>82</v>
      </c>
      <c r="C302"/>
      <c r="D302" t="s">
        <v>111</v>
      </c>
      <c r="E302" t="s">
        <v>14</v>
      </c>
      <c r="F302" t="s">
        <v>1965</v>
      </c>
      <c r="G302" t="s">
        <v>273</v>
      </c>
      <c r="H302" t="s">
        <v>1</v>
      </c>
      <c r="I302">
        <v>82</v>
      </c>
      <c r="J302" s="41">
        <f>I302/'enter the discount'!$D$7</f>
        <v>19.193857965451055</v>
      </c>
      <c r="K302" s="41">
        <f>J302*(1-IFERROR(VLOOKUP(H302,'enter the discount'!$D$10:$E$40,2,FALSE),0))</f>
        <v>19.193857965451055</v>
      </c>
      <c r="L302" s="43" t="s">
        <v>2549</v>
      </c>
      <c r="M302" t="s">
        <v>637</v>
      </c>
      <c r="N302" t="s">
        <v>633</v>
      </c>
      <c r="O302" t="s">
        <v>2723</v>
      </c>
      <c r="P302">
        <v>20</v>
      </c>
      <c r="Q302">
        <v>360</v>
      </c>
      <c r="R302" t="s">
        <v>2465</v>
      </c>
      <c r="S302" s="42" t="str">
        <f>HYPERLINK("https://sklep.kobi.pl/produkt/ramka-nt-do-panelu-led-30x120")</f>
        <v>https://sklep.kobi.pl/produkt/ramka-nt-do-panelu-led-30x120</v>
      </c>
      <c r="T302" s="42" t="str">
        <f>HYPERLINK("https://eprel.ec.europa.eu/qr/NIE DOTYCZY    ")</f>
        <v xml:space="preserve">https://eprel.ec.europa.eu/qr/NIE DOTYCZY    </v>
      </c>
      <c r="U302">
        <v>0.78700000000000003</v>
      </c>
      <c r="V302">
        <v>0.82</v>
      </c>
      <c r="W302">
        <v>1200</v>
      </c>
      <c r="X302">
        <v>65</v>
      </c>
      <c r="Y302">
        <v>40</v>
      </c>
    </row>
    <row r="303" spans="1:25" ht="15" x14ac:dyDescent="0.25">
      <c r="A303" t="s">
        <v>22</v>
      </c>
      <c r="B303" t="s">
        <v>82</v>
      </c>
      <c r="C303"/>
      <c r="D303" t="s">
        <v>111</v>
      </c>
      <c r="E303" t="s">
        <v>14</v>
      </c>
      <c r="F303" t="s">
        <v>1966</v>
      </c>
      <c r="G303" t="s">
        <v>274</v>
      </c>
      <c r="H303" t="s">
        <v>1</v>
      </c>
      <c r="I303">
        <v>60.64</v>
      </c>
      <c r="J303" s="41">
        <f>I303/'enter the discount'!$D$7</f>
        <v>14.194092036889659</v>
      </c>
      <c r="K303" s="41">
        <f>J303*(1-IFERROR(VLOOKUP(H303,'enter the discount'!$D$10:$E$40,2,FALSE),0))</f>
        <v>14.194092036889659</v>
      </c>
      <c r="L303" s="43" t="s">
        <v>2549</v>
      </c>
      <c r="M303" t="s">
        <v>638</v>
      </c>
      <c r="N303" t="s">
        <v>633</v>
      </c>
      <c r="O303" t="s">
        <v>2723</v>
      </c>
      <c r="P303">
        <v>20</v>
      </c>
      <c r="Q303">
        <v>500</v>
      </c>
      <c r="R303" t="s">
        <v>2465</v>
      </c>
      <c r="S303" s="42" t="str">
        <f>HYPERLINK("https://sklep.kobi.pl/produkt/ramka-nt-do-panelu-led-60x60")</f>
        <v>https://sklep.kobi.pl/produkt/ramka-nt-do-panelu-led-60x60</v>
      </c>
      <c r="T303" s="42" t="str">
        <f>HYPERLINK("https://eprel.ec.europa.eu/qr/NIE DOTYCZY    ")</f>
        <v xml:space="preserve">https://eprel.ec.europa.eu/qr/NIE DOTYCZY    </v>
      </c>
      <c r="U303">
        <v>0.65</v>
      </c>
      <c r="V303">
        <v>0.61199999999999999</v>
      </c>
      <c r="W303">
        <v>600</v>
      </c>
      <c r="X303">
        <v>65</v>
      </c>
      <c r="Y303">
        <v>40</v>
      </c>
    </row>
    <row r="304" spans="1:25" ht="15" x14ac:dyDescent="0.25">
      <c r="A304" t="s">
        <v>22</v>
      </c>
      <c r="B304" t="s">
        <v>82</v>
      </c>
      <c r="C304"/>
      <c r="D304" t="s">
        <v>111</v>
      </c>
      <c r="E304" t="s">
        <v>14</v>
      </c>
      <c r="F304" t="s">
        <v>1967</v>
      </c>
      <c r="G304" t="s">
        <v>275</v>
      </c>
      <c r="H304" t="s">
        <v>1</v>
      </c>
      <c r="I304">
        <v>27.61</v>
      </c>
      <c r="J304" s="41">
        <f>I304/'enter the discount'!$D$7</f>
        <v>6.4627124198305328</v>
      </c>
      <c r="K304" s="41">
        <f>J304*(1-IFERROR(VLOOKUP(H304,'enter the discount'!$D$10:$E$40,2,FALSE),0))</f>
        <v>6.4627124198305328</v>
      </c>
      <c r="L304" s="43" t="s">
        <v>2549</v>
      </c>
      <c r="M304" t="s">
        <v>639</v>
      </c>
      <c r="N304" t="s">
        <v>633</v>
      </c>
      <c r="O304" t="s">
        <v>2724</v>
      </c>
      <c r="P304">
        <v>250</v>
      </c>
      <c r="Q304">
        <v>0</v>
      </c>
      <c r="R304" t="s">
        <v>2465</v>
      </c>
      <c r="S304" s="42" t="str">
        <f>HYPERLINK("https://sklep.kobi.pl/produkt/uchwyty-do-kartongipsu-nelio")</f>
        <v>https://sklep.kobi.pl/produkt/uchwyty-do-kartongipsu-nelio</v>
      </c>
      <c r="T304" s="42" t="str">
        <f>HYPERLINK("https://eprel.ec.europa.eu/qr/NIE DOTYCZY    ")</f>
        <v xml:space="preserve">https://eprel.ec.europa.eu/qr/NIE DOTYCZY    </v>
      </c>
      <c r="U304">
        <v>5.6000000000000001E-2</v>
      </c>
      <c r="V304">
        <v>0.06</v>
      </c>
      <c r="W304">
        <v>30</v>
      </c>
      <c r="X304">
        <v>70</v>
      </c>
      <c r="Y304">
        <v>110</v>
      </c>
    </row>
    <row r="305" spans="1:25" ht="15" x14ac:dyDescent="0.25">
      <c r="A305" t="s">
        <v>22</v>
      </c>
      <c r="B305" t="s">
        <v>82</v>
      </c>
      <c r="C305"/>
      <c r="D305" t="s">
        <v>111</v>
      </c>
      <c r="E305" t="s">
        <v>14</v>
      </c>
      <c r="F305" t="s">
        <v>1967</v>
      </c>
      <c r="G305" t="s">
        <v>276</v>
      </c>
      <c r="H305" t="s">
        <v>1</v>
      </c>
      <c r="I305">
        <v>30.84</v>
      </c>
      <c r="J305" s="41">
        <f>I305/'enter the discount'!$D$7</f>
        <v>7.2187631665184222</v>
      </c>
      <c r="K305" s="41">
        <f>J305*(1-IFERROR(VLOOKUP(H305,'enter the discount'!$D$10:$E$40,2,FALSE),0))</f>
        <v>7.2187631665184222</v>
      </c>
      <c r="L305" s="43" t="s">
        <v>2549</v>
      </c>
      <c r="M305" t="s">
        <v>640</v>
      </c>
      <c r="N305" t="s">
        <v>633</v>
      </c>
      <c r="O305" t="s">
        <v>2724</v>
      </c>
      <c r="P305">
        <v>150</v>
      </c>
      <c r="Q305">
        <v>0</v>
      </c>
      <c r="R305" t="s">
        <v>2465</v>
      </c>
      <c r="S305" s="42" t="str">
        <f>HYPERLINK("https://sklep.kobi.pl/produkt/uchwyty-do-kartongipsu-nelio-30x120")</f>
        <v>https://sklep.kobi.pl/produkt/uchwyty-do-kartongipsu-nelio-30x120</v>
      </c>
      <c r="T305" s="42" t="str">
        <f>HYPERLINK("https://eprel.ec.europa.eu/qr/NIE DOTYCZY    ")</f>
        <v xml:space="preserve">https://eprel.ec.europa.eu/qr/NIE DOTYCZY    </v>
      </c>
      <c r="U305">
        <v>8.5999999999999993E-2</v>
      </c>
      <c r="V305">
        <v>0.1</v>
      </c>
      <c r="W305">
        <v>40</v>
      </c>
      <c r="X305">
        <v>86</v>
      </c>
      <c r="Y305">
        <v>140</v>
      </c>
    </row>
    <row r="306" spans="1:25" ht="15" x14ac:dyDescent="0.25">
      <c r="A306" t="s">
        <v>22</v>
      </c>
      <c r="B306" t="s">
        <v>82</v>
      </c>
      <c r="C306"/>
      <c r="D306" t="s">
        <v>111</v>
      </c>
      <c r="E306" t="s">
        <v>14</v>
      </c>
      <c r="F306" t="s">
        <v>1966</v>
      </c>
      <c r="G306" t="s">
        <v>1386</v>
      </c>
      <c r="H306" t="s">
        <v>1</v>
      </c>
      <c r="I306">
        <v>69.69</v>
      </c>
      <c r="J306" s="41">
        <f>I306/'enter the discount'!$D$7</f>
        <v>16.312438556247368</v>
      </c>
      <c r="K306" s="41">
        <f>J306*(1-IFERROR(VLOOKUP(H306,'enter the discount'!$D$10:$E$40,2,FALSE),0))</f>
        <v>16.312438556247368</v>
      </c>
      <c r="L306" s="43" t="s">
        <v>2549</v>
      </c>
      <c r="M306" t="s">
        <v>1387</v>
      </c>
      <c r="N306" t="s">
        <v>633</v>
      </c>
      <c r="O306" t="s">
        <v>2723</v>
      </c>
      <c r="P306">
        <v>20</v>
      </c>
      <c r="Q306">
        <v>500</v>
      </c>
      <c r="R306" t="s">
        <v>2465</v>
      </c>
      <c r="S306" s="42" t="str">
        <f>HYPERLINK("https://sklep.kobi.pl/produkt/ramka-63mm-do-panelu-led-60x60-klik-czar")</f>
        <v>https://sklep.kobi.pl/produkt/ramka-63mm-do-panelu-led-60x60-klik-czar</v>
      </c>
      <c r="T306" s="42" t="str">
        <f>HYPERLINK("https://eprel.ec.europa.eu/qr/NIE DOTYCZY    ")</f>
        <v xml:space="preserve">https://eprel.ec.europa.eu/qr/NIE DOTYCZY    </v>
      </c>
      <c r="U306">
        <v>0.65</v>
      </c>
      <c r="V306">
        <v>0.61199999999999999</v>
      </c>
      <c r="W306">
        <v>600</v>
      </c>
      <c r="X306">
        <v>65</v>
      </c>
      <c r="Y306">
        <v>40</v>
      </c>
    </row>
    <row r="307" spans="1:25" ht="15" x14ac:dyDescent="0.25">
      <c r="A307" t="s">
        <v>22</v>
      </c>
      <c r="B307" t="s">
        <v>82</v>
      </c>
      <c r="C307"/>
      <c r="D307" t="s">
        <v>111</v>
      </c>
      <c r="E307" t="s">
        <v>14</v>
      </c>
      <c r="F307" t="s">
        <v>1968</v>
      </c>
      <c r="G307" t="s">
        <v>1388</v>
      </c>
      <c r="H307" t="s">
        <v>1</v>
      </c>
      <c r="I307">
        <v>76</v>
      </c>
      <c r="J307" s="41">
        <f>I307/'enter the discount'!$D$7</f>
        <v>17.789429333832686</v>
      </c>
      <c r="K307" s="41">
        <f>J307*(1-IFERROR(VLOOKUP(H307,'enter the discount'!$D$10:$E$40,2,FALSE),0))</f>
        <v>17.789429333832686</v>
      </c>
      <c r="L307" s="43" t="s">
        <v>2549</v>
      </c>
      <c r="M307" t="s">
        <v>1389</v>
      </c>
      <c r="N307" t="s">
        <v>633</v>
      </c>
      <c r="O307" t="s">
        <v>2723</v>
      </c>
      <c r="P307">
        <v>20</v>
      </c>
      <c r="Q307">
        <v>0</v>
      </c>
      <c r="R307" t="s">
        <v>2465</v>
      </c>
      <c r="S307"/>
      <c r="T307" s="42" t="str">
        <f>HYPERLINK("https://eprel.ec.europa.eu/qr/NIE DOTYCZY    ")</f>
        <v xml:space="preserve">https://eprel.ec.europa.eu/qr/NIE DOTYCZY    </v>
      </c>
      <c r="U307">
        <v>0.65</v>
      </c>
      <c r="V307">
        <v>0</v>
      </c>
      <c r="W307">
        <v>0</v>
      </c>
      <c r="X307">
        <v>0</v>
      </c>
      <c r="Y307">
        <v>0</v>
      </c>
    </row>
    <row r="308" spans="1:25" ht="15" x14ac:dyDescent="0.25">
      <c r="A308" t="s">
        <v>22</v>
      </c>
      <c r="B308" t="s">
        <v>82</v>
      </c>
      <c r="C308"/>
      <c r="D308" t="s">
        <v>111</v>
      </c>
      <c r="E308" t="s">
        <v>14</v>
      </c>
      <c r="F308" t="s">
        <v>14</v>
      </c>
      <c r="G308" t="s">
        <v>1630</v>
      </c>
      <c r="H308" t="s">
        <v>1</v>
      </c>
      <c r="I308">
        <v>44</v>
      </c>
      <c r="J308" s="41">
        <f>I308/'enter the discount'!$D$7</f>
        <v>10.299143298534714</v>
      </c>
      <c r="K308" s="41">
        <f>J308*(1-IFERROR(VLOOKUP(H308,'enter the discount'!$D$10:$E$40,2,FALSE),0))</f>
        <v>10.299143298534714</v>
      </c>
      <c r="L308" s="43" t="s">
        <v>478</v>
      </c>
      <c r="M308" t="s">
        <v>1631</v>
      </c>
      <c r="N308" t="s">
        <v>1256</v>
      </c>
      <c r="O308" t="s">
        <v>2723</v>
      </c>
      <c r="P308">
        <v>1</v>
      </c>
      <c r="Q308">
        <v>0</v>
      </c>
      <c r="R308" t="s">
        <v>2467</v>
      </c>
      <c r="S308" s="42" t="str">
        <f>HYPERLINK("https://sklep.kobi.pl/produkt/zasilacz-lf-gif040ys900h-lifud")</f>
        <v>https://sklep.kobi.pl/produkt/zasilacz-lf-gif040ys900h-lifud</v>
      </c>
      <c r="T308" t="s">
        <v>14</v>
      </c>
      <c r="U308">
        <v>0.1</v>
      </c>
      <c r="V308">
        <v>0</v>
      </c>
      <c r="W308">
        <v>0</v>
      </c>
      <c r="X308">
        <v>0</v>
      </c>
      <c r="Y308">
        <v>0</v>
      </c>
    </row>
    <row r="309" spans="1:25" ht="15" x14ac:dyDescent="0.25">
      <c r="A309" t="s">
        <v>22</v>
      </c>
      <c r="B309" t="s">
        <v>82</v>
      </c>
      <c r="C309"/>
      <c r="D309" t="s">
        <v>111</v>
      </c>
      <c r="E309" t="s">
        <v>14</v>
      </c>
      <c r="F309" t="s">
        <v>14</v>
      </c>
      <c r="G309" t="s">
        <v>1632</v>
      </c>
      <c r="H309" t="s">
        <v>1</v>
      </c>
      <c r="I309">
        <v>45</v>
      </c>
      <c r="J309" s="41">
        <f>I309/'enter the discount'!$D$7</f>
        <v>10.533214737137776</v>
      </c>
      <c r="K309" s="41">
        <f>J309*(1-IFERROR(VLOOKUP(H309,'enter the discount'!$D$10:$E$40,2,FALSE),0))</f>
        <v>10.533214737137776</v>
      </c>
      <c r="L309" s="43" t="s">
        <v>478</v>
      </c>
      <c r="M309" t="s">
        <v>1633</v>
      </c>
      <c r="N309" t="s">
        <v>2469</v>
      </c>
      <c r="O309" t="s">
        <v>2723</v>
      </c>
      <c r="P309">
        <v>1</v>
      </c>
      <c r="Q309">
        <v>0</v>
      </c>
      <c r="R309" t="s">
        <v>2467</v>
      </c>
      <c r="S309" s="42" t="str">
        <f>HYPERLINK("https://sklep.kobi.pl/produkt/zasilacz-lf-gif040ys1000h-lifud")</f>
        <v>https://sklep.kobi.pl/produkt/zasilacz-lf-gif040ys1000h-lifud</v>
      </c>
      <c r="T309" t="s">
        <v>14</v>
      </c>
      <c r="U309">
        <v>0.1</v>
      </c>
      <c r="V309">
        <v>0</v>
      </c>
      <c r="W309">
        <v>0</v>
      </c>
      <c r="X309">
        <v>0</v>
      </c>
      <c r="Y309">
        <v>0</v>
      </c>
    </row>
    <row r="310" spans="1:25" ht="15" x14ac:dyDescent="0.25">
      <c r="A310" t="s">
        <v>22</v>
      </c>
      <c r="B310" t="s">
        <v>82</v>
      </c>
      <c r="C310"/>
      <c r="D310" t="s">
        <v>111</v>
      </c>
      <c r="E310" t="s">
        <v>14</v>
      </c>
      <c r="F310" t="s">
        <v>14</v>
      </c>
      <c r="G310" t="s">
        <v>1634</v>
      </c>
      <c r="H310" t="s">
        <v>1</v>
      </c>
      <c r="I310">
        <v>215</v>
      </c>
      <c r="J310" s="41">
        <f>I310/'enter the discount'!$D$7</f>
        <v>50.32535929965826</v>
      </c>
      <c r="K310" s="41">
        <f>J310*(1-IFERROR(VLOOKUP(H310,'enter the discount'!$D$10:$E$40,2,FALSE),0))</f>
        <v>50.32535929965826</v>
      </c>
      <c r="L310" s="43" t="s">
        <v>478</v>
      </c>
      <c r="M310" t="s">
        <v>1635</v>
      </c>
      <c r="N310" t="s">
        <v>1256</v>
      </c>
      <c r="O310" t="s">
        <v>2723</v>
      </c>
      <c r="P310">
        <v>1</v>
      </c>
      <c r="Q310">
        <v>0</v>
      </c>
      <c r="R310" t="s">
        <v>2467</v>
      </c>
      <c r="S310" s="42" t="str">
        <f>HYPERLINK("https://sklep.kobi.pl/produkt/zasilacz-lf-gsd020yc-lifud-dali")</f>
        <v>https://sklep.kobi.pl/produkt/zasilacz-lf-gsd020yc-lifud-dali</v>
      </c>
      <c r="T310" t="s">
        <v>14</v>
      </c>
      <c r="U310">
        <v>0.13</v>
      </c>
      <c r="V310">
        <v>0</v>
      </c>
      <c r="W310">
        <v>0</v>
      </c>
      <c r="X310">
        <v>0</v>
      </c>
      <c r="Y310">
        <v>0</v>
      </c>
    </row>
    <row r="311" spans="1:25" ht="15" x14ac:dyDescent="0.25">
      <c r="A311" t="s">
        <v>22</v>
      </c>
      <c r="B311" t="s">
        <v>71</v>
      </c>
      <c r="C311"/>
      <c r="D311" t="s">
        <v>112</v>
      </c>
      <c r="E311" t="s">
        <v>2722</v>
      </c>
      <c r="F311" t="s">
        <v>1969</v>
      </c>
      <c r="G311" t="s">
        <v>1404</v>
      </c>
      <c r="H311" t="s">
        <v>882</v>
      </c>
      <c r="I311">
        <v>41</v>
      </c>
      <c r="J311" s="41">
        <f>I311/'enter the discount'!$D$7</f>
        <v>9.5969289827255277</v>
      </c>
      <c r="K311" s="41">
        <f>J311*(1-IFERROR(VLOOKUP(H311,'enter the discount'!$D$10:$E$40,2,FALSE),0))</f>
        <v>9.5969289827255277</v>
      </c>
      <c r="L311" s="43" t="s">
        <v>2549</v>
      </c>
      <c r="M311" t="s">
        <v>1405</v>
      </c>
      <c r="N311" t="s">
        <v>931</v>
      </c>
      <c r="O311" t="s">
        <v>2723</v>
      </c>
      <c r="P311">
        <v>10</v>
      </c>
      <c r="Q311">
        <v>180</v>
      </c>
      <c r="R311" t="s">
        <v>2465</v>
      </c>
      <c r="S311" s="42" t="str">
        <f>HYPERLINK("https://sklep.kobi.pl/produkt/led-hermes-2x120-led2b")</f>
        <v>https://sklep.kobi.pl/produkt/led-hermes-2x120-led2b</v>
      </c>
      <c r="T311" s="42" t="str">
        <f>HYPERLINK("https://eprel.ec.europa.eu/qr/NIE DOTYCZY    ")</f>
        <v xml:space="preserve">https://eprel.ec.europa.eu/qr/NIE DOTYCZY    </v>
      </c>
      <c r="U311">
        <v>0.83</v>
      </c>
      <c r="V311">
        <v>0.86099999999999999</v>
      </c>
      <c r="W311">
        <v>115</v>
      </c>
      <c r="X311">
        <v>45</v>
      </c>
      <c r="Y311">
        <v>1300</v>
      </c>
    </row>
    <row r="312" spans="1:25" ht="15" x14ac:dyDescent="0.25">
      <c r="A312" t="s">
        <v>22</v>
      </c>
      <c r="B312" t="s">
        <v>71</v>
      </c>
      <c r="C312"/>
      <c r="D312" t="s">
        <v>111</v>
      </c>
      <c r="E312" t="s">
        <v>14</v>
      </c>
      <c r="F312" t="s">
        <v>1970</v>
      </c>
      <c r="G312" t="s">
        <v>277</v>
      </c>
      <c r="H312" t="s">
        <v>882</v>
      </c>
      <c r="I312">
        <v>36.5</v>
      </c>
      <c r="J312" s="41">
        <f>I312/'enter the discount'!$D$7</f>
        <v>8.5436075090117516</v>
      </c>
      <c r="K312" s="41">
        <f>J312*(1-IFERROR(VLOOKUP(H312,'enter the discount'!$D$10:$E$40,2,FALSE),0))</f>
        <v>8.5436075090117516</v>
      </c>
      <c r="L312" s="43" t="s">
        <v>2549</v>
      </c>
      <c r="M312" t="s">
        <v>641</v>
      </c>
      <c r="N312" t="s">
        <v>931</v>
      </c>
      <c r="O312" t="s">
        <v>2723</v>
      </c>
      <c r="P312">
        <v>18</v>
      </c>
      <c r="Q312">
        <v>360</v>
      </c>
      <c r="R312" t="s">
        <v>2465</v>
      </c>
      <c r="S312" s="42" t="str">
        <f>HYPERLINK("https://sklep.kobi.pl/produkt/led-hermetic-1x60")</f>
        <v>https://sklep.kobi.pl/produkt/led-hermetic-1x60</v>
      </c>
      <c r="T312" s="42" t="str">
        <f>HYPERLINK("https://eprel.ec.europa.eu/qr/NIE DOTYCZY    ")</f>
        <v xml:space="preserve">https://eprel.ec.europa.eu/qr/NIE DOTYCZY    </v>
      </c>
      <c r="U312">
        <v>0.31900000000000001</v>
      </c>
      <c r="V312">
        <v>0.41299999999999998</v>
      </c>
      <c r="W312">
        <v>60</v>
      </c>
      <c r="X312">
        <v>705</v>
      </c>
      <c r="Y312">
        <v>75</v>
      </c>
    </row>
    <row r="313" spans="1:25" ht="15" x14ac:dyDescent="0.25">
      <c r="A313" t="s">
        <v>22</v>
      </c>
      <c r="B313" t="s">
        <v>71</v>
      </c>
      <c r="C313"/>
      <c r="D313" t="s">
        <v>111</v>
      </c>
      <c r="E313" t="s">
        <v>14</v>
      </c>
      <c r="F313" t="s">
        <v>1971</v>
      </c>
      <c r="G313" t="s">
        <v>278</v>
      </c>
      <c r="H313" t="s">
        <v>882</v>
      </c>
      <c r="I313">
        <v>45.85</v>
      </c>
      <c r="J313" s="41">
        <f>I313/'enter the discount'!$D$7</f>
        <v>10.732175459950378</v>
      </c>
      <c r="K313" s="41">
        <f>J313*(1-IFERROR(VLOOKUP(H313,'enter the discount'!$D$10:$E$40,2,FALSE),0))</f>
        <v>10.732175459950378</v>
      </c>
      <c r="L313" s="43" t="s">
        <v>2549</v>
      </c>
      <c r="M313" t="s">
        <v>642</v>
      </c>
      <c r="N313" t="s">
        <v>931</v>
      </c>
      <c r="O313" t="s">
        <v>2723</v>
      </c>
      <c r="P313">
        <v>12</v>
      </c>
      <c r="Q313">
        <v>216</v>
      </c>
      <c r="R313" t="s">
        <v>2465</v>
      </c>
      <c r="S313" s="42" t="str">
        <f>HYPERLINK("https://sklep.kobi.pl/produkt/led-hermetic-1x120")</f>
        <v>https://sklep.kobi.pl/produkt/led-hermetic-1x120</v>
      </c>
      <c r="T313" s="42" t="str">
        <f>HYPERLINK("https://eprel.ec.europa.eu/qr/NIE DOTYCZY    ")</f>
        <v xml:space="preserve">https://eprel.ec.europa.eu/qr/NIE DOTYCZY    </v>
      </c>
      <c r="U313">
        <v>0.56299999999999994</v>
      </c>
      <c r="V313">
        <v>0.70199999999999996</v>
      </c>
      <c r="W313">
        <v>60</v>
      </c>
      <c r="X313">
        <v>1308</v>
      </c>
      <c r="Y313">
        <v>75</v>
      </c>
    </row>
    <row r="314" spans="1:25" ht="15" x14ac:dyDescent="0.25">
      <c r="A314" t="s">
        <v>22</v>
      </c>
      <c r="B314" t="s">
        <v>71</v>
      </c>
      <c r="C314"/>
      <c r="D314" t="s">
        <v>111</v>
      </c>
      <c r="E314" t="s">
        <v>14</v>
      </c>
      <c r="F314" t="s">
        <v>1972</v>
      </c>
      <c r="G314" t="s">
        <v>279</v>
      </c>
      <c r="H314" t="s">
        <v>882</v>
      </c>
      <c r="I314">
        <v>55.94</v>
      </c>
      <c r="J314" s="41">
        <f>I314/'enter the discount'!$D$7</f>
        <v>13.09395627545527</v>
      </c>
      <c r="K314" s="41">
        <f>J314*(1-IFERROR(VLOOKUP(H314,'enter the discount'!$D$10:$E$40,2,FALSE),0))</f>
        <v>13.09395627545527</v>
      </c>
      <c r="L314" s="43" t="s">
        <v>2549</v>
      </c>
      <c r="M314" t="s">
        <v>643</v>
      </c>
      <c r="N314" t="s">
        <v>931</v>
      </c>
      <c r="O314" t="s">
        <v>2723</v>
      </c>
      <c r="P314">
        <v>12</v>
      </c>
      <c r="Q314">
        <v>180</v>
      </c>
      <c r="R314" t="s">
        <v>2465</v>
      </c>
      <c r="S314" s="42" t="str">
        <f>HYPERLINK("https://sklep.kobi.pl/produkt/led-hermetic-1x150")</f>
        <v>https://sklep.kobi.pl/produkt/led-hermetic-1x150</v>
      </c>
      <c r="T314" s="42" t="str">
        <f>HYPERLINK("https://eprel.ec.europa.eu/qr/NIE DOTYCZY    ")</f>
        <v xml:space="preserve">https://eprel.ec.europa.eu/qr/NIE DOTYCZY    </v>
      </c>
      <c r="U314">
        <v>0.67700000000000005</v>
      </c>
      <c r="V314">
        <v>0.84299999999999997</v>
      </c>
      <c r="W314">
        <v>63</v>
      </c>
      <c r="X314">
        <v>1615</v>
      </c>
      <c r="Y314">
        <v>70</v>
      </c>
    </row>
    <row r="315" spans="1:25" ht="15" x14ac:dyDescent="0.25">
      <c r="A315" t="s">
        <v>22</v>
      </c>
      <c r="B315" t="s">
        <v>71</v>
      </c>
      <c r="C315"/>
      <c r="D315" t="s">
        <v>111</v>
      </c>
      <c r="E315" t="s">
        <v>14</v>
      </c>
      <c r="F315" t="s">
        <v>1973</v>
      </c>
      <c r="G315" t="s">
        <v>280</v>
      </c>
      <c r="H315" t="s">
        <v>882</v>
      </c>
      <c r="I315">
        <v>55.4</v>
      </c>
      <c r="J315" s="41">
        <f>I315/'enter the discount'!$D$7</f>
        <v>12.967557698609616</v>
      </c>
      <c r="K315" s="41">
        <f>J315*(1-IFERROR(VLOOKUP(H315,'enter the discount'!$D$10:$E$40,2,FALSE),0))</f>
        <v>12.967557698609616</v>
      </c>
      <c r="L315" s="43" t="s">
        <v>2549</v>
      </c>
      <c r="M315" t="s">
        <v>644</v>
      </c>
      <c r="N315" t="s">
        <v>931</v>
      </c>
      <c r="O315" t="s">
        <v>2723</v>
      </c>
      <c r="P315">
        <v>10</v>
      </c>
      <c r="Q315">
        <v>150</v>
      </c>
      <c r="R315" t="s">
        <v>2465</v>
      </c>
      <c r="S315" s="42" t="str">
        <f>HYPERLINK("https://sklep.kobi.pl/produkt/led-hermetic-2x120")</f>
        <v>https://sklep.kobi.pl/produkt/led-hermetic-2x120</v>
      </c>
      <c r="T315" s="42" t="str">
        <f>HYPERLINK("https://eprel.ec.europa.eu/qr/NIE DOTYCZY    ")</f>
        <v xml:space="preserve">https://eprel.ec.europa.eu/qr/NIE DOTYCZY    </v>
      </c>
      <c r="U315">
        <v>0.74199999999999999</v>
      </c>
      <c r="V315">
        <v>0.91400000000000003</v>
      </c>
      <c r="W315">
        <v>59</v>
      </c>
      <c r="X315">
        <v>1305</v>
      </c>
      <c r="Y315">
        <v>120</v>
      </c>
    </row>
    <row r="316" spans="1:25" ht="15" x14ac:dyDescent="0.25">
      <c r="A316" t="s">
        <v>22</v>
      </c>
      <c r="B316" t="s">
        <v>71</v>
      </c>
      <c r="C316"/>
      <c r="D316" t="s">
        <v>111</v>
      </c>
      <c r="E316" t="s">
        <v>14</v>
      </c>
      <c r="F316" t="s">
        <v>1974</v>
      </c>
      <c r="G316" t="s">
        <v>281</v>
      </c>
      <c r="H316" t="s">
        <v>882</v>
      </c>
      <c r="I316">
        <v>73.98</v>
      </c>
      <c r="J316" s="41">
        <f>I316/'enter the discount'!$D$7</f>
        <v>17.316605027854504</v>
      </c>
      <c r="K316" s="41">
        <f>J316*(1-IFERROR(VLOOKUP(H316,'enter the discount'!$D$10:$E$40,2,FALSE),0))</f>
        <v>17.316605027854504</v>
      </c>
      <c r="L316" s="43" t="s">
        <v>2549</v>
      </c>
      <c r="M316" t="s">
        <v>645</v>
      </c>
      <c r="N316" t="s">
        <v>931</v>
      </c>
      <c r="O316" t="s">
        <v>2723</v>
      </c>
      <c r="P316">
        <v>8</v>
      </c>
      <c r="Q316">
        <v>120</v>
      </c>
      <c r="R316" t="s">
        <v>2465</v>
      </c>
      <c r="S316" s="42" t="str">
        <f>HYPERLINK("https://sklep.kobi.pl/produkt/led-hermetic-2x150")</f>
        <v>https://sklep.kobi.pl/produkt/led-hermetic-2x150</v>
      </c>
      <c r="T316" s="42" t="str">
        <f>HYPERLINK("https://eprel.ec.europa.eu/qr/NIE DOTYCZY    ")</f>
        <v xml:space="preserve">https://eprel.ec.europa.eu/qr/NIE DOTYCZY    </v>
      </c>
      <c r="U316">
        <v>0.97299999999999998</v>
      </c>
      <c r="V316">
        <v>1.234</v>
      </c>
      <c r="W316">
        <v>60</v>
      </c>
      <c r="X316">
        <v>1594</v>
      </c>
      <c r="Y316">
        <v>120</v>
      </c>
    </row>
    <row r="317" spans="1:25" ht="15" x14ac:dyDescent="0.25">
      <c r="A317" t="s">
        <v>22</v>
      </c>
      <c r="B317" t="s">
        <v>71</v>
      </c>
      <c r="C317"/>
      <c r="D317" t="s">
        <v>111</v>
      </c>
      <c r="E317" t="s">
        <v>14</v>
      </c>
      <c r="F317" t="s">
        <v>1975</v>
      </c>
      <c r="G317" t="s">
        <v>282</v>
      </c>
      <c r="H317" t="s">
        <v>882</v>
      </c>
      <c r="I317">
        <v>40.159999999999997</v>
      </c>
      <c r="J317" s="41">
        <f>I317/'enter the discount'!$D$7</f>
        <v>9.4003089742989552</v>
      </c>
      <c r="K317" s="41">
        <f>J317*(1-IFERROR(VLOOKUP(H317,'enter the discount'!$D$10:$E$40,2,FALSE),0))</f>
        <v>9.4003089742989552</v>
      </c>
      <c r="L317" s="43" t="s">
        <v>2549</v>
      </c>
      <c r="M317" t="s">
        <v>646</v>
      </c>
      <c r="N317" t="s">
        <v>931</v>
      </c>
      <c r="O317" t="s">
        <v>2723</v>
      </c>
      <c r="P317">
        <v>10</v>
      </c>
      <c r="Q317">
        <v>250</v>
      </c>
      <c r="R317" t="s">
        <v>2465</v>
      </c>
      <c r="S317" s="42" t="str">
        <f>HYPERLINK("https://sklep.kobi.pl/produkt/led-hermetic-2x60")</f>
        <v>https://sklep.kobi.pl/produkt/led-hermetic-2x60</v>
      </c>
      <c r="T317" s="42" t="str">
        <f>HYPERLINK("https://eprel.ec.europa.eu/qr/NIE DOTYCZY    ")</f>
        <v xml:space="preserve">https://eprel.ec.europa.eu/qr/NIE DOTYCZY    </v>
      </c>
      <c r="U317">
        <v>0.45200000000000001</v>
      </c>
      <c r="V317">
        <v>0.54800000000000004</v>
      </c>
      <c r="W317">
        <v>60</v>
      </c>
      <c r="X317">
        <v>695</v>
      </c>
      <c r="Y317">
        <v>115</v>
      </c>
    </row>
    <row r="318" spans="1:25" ht="15" x14ac:dyDescent="0.25">
      <c r="A318" t="s">
        <v>22</v>
      </c>
      <c r="B318" t="s">
        <v>71</v>
      </c>
      <c r="C318"/>
      <c r="D318" t="s">
        <v>111</v>
      </c>
      <c r="E318" t="s">
        <v>14</v>
      </c>
      <c r="F318" t="s">
        <v>1976</v>
      </c>
      <c r="G318" t="s">
        <v>283</v>
      </c>
      <c r="H318" t="s">
        <v>882</v>
      </c>
      <c r="I318">
        <v>66.790000000000006</v>
      </c>
      <c r="J318" s="41">
        <f>I318/'enter the discount'!$D$7</f>
        <v>15.633631384298489</v>
      </c>
      <c r="K318" s="41">
        <f>J318*(1-IFERROR(VLOOKUP(H318,'enter the discount'!$D$10:$E$40,2,FALSE),0))</f>
        <v>15.633631384298489</v>
      </c>
      <c r="L318" s="43" t="s">
        <v>2549</v>
      </c>
      <c r="M318" t="s">
        <v>647</v>
      </c>
      <c r="N318" t="s">
        <v>931</v>
      </c>
      <c r="O318" t="s">
        <v>2723</v>
      </c>
      <c r="P318">
        <v>8</v>
      </c>
      <c r="Q318">
        <v>192</v>
      </c>
      <c r="R318" t="s">
        <v>2465</v>
      </c>
      <c r="S318" s="42" t="str">
        <f>HYPERLINK("https://sklep.kobi.pl/produkt/led-hermic-1x120")</f>
        <v>https://sklep.kobi.pl/produkt/led-hermic-1x120</v>
      </c>
      <c r="T318" s="42" t="str">
        <f>HYPERLINK("https://eprel.ec.europa.eu/qr/NIE DOTYCZY    ")</f>
        <v xml:space="preserve">https://eprel.ec.europa.eu/qr/NIE DOTYCZY    </v>
      </c>
      <c r="U318">
        <v>0.95</v>
      </c>
      <c r="V318">
        <v>1.129</v>
      </c>
      <c r="W318">
        <v>60</v>
      </c>
      <c r="X318">
        <v>1265</v>
      </c>
      <c r="Y318">
        <v>95</v>
      </c>
    </row>
    <row r="319" spans="1:25" ht="15" x14ac:dyDescent="0.25">
      <c r="A319" t="s">
        <v>22</v>
      </c>
      <c r="B319" t="s">
        <v>71</v>
      </c>
      <c r="C319"/>
      <c r="D319" t="s">
        <v>111</v>
      </c>
      <c r="E319" t="s">
        <v>2722</v>
      </c>
      <c r="F319" t="s">
        <v>1977</v>
      </c>
      <c r="G319" t="s">
        <v>894</v>
      </c>
      <c r="H319" t="s">
        <v>882</v>
      </c>
      <c r="I319">
        <v>77.19</v>
      </c>
      <c r="J319" s="41">
        <f>I319/'enter the discount'!$D$7</f>
        <v>18.067974345770331</v>
      </c>
      <c r="K319" s="41">
        <f>J319*(1-IFERROR(VLOOKUP(H319,'enter the discount'!$D$10:$E$40,2,FALSE),0))</f>
        <v>18.067974345770331</v>
      </c>
      <c r="L319" s="43" t="s">
        <v>2549</v>
      </c>
      <c r="M319" t="s">
        <v>895</v>
      </c>
      <c r="N319" t="s">
        <v>931</v>
      </c>
      <c r="O319" t="s">
        <v>2723</v>
      </c>
      <c r="P319">
        <v>8</v>
      </c>
      <c r="Q319">
        <v>240</v>
      </c>
      <c r="R319" t="s">
        <v>2465</v>
      </c>
      <c r="S319" s="42" t="str">
        <f>HYPERLINK("https://sklep.kobi.pl/produkt/hermic-2x60")</f>
        <v>https://sklep.kobi.pl/produkt/hermic-2x60</v>
      </c>
      <c r="T319" s="42" t="str">
        <f>HYPERLINK("https://eprel.ec.europa.eu/qr/NIE DOTYCZY    ")</f>
        <v xml:space="preserve">https://eprel.ec.europa.eu/qr/NIE DOTYCZY    </v>
      </c>
      <c r="U319">
        <v>0.67800000000000005</v>
      </c>
      <c r="V319">
        <v>0.7</v>
      </c>
      <c r="W319">
        <v>650</v>
      </c>
      <c r="X319">
        <v>150</v>
      </c>
      <c r="Y319">
        <v>50</v>
      </c>
    </row>
    <row r="320" spans="1:25" ht="15" x14ac:dyDescent="0.25">
      <c r="A320" t="s">
        <v>22</v>
      </c>
      <c r="B320" t="s">
        <v>71</v>
      </c>
      <c r="C320"/>
      <c r="D320" t="s">
        <v>111</v>
      </c>
      <c r="E320" t="s">
        <v>14</v>
      </c>
      <c r="F320" t="s">
        <v>1978</v>
      </c>
      <c r="G320" t="s">
        <v>284</v>
      </c>
      <c r="H320" t="s">
        <v>882</v>
      </c>
      <c r="I320">
        <v>77</v>
      </c>
      <c r="J320" s="41">
        <f>I320/'enter the discount'!$D$7</f>
        <v>18.023500772435749</v>
      </c>
      <c r="K320" s="41">
        <f>J320*(1-IFERROR(VLOOKUP(H320,'enter the discount'!$D$10:$E$40,2,FALSE),0))</f>
        <v>18.023500772435749</v>
      </c>
      <c r="L320" s="43" t="s">
        <v>2549</v>
      </c>
      <c r="M320" t="s">
        <v>648</v>
      </c>
      <c r="N320" t="s">
        <v>931</v>
      </c>
      <c r="O320" t="s">
        <v>2723</v>
      </c>
      <c r="P320">
        <v>6</v>
      </c>
      <c r="Q320">
        <v>144</v>
      </c>
      <c r="R320" t="s">
        <v>2465</v>
      </c>
      <c r="S320" s="42" t="str">
        <f>HYPERLINK("https://sklep.kobi.pl/produkt/led-hermic-2x120")</f>
        <v>https://sklep.kobi.pl/produkt/led-hermic-2x120</v>
      </c>
      <c r="T320" s="42" t="str">
        <f>HYPERLINK("https://eprel.ec.europa.eu/qr/NIE DOTYCZY    ")</f>
        <v xml:space="preserve">https://eprel.ec.europa.eu/qr/NIE DOTYCZY    </v>
      </c>
      <c r="U320">
        <v>1.2929999999999999</v>
      </c>
      <c r="V320">
        <v>1.42</v>
      </c>
      <c r="W320">
        <v>60</v>
      </c>
      <c r="X320">
        <v>1265</v>
      </c>
      <c r="Y320">
        <v>130</v>
      </c>
    </row>
    <row r="321" spans="1:25" ht="15" x14ac:dyDescent="0.25">
      <c r="A321" t="s">
        <v>22</v>
      </c>
      <c r="B321" t="s">
        <v>71</v>
      </c>
      <c r="C321" t="s">
        <v>59</v>
      </c>
      <c r="D321" t="s">
        <v>111</v>
      </c>
      <c r="E321" t="s">
        <v>14</v>
      </c>
      <c r="F321" t="s">
        <v>1979</v>
      </c>
      <c r="G321" t="s">
        <v>285</v>
      </c>
      <c r="H321" t="s">
        <v>1</v>
      </c>
      <c r="I321">
        <v>161</v>
      </c>
      <c r="J321" s="41">
        <f>I321/'enter the discount'!$D$7</f>
        <v>37.685501615092932</v>
      </c>
      <c r="K321" s="41">
        <f>J321*(1-IFERROR(VLOOKUP(H321,'enter the discount'!$D$10:$E$40,2,FALSE),0))</f>
        <v>37.685501615092932</v>
      </c>
      <c r="L321" s="43" t="s">
        <v>858</v>
      </c>
      <c r="M321" t="s">
        <v>649</v>
      </c>
      <c r="N321" t="s">
        <v>931</v>
      </c>
      <c r="O321" t="s">
        <v>2723</v>
      </c>
      <c r="P321">
        <v>10</v>
      </c>
      <c r="Q321">
        <v>240</v>
      </c>
      <c r="R321" t="s">
        <v>2466</v>
      </c>
      <c r="S321" s="42" t="str">
        <f>HYPERLINK("https://sklep.kobi.pl/produkt/oprawa-led-cortez-2-60w-4000k-5400lm-120")</f>
        <v>https://sklep.kobi.pl/produkt/oprawa-led-cortez-2-60w-4000k-5400lm-120</v>
      </c>
      <c r="T321" s="42" t="str">
        <f>HYPERLINK("https://eprel.ec.europa.eu/qr/930100         ")</f>
        <v xml:space="preserve">https://eprel.ec.europa.eu/qr/930100         </v>
      </c>
      <c r="U321">
        <v>0.54</v>
      </c>
      <c r="V321">
        <v>0.56699999999999995</v>
      </c>
      <c r="W321">
        <v>1200</v>
      </c>
      <c r="X321">
        <v>80</v>
      </c>
      <c r="Y321">
        <v>50</v>
      </c>
    </row>
    <row r="322" spans="1:25" ht="15" x14ac:dyDescent="0.25">
      <c r="A322" t="s">
        <v>22</v>
      </c>
      <c r="B322" t="s">
        <v>71</v>
      </c>
      <c r="C322" t="s">
        <v>59</v>
      </c>
      <c r="D322" t="s">
        <v>111</v>
      </c>
      <c r="E322" t="s">
        <v>14</v>
      </c>
      <c r="F322" t="s">
        <v>1980</v>
      </c>
      <c r="G322" t="s">
        <v>286</v>
      </c>
      <c r="H322" t="s">
        <v>1</v>
      </c>
      <c r="I322">
        <v>77.08</v>
      </c>
      <c r="J322" s="41">
        <f>I322/'enter the discount'!$D$7</f>
        <v>18.042226487523994</v>
      </c>
      <c r="K322" s="41">
        <f>J322*(1-IFERROR(VLOOKUP(H322,'enter the discount'!$D$10:$E$40,2,FALSE),0))</f>
        <v>18.042226487523994</v>
      </c>
      <c r="L322" s="43" t="s">
        <v>858</v>
      </c>
      <c r="M322" t="s">
        <v>650</v>
      </c>
      <c r="N322" t="s">
        <v>931</v>
      </c>
      <c r="O322" t="s">
        <v>2723</v>
      </c>
      <c r="P322">
        <v>20</v>
      </c>
      <c r="Q322">
        <v>600</v>
      </c>
      <c r="R322" t="s">
        <v>2466</v>
      </c>
      <c r="S322" s="42" t="str">
        <f>HYPERLINK("https://sklep.kobi.pl/produkt/led-cortez-3-18w-4000k")</f>
        <v>https://sklep.kobi.pl/produkt/led-cortez-3-18w-4000k</v>
      </c>
      <c r="T322" s="42" t="str">
        <f>HYPERLINK("https://eprel.ec.europa.eu/qr/930183         ")</f>
        <v xml:space="preserve">https://eprel.ec.europa.eu/qr/930183         </v>
      </c>
      <c r="U322">
        <v>0.17</v>
      </c>
      <c r="V322">
        <v>0.222</v>
      </c>
      <c r="W322">
        <v>640</v>
      </c>
      <c r="X322">
        <v>40</v>
      </c>
      <c r="Y322">
        <v>65</v>
      </c>
    </row>
    <row r="323" spans="1:25" ht="15" x14ac:dyDescent="0.25">
      <c r="A323" t="s">
        <v>22</v>
      </c>
      <c r="B323" t="s">
        <v>71</v>
      </c>
      <c r="C323" t="s">
        <v>59</v>
      </c>
      <c r="D323" t="s">
        <v>111</v>
      </c>
      <c r="E323" t="s">
        <v>14</v>
      </c>
      <c r="F323" t="s">
        <v>1981</v>
      </c>
      <c r="G323" t="s">
        <v>287</v>
      </c>
      <c r="H323" t="s">
        <v>1</v>
      </c>
      <c r="I323">
        <v>84.88</v>
      </c>
      <c r="J323" s="41">
        <f>I323/'enter the discount'!$D$7</f>
        <v>19.867983708627872</v>
      </c>
      <c r="K323" s="41">
        <f>J323*(1-IFERROR(VLOOKUP(H323,'enter the discount'!$D$10:$E$40,2,FALSE),0))</f>
        <v>19.867983708627872</v>
      </c>
      <c r="L323" s="43" t="s">
        <v>858</v>
      </c>
      <c r="M323" t="s">
        <v>651</v>
      </c>
      <c r="N323" t="s">
        <v>931</v>
      </c>
      <c r="O323" t="s">
        <v>2723</v>
      </c>
      <c r="P323">
        <v>20</v>
      </c>
      <c r="Q323">
        <v>360</v>
      </c>
      <c r="R323" t="s">
        <v>2466</v>
      </c>
      <c r="S323" s="42" t="str">
        <f>HYPERLINK("https://sklep.kobi.pl/produkt/led-cortez-3-36w-4000k")</f>
        <v>https://sklep.kobi.pl/produkt/led-cortez-3-36w-4000k</v>
      </c>
      <c r="T323" s="42" t="str">
        <f>HYPERLINK("https://eprel.ec.europa.eu/qr/932906         ")</f>
        <v xml:space="preserve">https://eprel.ec.europa.eu/qr/932906         </v>
      </c>
      <c r="U323">
        <v>0.27</v>
      </c>
      <c r="V323">
        <v>0.45</v>
      </c>
      <c r="W323">
        <v>1230</v>
      </c>
      <c r="X323">
        <v>65</v>
      </c>
      <c r="Y323">
        <v>40</v>
      </c>
    </row>
    <row r="324" spans="1:25" ht="15" x14ac:dyDescent="0.25">
      <c r="A324" t="s">
        <v>22</v>
      </c>
      <c r="B324" t="s">
        <v>71</v>
      </c>
      <c r="C324" t="s">
        <v>59</v>
      </c>
      <c r="D324" t="s">
        <v>111</v>
      </c>
      <c r="E324" t="s">
        <v>14</v>
      </c>
      <c r="F324" t="s">
        <v>1982</v>
      </c>
      <c r="G324" t="s">
        <v>1315</v>
      </c>
      <c r="H324" t="s">
        <v>1</v>
      </c>
      <c r="I324">
        <v>97.71</v>
      </c>
      <c r="J324" s="41">
        <f>I324/'enter the discount'!$D$7</f>
        <v>22.871120265905155</v>
      </c>
      <c r="K324" s="41">
        <f>J324*(1-IFERROR(VLOOKUP(H324,'enter the discount'!$D$10:$E$40,2,FALSE),0))</f>
        <v>22.871120265905155</v>
      </c>
      <c r="L324" s="43" t="s">
        <v>858</v>
      </c>
      <c r="M324" t="s">
        <v>1316</v>
      </c>
      <c r="N324" t="s">
        <v>931</v>
      </c>
      <c r="O324" t="s">
        <v>2723</v>
      </c>
      <c r="P324">
        <v>20</v>
      </c>
      <c r="Q324">
        <v>0</v>
      </c>
      <c r="R324" t="s">
        <v>2466</v>
      </c>
      <c r="S324" s="42" t="str">
        <f>HYPERLINK("https://sklep.kobi.pl/produkt/led-cortez-3-45w-4000k")</f>
        <v>https://sklep.kobi.pl/produkt/led-cortez-3-45w-4000k</v>
      </c>
      <c r="T324" s="42" t="str">
        <f>HYPERLINK("https://eprel.ec.europa.eu/qr/1565174        ")</f>
        <v xml:space="preserve">https://eprel.ec.europa.eu/qr/1565174        </v>
      </c>
      <c r="U324">
        <v>0.4</v>
      </c>
      <c r="V324">
        <v>0</v>
      </c>
      <c r="W324">
        <v>0</v>
      </c>
      <c r="X324">
        <v>0</v>
      </c>
      <c r="Y324">
        <v>0</v>
      </c>
    </row>
    <row r="325" spans="1:25" ht="15" x14ac:dyDescent="0.25">
      <c r="A325" t="s">
        <v>22</v>
      </c>
      <c r="B325" t="s">
        <v>71</v>
      </c>
      <c r="C325" t="s">
        <v>59</v>
      </c>
      <c r="D325" t="s">
        <v>112</v>
      </c>
      <c r="E325" t="s">
        <v>2721</v>
      </c>
      <c r="F325" t="s">
        <v>2750</v>
      </c>
      <c r="G325" t="s">
        <v>2751</v>
      </c>
      <c r="H325" t="s">
        <v>1</v>
      </c>
      <c r="I325">
        <v>36</v>
      </c>
      <c r="J325" s="41">
        <f>I325/'enter the discount'!$D$7</f>
        <v>8.4265717897102199</v>
      </c>
      <c r="K325" s="41">
        <f>J325*(1-IFERROR(VLOOKUP(H325,'enter the discount'!$D$10:$E$40,2,FALSE),0))</f>
        <v>8.4265717897102199</v>
      </c>
      <c r="L325" s="43" t="s">
        <v>478</v>
      </c>
      <c r="M325" t="s">
        <v>2759</v>
      </c>
      <c r="N325" t="s">
        <v>931</v>
      </c>
      <c r="O325" t="s">
        <v>2723</v>
      </c>
      <c r="P325">
        <v>0</v>
      </c>
      <c r="Q325">
        <v>0</v>
      </c>
      <c r="R325" t="s">
        <v>14</v>
      </c>
      <c r="S325" s="42" t="str">
        <f>HYPERLINK("https://sklep.kobi.pl/produkt/led-cortez-18w-4000k-led2b")</f>
        <v>https://sklep.kobi.pl/produkt/led-cortez-18w-4000k-led2b</v>
      </c>
      <c r="T325" t="s">
        <v>14</v>
      </c>
      <c r="U325">
        <v>0</v>
      </c>
      <c r="V325">
        <v>0</v>
      </c>
      <c r="W325">
        <v>0</v>
      </c>
      <c r="X325">
        <v>0</v>
      </c>
      <c r="Y325">
        <v>0</v>
      </c>
    </row>
    <row r="326" spans="1:25" ht="15" x14ac:dyDescent="0.25">
      <c r="A326" t="s">
        <v>22</v>
      </c>
      <c r="B326" t="s">
        <v>71</v>
      </c>
      <c r="C326" t="s">
        <v>59</v>
      </c>
      <c r="D326" t="s">
        <v>112</v>
      </c>
      <c r="E326" t="s">
        <v>2721</v>
      </c>
      <c r="F326" t="s">
        <v>2752</v>
      </c>
      <c r="G326" t="s">
        <v>2753</v>
      </c>
      <c r="H326" t="s">
        <v>1</v>
      </c>
      <c r="I326">
        <v>60</v>
      </c>
      <c r="J326" s="41">
        <f>I326/'enter the discount'!$D$7</f>
        <v>14.044286316183699</v>
      </c>
      <c r="K326" s="41">
        <f>J326*(1-IFERROR(VLOOKUP(H326,'enter the discount'!$D$10:$E$40,2,FALSE),0))</f>
        <v>14.044286316183699</v>
      </c>
      <c r="L326" s="43" t="s">
        <v>478</v>
      </c>
      <c r="M326" t="s">
        <v>2760</v>
      </c>
      <c r="N326" t="s">
        <v>931</v>
      </c>
      <c r="O326" t="s">
        <v>2723</v>
      </c>
      <c r="P326">
        <v>0</v>
      </c>
      <c r="Q326">
        <v>0</v>
      </c>
      <c r="R326" t="s">
        <v>14</v>
      </c>
      <c r="S326" s="42" t="str">
        <f>HYPERLINK("https://sklep.kobi.pl/produkt/led-cortez-36w-4000k-led2b")</f>
        <v>https://sklep.kobi.pl/produkt/led-cortez-36w-4000k-led2b</v>
      </c>
      <c r="T326" t="s">
        <v>14</v>
      </c>
      <c r="U326">
        <v>0</v>
      </c>
      <c r="V326">
        <v>0</v>
      </c>
      <c r="W326">
        <v>0</v>
      </c>
      <c r="X326">
        <v>0</v>
      </c>
      <c r="Y326">
        <v>0</v>
      </c>
    </row>
    <row r="327" spans="1:25" ht="15" x14ac:dyDescent="0.25">
      <c r="A327" t="s">
        <v>22</v>
      </c>
      <c r="B327" t="s">
        <v>71</v>
      </c>
      <c r="C327" t="s">
        <v>59</v>
      </c>
      <c r="D327" t="s">
        <v>112</v>
      </c>
      <c r="E327" t="s">
        <v>2721</v>
      </c>
      <c r="F327" t="s">
        <v>2754</v>
      </c>
      <c r="G327" t="s">
        <v>2755</v>
      </c>
      <c r="H327" t="s">
        <v>1</v>
      </c>
      <c r="I327">
        <v>78</v>
      </c>
      <c r="J327" s="41">
        <f>I327/'enter the discount'!$D$7</f>
        <v>18.257572211038809</v>
      </c>
      <c r="K327" s="41">
        <f>J327*(1-IFERROR(VLOOKUP(H327,'enter the discount'!$D$10:$E$40,2,FALSE),0))</f>
        <v>18.257572211038809</v>
      </c>
      <c r="L327" s="43" t="s">
        <v>478</v>
      </c>
      <c r="M327" t="s">
        <v>2761</v>
      </c>
      <c r="N327" t="s">
        <v>931</v>
      </c>
      <c r="O327" t="s">
        <v>2723</v>
      </c>
      <c r="P327">
        <v>0</v>
      </c>
      <c r="Q327">
        <v>0</v>
      </c>
      <c r="R327" t="s">
        <v>14</v>
      </c>
      <c r="S327" s="42" t="str">
        <f>HYPERLINK("https://sklep.kobi.pl/produkt/led-cortez-48w-4000k-led2b")</f>
        <v>https://sklep.kobi.pl/produkt/led-cortez-48w-4000k-led2b</v>
      </c>
      <c r="T327" t="s">
        <v>14</v>
      </c>
      <c r="U327">
        <v>0</v>
      </c>
      <c r="V327">
        <v>0</v>
      </c>
      <c r="W327">
        <v>0</v>
      </c>
      <c r="X327">
        <v>0</v>
      </c>
      <c r="Y327">
        <v>0</v>
      </c>
    </row>
    <row r="328" spans="1:25" ht="15" x14ac:dyDescent="0.25">
      <c r="A328" t="s">
        <v>22</v>
      </c>
      <c r="B328" t="s">
        <v>71</v>
      </c>
      <c r="C328" t="s">
        <v>59</v>
      </c>
      <c r="D328" t="s">
        <v>111</v>
      </c>
      <c r="E328" t="s">
        <v>14</v>
      </c>
      <c r="F328" t="s">
        <v>2523</v>
      </c>
      <c r="G328" t="s">
        <v>2524</v>
      </c>
      <c r="H328" t="s">
        <v>1</v>
      </c>
      <c r="I328">
        <v>89.55</v>
      </c>
      <c r="J328" s="41">
        <f>I328/'enter the discount'!$D$7</f>
        <v>20.96109732690417</v>
      </c>
      <c r="K328" s="41">
        <f>J328*(1-IFERROR(VLOOKUP(H328,'enter the discount'!$D$10:$E$40,2,FALSE),0))</f>
        <v>20.96109732690417</v>
      </c>
      <c r="L328" s="43" t="s">
        <v>859</v>
      </c>
      <c r="M328" t="s">
        <v>2543</v>
      </c>
      <c r="N328" t="s">
        <v>931</v>
      </c>
      <c r="O328" t="s">
        <v>2723</v>
      </c>
      <c r="P328">
        <v>16</v>
      </c>
      <c r="Q328">
        <v>0</v>
      </c>
      <c r="R328" t="s">
        <v>2466</v>
      </c>
      <c r="S328" s="42" t="str">
        <f>HYPERLINK("https://sklep.kobi.pl/produkt/led-negro-20w-4000k")</f>
        <v>https://sklep.kobi.pl/produkt/led-negro-20w-4000k</v>
      </c>
      <c r="T328" s="42" t="str">
        <f>HYPERLINK("https://eprel.ec.europa.eu/qr/1784087        ")</f>
        <v xml:space="preserve">https://eprel.ec.europa.eu/qr/1784087        </v>
      </c>
      <c r="U328">
        <v>0.4</v>
      </c>
      <c r="V328"/>
      <c r="W328"/>
      <c r="X328"/>
      <c r="Y328"/>
    </row>
    <row r="329" spans="1:25" ht="15" x14ac:dyDescent="0.25">
      <c r="A329" t="s">
        <v>22</v>
      </c>
      <c r="B329" t="s">
        <v>71</v>
      </c>
      <c r="C329" t="s">
        <v>59</v>
      </c>
      <c r="D329" t="s">
        <v>112</v>
      </c>
      <c r="E329" t="s">
        <v>2721</v>
      </c>
      <c r="F329" t="s">
        <v>2392</v>
      </c>
      <c r="G329" t="s">
        <v>2393</v>
      </c>
      <c r="H329" t="s">
        <v>1</v>
      </c>
      <c r="I329">
        <v>57.25</v>
      </c>
      <c r="J329" s="41">
        <f>I329/'enter the discount'!$D$7</f>
        <v>13.400589860025281</v>
      </c>
      <c r="K329" s="41">
        <f>J329*(1-IFERROR(VLOOKUP(H329,'enter the discount'!$D$10:$E$40,2,FALSE),0))</f>
        <v>13.400589860025281</v>
      </c>
      <c r="L329" s="43" t="s">
        <v>2544</v>
      </c>
      <c r="M329" t="s">
        <v>2412</v>
      </c>
      <c r="N329" t="s">
        <v>931</v>
      </c>
      <c r="O329" t="s">
        <v>2723</v>
      </c>
      <c r="P329">
        <v>30</v>
      </c>
      <c r="Q329">
        <v>0</v>
      </c>
      <c r="R329" t="s">
        <v>2465</v>
      </c>
      <c r="S329" s="42" t="str">
        <f>HYPERLINK("https://sklep.kobi.pl/produkt/led-mivro-36w-4000k-led2b")</f>
        <v>https://sklep.kobi.pl/produkt/led-mivro-36w-4000k-led2b</v>
      </c>
      <c r="T329" s="42" t="str">
        <f>HYPERLINK("https://eprel.ec.europa.eu/qr/1949789        ")</f>
        <v xml:space="preserve">https://eprel.ec.europa.eu/qr/1949789        </v>
      </c>
      <c r="U329">
        <v>0.25</v>
      </c>
      <c r="V329">
        <v>0</v>
      </c>
      <c r="W329">
        <v>0</v>
      </c>
      <c r="X329">
        <v>0</v>
      </c>
      <c r="Y329">
        <v>0</v>
      </c>
    </row>
    <row r="330" spans="1:25" ht="15" x14ac:dyDescent="0.25">
      <c r="A330" t="s">
        <v>22</v>
      </c>
      <c r="B330" t="s">
        <v>71</v>
      </c>
      <c r="C330" t="s">
        <v>59</v>
      </c>
      <c r="D330" t="s">
        <v>111</v>
      </c>
      <c r="E330" t="s">
        <v>14</v>
      </c>
      <c r="F330" t="s">
        <v>1983</v>
      </c>
      <c r="G330" t="s">
        <v>288</v>
      </c>
      <c r="H330" t="s">
        <v>1</v>
      </c>
      <c r="I330">
        <v>163.78</v>
      </c>
      <c r="J330" s="41">
        <f>I330/'enter the discount'!$D$7</f>
        <v>38.336220214409437</v>
      </c>
      <c r="K330" s="41">
        <f>J330*(1-IFERROR(VLOOKUP(H330,'enter the discount'!$D$10:$E$40,2,FALSE),0))</f>
        <v>38.336220214409437</v>
      </c>
      <c r="L330" s="43" t="s">
        <v>859</v>
      </c>
      <c r="M330" t="s">
        <v>652</v>
      </c>
      <c r="N330" t="s">
        <v>931</v>
      </c>
      <c r="O330" t="s">
        <v>2723</v>
      </c>
      <c r="P330">
        <v>16</v>
      </c>
      <c r="Q330">
        <v>240</v>
      </c>
      <c r="R330" t="s">
        <v>2466</v>
      </c>
      <c r="S330" s="42" t="str">
        <f>HYPERLINK("https://sklep.kobi.pl/produkt/led-negro-36w-4000k-pl")</f>
        <v>https://sklep.kobi.pl/produkt/led-negro-36w-4000k-pl</v>
      </c>
      <c r="T330" s="42" t="str">
        <f>HYPERLINK("https://eprel.ec.europa.eu/qr/1822239        ")</f>
        <v xml:space="preserve">https://eprel.ec.europa.eu/qr/1822239        </v>
      </c>
      <c r="U330">
        <v>1.022</v>
      </c>
      <c r="V330">
        <v>1.73</v>
      </c>
      <c r="W330">
        <v>70</v>
      </c>
      <c r="X330">
        <v>50</v>
      </c>
      <c r="Y330">
        <v>1220</v>
      </c>
    </row>
    <row r="331" spans="1:25" ht="15" x14ac:dyDescent="0.25">
      <c r="A331" t="s">
        <v>22</v>
      </c>
      <c r="B331" t="s">
        <v>71</v>
      </c>
      <c r="C331" t="s">
        <v>59</v>
      </c>
      <c r="D331" t="s">
        <v>111</v>
      </c>
      <c r="E331" t="s">
        <v>14</v>
      </c>
      <c r="F331" t="s">
        <v>1984</v>
      </c>
      <c r="G331" t="s">
        <v>289</v>
      </c>
      <c r="H331" t="s">
        <v>1</v>
      </c>
      <c r="I331">
        <v>215.25</v>
      </c>
      <c r="J331" s="41">
        <f>I331/'enter the discount'!$D$7</f>
        <v>50.383877159309023</v>
      </c>
      <c r="K331" s="41">
        <f>J331*(1-IFERROR(VLOOKUP(H331,'enter the discount'!$D$10:$E$40,2,FALSE),0))</f>
        <v>50.383877159309023</v>
      </c>
      <c r="L331" s="43" t="s">
        <v>859</v>
      </c>
      <c r="M331" t="s">
        <v>653</v>
      </c>
      <c r="N331" t="s">
        <v>931</v>
      </c>
      <c r="O331" t="s">
        <v>2723</v>
      </c>
      <c r="P331">
        <v>16</v>
      </c>
      <c r="Q331">
        <v>240</v>
      </c>
      <c r="R331" t="s">
        <v>2466</v>
      </c>
      <c r="S331" s="42" t="str">
        <f>HYPERLINK("https://sklep.kobi.pl/produkt/led-negro-36w-6000k")</f>
        <v>https://sklep.kobi.pl/produkt/led-negro-36w-6000k</v>
      </c>
      <c r="T331" s="42" t="str">
        <f>HYPERLINK("https://eprel.ec.europa.eu/qr/1822222        ")</f>
        <v xml:space="preserve">https://eprel.ec.europa.eu/qr/1822222        </v>
      </c>
      <c r="U331">
        <v>1.022</v>
      </c>
      <c r="V331">
        <v>1.73</v>
      </c>
      <c r="W331">
        <v>70</v>
      </c>
      <c r="X331">
        <v>50</v>
      </c>
      <c r="Y331">
        <v>1220</v>
      </c>
    </row>
    <row r="332" spans="1:25" ht="15" x14ac:dyDescent="0.25">
      <c r="A332" t="s">
        <v>22</v>
      </c>
      <c r="B332" t="s">
        <v>71</v>
      </c>
      <c r="C332" t="s">
        <v>59</v>
      </c>
      <c r="D332" t="s">
        <v>111</v>
      </c>
      <c r="E332" t="s">
        <v>14</v>
      </c>
      <c r="F332" t="s">
        <v>2525</v>
      </c>
      <c r="G332" t="s">
        <v>2526</v>
      </c>
      <c r="H332" t="s">
        <v>1</v>
      </c>
      <c r="I332">
        <v>185.5</v>
      </c>
      <c r="J332" s="41">
        <f>I332/'enter the discount'!$D$7</f>
        <v>43.420251860867943</v>
      </c>
      <c r="K332" s="41">
        <f>J332*(1-IFERROR(VLOOKUP(H332,'enter the discount'!$D$10:$E$40,2,FALSE),0))</f>
        <v>43.420251860867943</v>
      </c>
      <c r="L332" s="43" t="s">
        <v>859</v>
      </c>
      <c r="M332" t="s">
        <v>2545</v>
      </c>
      <c r="N332" t="s">
        <v>931</v>
      </c>
      <c r="O332" t="s">
        <v>2723</v>
      </c>
      <c r="P332">
        <v>12</v>
      </c>
      <c r="Q332">
        <v>0</v>
      </c>
      <c r="R332" t="s">
        <v>2466</v>
      </c>
      <c r="S332" s="42" t="str">
        <f>HYPERLINK("https://sklep.kobi.pl/produkt/led-negro-60w-4000k")</f>
        <v>https://sklep.kobi.pl/produkt/led-negro-60w-4000k</v>
      </c>
      <c r="T332" s="42" t="str">
        <f>HYPERLINK("https://eprel.ec.europa.eu/qr/1784068        ")</f>
        <v xml:space="preserve">https://eprel.ec.europa.eu/qr/1784068        </v>
      </c>
      <c r="U332">
        <v>1.25</v>
      </c>
      <c r="V332">
        <v>0</v>
      </c>
      <c r="W332">
        <v>0</v>
      </c>
      <c r="X332">
        <v>0</v>
      </c>
      <c r="Y332">
        <v>0</v>
      </c>
    </row>
    <row r="333" spans="1:25" ht="15" x14ac:dyDescent="0.25">
      <c r="A333" t="s">
        <v>22</v>
      </c>
      <c r="B333" t="s">
        <v>71</v>
      </c>
      <c r="C333" t="s">
        <v>59</v>
      </c>
      <c r="D333" t="s">
        <v>111</v>
      </c>
      <c r="E333" t="s">
        <v>14</v>
      </c>
      <c r="F333" t="s">
        <v>1985</v>
      </c>
      <c r="G333" t="s">
        <v>1317</v>
      </c>
      <c r="H333" t="s">
        <v>882</v>
      </c>
      <c r="I333">
        <v>63.44</v>
      </c>
      <c r="J333" s="41">
        <f>I333/'enter the discount'!$D$7</f>
        <v>14.849492064978232</v>
      </c>
      <c r="K333" s="41">
        <f>J333*(1-IFERROR(VLOOKUP(H333,'enter the discount'!$D$10:$E$40,2,FALSE),0))</f>
        <v>14.849492064978232</v>
      </c>
      <c r="L333" s="43" t="s">
        <v>2540</v>
      </c>
      <c r="M333" t="s">
        <v>1318</v>
      </c>
      <c r="N333" t="s">
        <v>931</v>
      </c>
      <c r="O333" t="s">
        <v>2723</v>
      </c>
      <c r="P333">
        <v>12</v>
      </c>
      <c r="Q333">
        <v>0</v>
      </c>
      <c r="R333" t="s">
        <v>2465</v>
      </c>
      <c r="S333" s="42" t="str">
        <f>HYPERLINK("https://sklep.kobi.pl/produkt/zestaw-hermetic-1x120-led-t8-18w-4000k")</f>
        <v>https://sklep.kobi.pl/produkt/zestaw-hermetic-1x120-led-t8-18w-4000k</v>
      </c>
      <c r="T333" t="s">
        <v>14</v>
      </c>
      <c r="U333">
        <v>0.74</v>
      </c>
      <c r="V333">
        <v>0.85</v>
      </c>
      <c r="W333">
        <v>1300</v>
      </c>
      <c r="X333">
        <v>70</v>
      </c>
      <c r="Y333">
        <v>50</v>
      </c>
    </row>
    <row r="334" spans="1:25" ht="15" x14ac:dyDescent="0.25">
      <c r="A334" t="s">
        <v>22</v>
      </c>
      <c r="B334" t="s">
        <v>71</v>
      </c>
      <c r="C334" t="s">
        <v>59</v>
      </c>
      <c r="D334" t="s">
        <v>111</v>
      </c>
      <c r="E334" t="s">
        <v>14</v>
      </c>
      <c r="F334" t="s">
        <v>1986</v>
      </c>
      <c r="G334" t="s">
        <v>1319</v>
      </c>
      <c r="H334" t="s">
        <v>882</v>
      </c>
      <c r="I334">
        <v>66.69</v>
      </c>
      <c r="J334" s="41">
        <f>I334/'enter the discount'!$D$7</f>
        <v>15.610224240438182</v>
      </c>
      <c r="K334" s="41">
        <f>J334*(1-IFERROR(VLOOKUP(H334,'enter the discount'!$D$10:$E$40,2,FALSE),0))</f>
        <v>15.610224240438182</v>
      </c>
      <c r="L334" s="43" t="s">
        <v>2540</v>
      </c>
      <c r="M334" t="s">
        <v>1320</v>
      </c>
      <c r="N334" t="s">
        <v>931</v>
      </c>
      <c r="O334" t="s">
        <v>2723</v>
      </c>
      <c r="P334">
        <v>10</v>
      </c>
      <c r="Q334">
        <v>0</v>
      </c>
      <c r="R334" t="s">
        <v>2465</v>
      </c>
      <c r="S334" s="42" t="str">
        <f>HYPERLINK("https://sklep.kobi.pl/produkt/zestaw-hermetic-2x60-led-t8-9w-4000k")</f>
        <v>https://sklep.kobi.pl/produkt/zestaw-hermetic-2x60-led-t8-9w-4000k</v>
      </c>
      <c r="T334" s="42" t="str">
        <f>HYPERLINK("https://eprel.ec.europa.eu/qr/821844         ")</f>
        <v xml:space="preserve">https://eprel.ec.europa.eu/qr/821844         </v>
      </c>
      <c r="U334">
        <v>0.61</v>
      </c>
      <c r="V334">
        <v>0.71</v>
      </c>
      <c r="W334">
        <v>60</v>
      </c>
      <c r="X334">
        <v>695</v>
      </c>
      <c r="Y334">
        <v>115</v>
      </c>
    </row>
    <row r="335" spans="1:25" ht="15" x14ac:dyDescent="0.25">
      <c r="A335" t="s">
        <v>22</v>
      </c>
      <c r="B335" t="s">
        <v>71</v>
      </c>
      <c r="C335" t="s">
        <v>59</v>
      </c>
      <c r="D335" t="s">
        <v>111</v>
      </c>
      <c r="E335" t="s">
        <v>14</v>
      </c>
      <c r="F335" t="s">
        <v>1987</v>
      </c>
      <c r="G335" t="s">
        <v>908</v>
      </c>
      <c r="H335" t="s">
        <v>882</v>
      </c>
      <c r="I335">
        <v>88.76</v>
      </c>
      <c r="J335" s="41">
        <f>I335/'enter the discount'!$D$7</f>
        <v>20.776180890407755</v>
      </c>
      <c r="K335" s="41">
        <f>J335*(1-IFERROR(VLOOKUP(H335,'enter the discount'!$D$10:$E$40,2,FALSE),0))</f>
        <v>20.776180890407755</v>
      </c>
      <c r="L335" s="43" t="s">
        <v>2540</v>
      </c>
      <c r="M335" t="s">
        <v>909</v>
      </c>
      <c r="N335" t="s">
        <v>931</v>
      </c>
      <c r="O335" t="s">
        <v>2723</v>
      </c>
      <c r="P335">
        <v>10</v>
      </c>
      <c r="Q335">
        <v>150</v>
      </c>
      <c r="R335" t="s">
        <v>2465</v>
      </c>
      <c r="S335" s="42" t="str">
        <f>HYPERLINK("https://sklep.kobi.pl/produkt/zestaw-hermetic-2x120-led-t8-18w-4000k")</f>
        <v>https://sklep.kobi.pl/produkt/zestaw-hermetic-2x120-led-t8-18w-4000k</v>
      </c>
      <c r="T335" t="s">
        <v>14</v>
      </c>
      <c r="U335">
        <v>1.095</v>
      </c>
      <c r="V335">
        <v>1.2969999999999999</v>
      </c>
      <c r="W335">
        <v>1300</v>
      </c>
      <c r="X335">
        <v>115</v>
      </c>
      <c r="Y335">
        <v>50</v>
      </c>
    </row>
    <row r="336" spans="1:25" ht="15" x14ac:dyDescent="0.25">
      <c r="A336" t="s">
        <v>22</v>
      </c>
      <c r="B336" t="s">
        <v>71</v>
      </c>
      <c r="C336" t="s">
        <v>59</v>
      </c>
      <c r="D336" t="s">
        <v>111</v>
      </c>
      <c r="E336" t="s">
        <v>14</v>
      </c>
      <c r="F336" t="s">
        <v>1988</v>
      </c>
      <c r="G336" t="s">
        <v>910</v>
      </c>
      <c r="H336" t="s">
        <v>882</v>
      </c>
      <c r="I336">
        <v>88.76</v>
      </c>
      <c r="J336" s="41">
        <f>I336/'enter the discount'!$D$7</f>
        <v>20.776180890407755</v>
      </c>
      <c r="K336" s="41">
        <f>J336*(1-IFERROR(VLOOKUP(H336,'enter the discount'!$D$10:$E$40,2,FALSE),0))</f>
        <v>20.776180890407755</v>
      </c>
      <c r="L336" s="43" t="s">
        <v>2540</v>
      </c>
      <c r="M336" t="s">
        <v>911</v>
      </c>
      <c r="N336" t="s">
        <v>931</v>
      </c>
      <c r="O336" t="s">
        <v>2723</v>
      </c>
      <c r="P336">
        <v>10</v>
      </c>
      <c r="Q336">
        <v>150</v>
      </c>
      <c r="R336" t="s">
        <v>2465</v>
      </c>
      <c r="S336" s="42" t="str">
        <f>HYPERLINK("https://sklep.kobi.pl/produkt/zestaw-hermetic-2x120-led-t8-18w-6500k")</f>
        <v>https://sklep.kobi.pl/produkt/zestaw-hermetic-2x120-led-t8-18w-6500k</v>
      </c>
      <c r="T336" t="s">
        <v>14</v>
      </c>
      <c r="U336">
        <v>1.095</v>
      </c>
      <c r="V336">
        <v>1.2969999999999999</v>
      </c>
      <c r="W336">
        <v>1300</v>
      </c>
      <c r="X336">
        <v>115</v>
      </c>
      <c r="Y336">
        <v>50</v>
      </c>
    </row>
    <row r="337" spans="1:25" ht="15" x14ac:dyDescent="0.25">
      <c r="A337" t="s">
        <v>22</v>
      </c>
      <c r="B337" t="s">
        <v>100</v>
      </c>
      <c r="C337" t="s">
        <v>59</v>
      </c>
      <c r="D337" t="s">
        <v>961</v>
      </c>
      <c r="E337" t="s">
        <v>14</v>
      </c>
      <c r="F337" t="s">
        <v>1989</v>
      </c>
      <c r="G337" t="s">
        <v>1376</v>
      </c>
      <c r="H337" t="s">
        <v>1</v>
      </c>
      <c r="I337">
        <v>342</v>
      </c>
      <c r="J337" s="41">
        <f>I337/'enter the discount'!$D$7</f>
        <v>80.052432002247087</v>
      </c>
      <c r="K337" s="41">
        <f>J337*(1-IFERROR(VLOOKUP(H337,'enter the discount'!$D$10:$E$40,2,FALSE),0))</f>
        <v>80.052432002247087</v>
      </c>
      <c r="L337" s="43" t="s">
        <v>859</v>
      </c>
      <c r="M337" t="s">
        <v>1377</v>
      </c>
      <c r="N337" t="s">
        <v>932</v>
      </c>
      <c r="O337" t="s">
        <v>2723</v>
      </c>
      <c r="P337">
        <v>5</v>
      </c>
      <c r="Q337">
        <v>0</v>
      </c>
      <c r="R337" t="s">
        <v>2467</v>
      </c>
      <c r="S337" s="42" t="str">
        <f>HYPERLINK("https://sklep.kobi.pl/produkt/led-kobi-seul-100w-4000k")</f>
        <v>https://sklep.kobi.pl/produkt/led-kobi-seul-100w-4000k</v>
      </c>
      <c r="T337" s="42" t="str">
        <f>HYPERLINK("https://eprel.ec.europa.eu/qr/1690329        ")</f>
        <v xml:space="preserve">https://eprel.ec.europa.eu/qr/1690329        </v>
      </c>
      <c r="U337">
        <v>1.9</v>
      </c>
      <c r="V337">
        <v>1.7769999999999999</v>
      </c>
      <c r="W337">
        <v>245</v>
      </c>
      <c r="X337">
        <v>320</v>
      </c>
      <c r="Y337">
        <v>50</v>
      </c>
    </row>
    <row r="338" spans="1:25" ht="15" x14ac:dyDescent="0.25">
      <c r="A338" t="s">
        <v>22</v>
      </c>
      <c r="B338" t="s">
        <v>100</v>
      </c>
      <c r="C338" t="s">
        <v>59</v>
      </c>
      <c r="D338" t="s">
        <v>961</v>
      </c>
      <c r="E338" t="s">
        <v>14</v>
      </c>
      <c r="F338" t="s">
        <v>1990</v>
      </c>
      <c r="G338" t="s">
        <v>1378</v>
      </c>
      <c r="H338" t="s">
        <v>1</v>
      </c>
      <c r="I338">
        <v>464</v>
      </c>
      <c r="J338" s="41">
        <f>I338/'enter the discount'!$D$7</f>
        <v>108.60914751182061</v>
      </c>
      <c r="K338" s="41">
        <f>J338*(1-IFERROR(VLOOKUP(H338,'enter the discount'!$D$10:$E$40,2,FALSE),0))</f>
        <v>108.60914751182061</v>
      </c>
      <c r="L338" s="43" t="s">
        <v>859</v>
      </c>
      <c r="M338" t="s">
        <v>1379</v>
      </c>
      <c r="N338" t="s">
        <v>932</v>
      </c>
      <c r="O338" t="s">
        <v>2723</v>
      </c>
      <c r="P338">
        <v>4</v>
      </c>
      <c r="Q338">
        <v>144</v>
      </c>
      <c r="R338" t="s">
        <v>2467</v>
      </c>
      <c r="S338" s="42" t="str">
        <f>HYPERLINK("https://sklep.kobi.pl/produkt/led-kobi-seul-150w-4000k")</f>
        <v>https://sklep.kobi.pl/produkt/led-kobi-seul-150w-4000k</v>
      </c>
      <c r="T338" s="42" t="str">
        <f>HYPERLINK("https://eprel.ec.europa.eu/qr/1690405        ")</f>
        <v xml:space="preserve">https://eprel.ec.europa.eu/qr/1690405        </v>
      </c>
      <c r="U338">
        <v>2.9</v>
      </c>
      <c r="V338">
        <v>2.8109999999999999</v>
      </c>
      <c r="W338">
        <v>300</v>
      </c>
      <c r="X338">
        <v>400</v>
      </c>
      <c r="Y338">
        <v>60</v>
      </c>
    </row>
    <row r="339" spans="1:25" ht="15" x14ac:dyDescent="0.25">
      <c r="A339" t="s">
        <v>22</v>
      </c>
      <c r="B339" t="s">
        <v>100</v>
      </c>
      <c r="C339" t="s">
        <v>59</v>
      </c>
      <c r="D339" t="s">
        <v>961</v>
      </c>
      <c r="E339" t="s">
        <v>14</v>
      </c>
      <c r="F339" t="s">
        <v>1991</v>
      </c>
      <c r="G339" t="s">
        <v>1380</v>
      </c>
      <c r="H339" t="s">
        <v>1</v>
      </c>
      <c r="I339">
        <v>504</v>
      </c>
      <c r="J339" s="41">
        <f>I339/'enter the discount'!$D$7</f>
        <v>117.97200505594309</v>
      </c>
      <c r="K339" s="41">
        <f>J339*(1-IFERROR(VLOOKUP(H339,'enter the discount'!$D$10:$E$40,2,FALSE),0))</f>
        <v>117.97200505594309</v>
      </c>
      <c r="L339" s="43" t="s">
        <v>859</v>
      </c>
      <c r="M339" t="s">
        <v>1381</v>
      </c>
      <c r="N339" t="s">
        <v>932</v>
      </c>
      <c r="O339" t="s">
        <v>2723</v>
      </c>
      <c r="P339">
        <v>4</v>
      </c>
      <c r="Q339">
        <v>0</v>
      </c>
      <c r="R339" t="s">
        <v>2467</v>
      </c>
      <c r="S339" s="42" t="str">
        <f>HYPERLINK("https://sklep.kobi.pl/produkt/led-kobi-seul-200w-4000k")</f>
        <v>https://sklep.kobi.pl/produkt/led-kobi-seul-200w-4000k</v>
      </c>
      <c r="T339" s="42" t="str">
        <f>HYPERLINK("https://eprel.ec.europa.eu/qr/1690430        ")</f>
        <v xml:space="preserve">https://eprel.ec.europa.eu/qr/1690430        </v>
      </c>
      <c r="U339">
        <v>2.9</v>
      </c>
      <c r="V339">
        <v>2.915</v>
      </c>
      <c r="W339">
        <v>400</v>
      </c>
      <c r="X339">
        <v>300</v>
      </c>
      <c r="Y339">
        <v>60</v>
      </c>
    </row>
    <row r="340" spans="1:25" ht="15" x14ac:dyDescent="0.25">
      <c r="A340" t="s">
        <v>22</v>
      </c>
      <c r="B340" t="s">
        <v>100</v>
      </c>
      <c r="C340" t="s">
        <v>59</v>
      </c>
      <c r="D340" t="s">
        <v>961</v>
      </c>
      <c r="E340" t="s">
        <v>14</v>
      </c>
      <c r="F340" t="s">
        <v>1992</v>
      </c>
      <c r="G340" t="s">
        <v>1382</v>
      </c>
      <c r="H340" t="s">
        <v>1</v>
      </c>
      <c r="I340">
        <v>213</v>
      </c>
      <c r="J340" s="41">
        <f>I340/'enter the discount'!$D$7</f>
        <v>49.857216422452133</v>
      </c>
      <c r="K340" s="41">
        <f>J340*(1-IFERROR(VLOOKUP(H340,'enter the discount'!$D$10:$E$40,2,FALSE),0))</f>
        <v>49.857216422452133</v>
      </c>
      <c r="L340" s="43" t="s">
        <v>859</v>
      </c>
      <c r="M340" t="s">
        <v>1383</v>
      </c>
      <c r="N340" t="s">
        <v>932</v>
      </c>
      <c r="O340" t="s">
        <v>2723</v>
      </c>
      <c r="P340">
        <v>10</v>
      </c>
      <c r="Q340">
        <v>0</v>
      </c>
      <c r="R340" t="s">
        <v>2467</v>
      </c>
      <c r="S340" s="42" t="str">
        <f>HYPERLINK("https://sklep.kobi.pl/produkt/led-kobi-seul-50w-4000k")</f>
        <v>https://sklep.kobi.pl/produkt/led-kobi-seul-50w-4000k</v>
      </c>
      <c r="T340" s="42" t="str">
        <f>HYPERLINK("https://eprel.ec.europa.eu/qr/1690198        ")</f>
        <v xml:space="preserve">https://eprel.ec.europa.eu/qr/1690198        </v>
      </c>
      <c r="U340">
        <v>1.2</v>
      </c>
      <c r="V340">
        <v>1.153</v>
      </c>
      <c r="W340">
        <v>265</v>
      </c>
      <c r="X340">
        <v>185</v>
      </c>
      <c r="Y340">
        <v>50</v>
      </c>
    </row>
    <row r="341" spans="1:25" ht="15" x14ac:dyDescent="0.25">
      <c r="A341" t="s">
        <v>22</v>
      </c>
      <c r="B341" t="s">
        <v>107</v>
      </c>
      <c r="C341" t="s">
        <v>59</v>
      </c>
      <c r="D341" t="s">
        <v>111</v>
      </c>
      <c r="E341" t="s">
        <v>2722</v>
      </c>
      <c r="F341" t="s">
        <v>1993</v>
      </c>
      <c r="G341" t="s">
        <v>1345</v>
      </c>
      <c r="H341" t="s">
        <v>1</v>
      </c>
      <c r="I341">
        <v>620</v>
      </c>
      <c r="J341" s="41">
        <f>I341/'enter the discount'!$D$7</f>
        <v>145.12429193389823</v>
      </c>
      <c r="K341" s="41">
        <f>J341*(1-IFERROR(VLOOKUP(H341,'enter the discount'!$D$10:$E$40,2,FALSE),0))</f>
        <v>145.12429193389823</v>
      </c>
      <c r="L341" s="43" t="s">
        <v>963</v>
      </c>
      <c r="M341" t="s">
        <v>1346</v>
      </c>
      <c r="N341" t="s">
        <v>932</v>
      </c>
      <c r="O341" t="s">
        <v>2723</v>
      </c>
      <c r="P341">
        <v>1</v>
      </c>
      <c r="Q341">
        <v>0</v>
      </c>
      <c r="R341" t="s">
        <v>2467</v>
      </c>
      <c r="S341" s="42" t="str">
        <f>HYPERLINK("https://sklep.kobi.pl/produkt/led-nina-high-bay-100w-90-4000k-ip65")</f>
        <v>https://sklep.kobi.pl/produkt/led-nina-high-bay-100w-90-4000k-ip65</v>
      </c>
      <c r="T341" s="42" t="str">
        <f>HYPERLINK("https://eprel.ec.europa.eu/qr/1521950        ")</f>
        <v xml:space="preserve">https://eprel.ec.europa.eu/qr/1521950        </v>
      </c>
      <c r="U341">
        <v>2.0099999999999998</v>
      </c>
      <c r="V341">
        <v>0</v>
      </c>
      <c r="W341">
        <v>140</v>
      </c>
      <c r="X341">
        <v>280</v>
      </c>
      <c r="Y341">
        <v>280</v>
      </c>
    </row>
    <row r="342" spans="1:25" ht="15" x14ac:dyDescent="0.25">
      <c r="A342" t="s">
        <v>22</v>
      </c>
      <c r="B342" t="s">
        <v>107</v>
      </c>
      <c r="C342" t="s">
        <v>59</v>
      </c>
      <c r="D342" t="s">
        <v>111</v>
      </c>
      <c r="E342" t="s">
        <v>14</v>
      </c>
      <c r="F342" t="s">
        <v>1994</v>
      </c>
      <c r="G342" t="s">
        <v>1347</v>
      </c>
      <c r="H342" t="s">
        <v>1</v>
      </c>
      <c r="I342">
        <v>760</v>
      </c>
      <c r="J342" s="41">
        <f>I342/'enter the discount'!$D$7</f>
        <v>177.89429333832686</v>
      </c>
      <c r="K342" s="41">
        <f>J342*(1-IFERROR(VLOOKUP(H342,'enter the discount'!$D$10:$E$40,2,FALSE),0))</f>
        <v>177.89429333832686</v>
      </c>
      <c r="L342" s="43" t="s">
        <v>963</v>
      </c>
      <c r="M342" t="s">
        <v>1348</v>
      </c>
      <c r="N342" t="s">
        <v>932</v>
      </c>
      <c r="O342" t="s">
        <v>2723</v>
      </c>
      <c r="P342">
        <v>1</v>
      </c>
      <c r="Q342">
        <v>0</v>
      </c>
      <c r="R342" t="s">
        <v>2467</v>
      </c>
      <c r="S342" s="42" t="str">
        <f>HYPERLINK("https://sklep.kobi.pl/produkt/led-nina-high-bay-150w-90-4000k-ip65")</f>
        <v>https://sklep.kobi.pl/produkt/led-nina-high-bay-150w-90-4000k-ip65</v>
      </c>
      <c r="T342" s="42" t="str">
        <f>HYPERLINK("https://eprel.ec.europa.eu/qr/1521961        ")</f>
        <v xml:space="preserve">https://eprel.ec.europa.eu/qr/1521961        </v>
      </c>
      <c r="U342">
        <v>2.36</v>
      </c>
      <c r="V342">
        <v>0</v>
      </c>
      <c r="W342">
        <v>140</v>
      </c>
      <c r="X342">
        <v>320</v>
      </c>
      <c r="Y342">
        <v>320</v>
      </c>
    </row>
    <row r="343" spans="1:25" ht="15" x14ac:dyDescent="0.25">
      <c r="A343" t="s">
        <v>22</v>
      </c>
      <c r="B343" t="s">
        <v>107</v>
      </c>
      <c r="C343" t="s">
        <v>59</v>
      </c>
      <c r="D343" t="s">
        <v>111</v>
      </c>
      <c r="E343" t="s">
        <v>14</v>
      </c>
      <c r="F343" t="s">
        <v>1995</v>
      </c>
      <c r="G343" t="s">
        <v>1349</v>
      </c>
      <c r="H343" t="s">
        <v>1</v>
      </c>
      <c r="I343">
        <v>1100</v>
      </c>
      <c r="J343" s="41">
        <f>I343/'enter the discount'!$D$7</f>
        <v>257.47858246336784</v>
      </c>
      <c r="K343" s="41">
        <f>J343*(1-IFERROR(VLOOKUP(H343,'enter the discount'!$D$10:$E$40,2,FALSE),0))</f>
        <v>257.47858246336784</v>
      </c>
      <c r="L343" s="43" t="s">
        <v>963</v>
      </c>
      <c r="M343" t="s">
        <v>1350</v>
      </c>
      <c r="N343" t="s">
        <v>932</v>
      </c>
      <c r="O343" t="s">
        <v>2723</v>
      </c>
      <c r="P343">
        <v>1</v>
      </c>
      <c r="Q343">
        <v>0</v>
      </c>
      <c r="R343" t="s">
        <v>2467</v>
      </c>
      <c r="S343" s="42" t="str">
        <f>HYPERLINK("https://sklep.kobi.pl/produkt/led-nina-high-bay-200w-90-4000k-ip65")</f>
        <v>https://sklep.kobi.pl/produkt/led-nina-high-bay-200w-90-4000k-ip65</v>
      </c>
      <c r="T343" s="42" t="str">
        <f>HYPERLINK("https://eprel.ec.europa.eu/qr/1522011        ")</f>
        <v xml:space="preserve">https://eprel.ec.europa.eu/qr/1522011        </v>
      </c>
      <c r="U343">
        <v>2.98</v>
      </c>
      <c r="V343">
        <v>0</v>
      </c>
      <c r="W343">
        <v>140</v>
      </c>
      <c r="X343">
        <v>360</v>
      </c>
      <c r="Y343">
        <v>350</v>
      </c>
    </row>
    <row r="344" spans="1:25" ht="15" x14ac:dyDescent="0.25">
      <c r="A344" t="s">
        <v>22</v>
      </c>
      <c r="B344" t="s">
        <v>107</v>
      </c>
      <c r="C344" t="s">
        <v>59</v>
      </c>
      <c r="D344" t="s">
        <v>111</v>
      </c>
      <c r="E344" t="s">
        <v>14</v>
      </c>
      <c r="F344" t="s">
        <v>1996</v>
      </c>
      <c r="G344" t="s">
        <v>1232</v>
      </c>
      <c r="H344" t="s">
        <v>1</v>
      </c>
      <c r="I344">
        <v>760</v>
      </c>
      <c r="J344" s="41">
        <f>I344/'enter the discount'!$D$7</f>
        <v>177.89429333832686</v>
      </c>
      <c r="K344" s="41">
        <f>J344*(1-IFERROR(VLOOKUP(H344,'enter the discount'!$D$10:$E$40,2,FALSE),0))</f>
        <v>177.89429333832686</v>
      </c>
      <c r="L344" s="43" t="s">
        <v>963</v>
      </c>
      <c r="M344" t="s">
        <v>1233</v>
      </c>
      <c r="N344" t="s">
        <v>932</v>
      </c>
      <c r="O344" t="s">
        <v>2723</v>
      </c>
      <c r="P344">
        <v>1</v>
      </c>
      <c r="Q344">
        <v>0</v>
      </c>
      <c r="R344" t="s">
        <v>2467</v>
      </c>
      <c r="S344" s="42" t="str">
        <f>HYPERLINK("https://sklep.kobi.pl/produkt/led-nina-high-bay-150w-110-4000k-ip65")</f>
        <v>https://sklep.kobi.pl/produkt/led-nina-high-bay-150w-110-4000k-ip65</v>
      </c>
      <c r="T344" s="42" t="str">
        <f>HYPERLINK("https://eprel.ec.europa.eu/qr/1252697        ")</f>
        <v xml:space="preserve">https://eprel.ec.europa.eu/qr/1252697        </v>
      </c>
      <c r="U344">
        <v>2.36</v>
      </c>
      <c r="V344">
        <v>0</v>
      </c>
      <c r="W344">
        <v>140</v>
      </c>
      <c r="X344">
        <v>320</v>
      </c>
      <c r="Y344">
        <v>320</v>
      </c>
    </row>
    <row r="345" spans="1:25" ht="15" x14ac:dyDescent="0.25">
      <c r="A345" t="s">
        <v>22</v>
      </c>
      <c r="B345" t="s">
        <v>107</v>
      </c>
      <c r="C345" t="s">
        <v>59</v>
      </c>
      <c r="D345" t="s">
        <v>111</v>
      </c>
      <c r="E345" t="s">
        <v>14</v>
      </c>
      <c r="F345" t="s">
        <v>1997</v>
      </c>
      <c r="G345" t="s">
        <v>1234</v>
      </c>
      <c r="H345" t="s">
        <v>1</v>
      </c>
      <c r="I345">
        <v>1100</v>
      </c>
      <c r="J345" s="41">
        <f>I345/'enter the discount'!$D$7</f>
        <v>257.47858246336784</v>
      </c>
      <c r="K345" s="41">
        <f>J345*(1-IFERROR(VLOOKUP(H345,'enter the discount'!$D$10:$E$40,2,FALSE),0))</f>
        <v>257.47858246336784</v>
      </c>
      <c r="L345" s="43" t="s">
        <v>963</v>
      </c>
      <c r="M345" t="s">
        <v>1235</v>
      </c>
      <c r="N345" t="s">
        <v>932</v>
      </c>
      <c r="O345" t="s">
        <v>2723</v>
      </c>
      <c r="P345">
        <v>1</v>
      </c>
      <c r="Q345">
        <v>0</v>
      </c>
      <c r="R345" t="s">
        <v>2467</v>
      </c>
      <c r="S345" s="42" t="str">
        <f>HYPERLINK("https://sklep.kobi.pl/produkt/led-nina-high-bay-200w-110-4000k-ip65")</f>
        <v>https://sklep.kobi.pl/produkt/led-nina-high-bay-200w-110-4000k-ip65</v>
      </c>
      <c r="T345" s="42" t="str">
        <f>HYPERLINK("https://eprel.ec.europa.eu/qr/1252699        ")</f>
        <v xml:space="preserve">https://eprel.ec.europa.eu/qr/1252699        </v>
      </c>
      <c r="U345">
        <v>2.98</v>
      </c>
      <c r="V345">
        <v>0</v>
      </c>
      <c r="W345">
        <v>140</v>
      </c>
      <c r="X345">
        <v>360</v>
      </c>
      <c r="Y345">
        <v>350</v>
      </c>
    </row>
    <row r="346" spans="1:25" ht="15" x14ac:dyDescent="0.25">
      <c r="A346" t="s">
        <v>22</v>
      </c>
      <c r="B346" t="s">
        <v>107</v>
      </c>
      <c r="C346" t="s">
        <v>59</v>
      </c>
      <c r="D346" t="s">
        <v>113</v>
      </c>
      <c r="E346" t="s">
        <v>2722</v>
      </c>
      <c r="F346" t="s">
        <v>1998</v>
      </c>
      <c r="G346" t="s">
        <v>290</v>
      </c>
      <c r="H346" t="s">
        <v>1</v>
      </c>
      <c r="I346">
        <v>522</v>
      </c>
      <c r="J346" s="41">
        <f>I346/'enter the discount'!$D$7</f>
        <v>122.18529095079819</v>
      </c>
      <c r="K346" s="41">
        <f>J346*(1-IFERROR(VLOOKUP(H346,'enter the discount'!$D$10:$E$40,2,FALSE),0))</f>
        <v>122.18529095079819</v>
      </c>
      <c r="L346" s="43" t="s">
        <v>858</v>
      </c>
      <c r="M346" t="s">
        <v>654</v>
      </c>
      <c r="N346" t="s">
        <v>932</v>
      </c>
      <c r="O346" t="s">
        <v>2723</v>
      </c>
      <c r="P346">
        <v>4</v>
      </c>
      <c r="Q346">
        <v>160</v>
      </c>
      <c r="R346" t="s">
        <v>2466</v>
      </c>
      <c r="S346" s="42" t="str">
        <f>HYPERLINK("https://sklep.kobi.pl/produkt/led-rio-high-bay-150w-4000k")</f>
        <v>https://sklep.kobi.pl/produkt/led-rio-high-bay-150w-4000k</v>
      </c>
      <c r="T346" s="42" t="str">
        <f>HYPERLINK("https://eprel.ec.europa.eu/qr/669417         ")</f>
        <v xml:space="preserve">https://eprel.ec.europa.eu/qr/669417         </v>
      </c>
      <c r="U346">
        <v>1.9419999999999999</v>
      </c>
      <c r="V346">
        <v>2.1819999999999999</v>
      </c>
      <c r="W346">
        <v>300</v>
      </c>
      <c r="X346">
        <v>300</v>
      </c>
      <c r="Y346">
        <v>100</v>
      </c>
    </row>
    <row r="347" spans="1:25" ht="15" x14ac:dyDescent="0.25">
      <c r="A347" t="s">
        <v>22</v>
      </c>
      <c r="B347" t="s">
        <v>107</v>
      </c>
      <c r="C347" t="s">
        <v>59</v>
      </c>
      <c r="D347" t="s">
        <v>113</v>
      </c>
      <c r="E347" t="s">
        <v>14</v>
      </c>
      <c r="F347" t="s">
        <v>1999</v>
      </c>
      <c r="G347" t="s">
        <v>1440</v>
      </c>
      <c r="H347" t="s">
        <v>1</v>
      </c>
      <c r="I347">
        <v>310</v>
      </c>
      <c r="J347" s="41">
        <f>I347/'enter the discount'!$D$7</f>
        <v>72.562145966949117</v>
      </c>
      <c r="K347" s="41">
        <f>J347*(1-IFERROR(VLOOKUP(H347,'enter the discount'!$D$10:$E$40,2,FALSE),0))</f>
        <v>72.562145966949117</v>
      </c>
      <c r="L347" s="43" t="s">
        <v>963</v>
      </c>
      <c r="M347" t="s">
        <v>1441</v>
      </c>
      <c r="N347" t="s">
        <v>932</v>
      </c>
      <c r="O347" t="s">
        <v>2723</v>
      </c>
      <c r="P347">
        <v>1</v>
      </c>
      <c r="Q347">
        <v>0</v>
      </c>
      <c r="R347" t="s">
        <v>2467</v>
      </c>
      <c r="S347" s="42" t="str">
        <f>HYPERLINK("https://sklep.kobi.pl/produkt/led-rio-pro-100w-4000k")</f>
        <v>https://sklep.kobi.pl/produkt/led-rio-pro-100w-4000k</v>
      </c>
      <c r="T347" s="42" t="str">
        <f>HYPERLINK("https://eprel.ec.europa.eu/qr/1809159        ")</f>
        <v xml:space="preserve">https://eprel.ec.europa.eu/qr/1809159        </v>
      </c>
      <c r="U347">
        <v>1.4</v>
      </c>
      <c r="V347">
        <v>0</v>
      </c>
      <c r="W347">
        <v>0</v>
      </c>
      <c r="X347">
        <v>0</v>
      </c>
      <c r="Y347">
        <v>0</v>
      </c>
    </row>
    <row r="348" spans="1:25" ht="15" x14ac:dyDescent="0.25">
      <c r="A348" t="s">
        <v>22</v>
      </c>
      <c r="B348" t="s">
        <v>107</v>
      </c>
      <c r="C348" t="s">
        <v>59</v>
      </c>
      <c r="D348" t="s">
        <v>113</v>
      </c>
      <c r="E348" t="s">
        <v>14</v>
      </c>
      <c r="F348" t="s">
        <v>2000</v>
      </c>
      <c r="G348" t="s">
        <v>2001</v>
      </c>
      <c r="H348" t="s">
        <v>1</v>
      </c>
      <c r="I348">
        <v>410</v>
      </c>
      <c r="J348" s="41">
        <f>I348/'enter the discount'!$D$7</f>
        <v>95.969289827255281</v>
      </c>
      <c r="K348" s="41">
        <f>J348*(1-IFERROR(VLOOKUP(H348,'enter the discount'!$D$10:$E$40,2,FALSE),0))</f>
        <v>95.969289827255281</v>
      </c>
      <c r="L348" s="43" t="s">
        <v>963</v>
      </c>
      <c r="M348" t="s">
        <v>2002</v>
      </c>
      <c r="N348" t="s">
        <v>932</v>
      </c>
      <c r="O348" t="s">
        <v>2723</v>
      </c>
      <c r="P348">
        <v>1</v>
      </c>
      <c r="Q348">
        <v>0</v>
      </c>
      <c r="R348" t="s">
        <v>2467</v>
      </c>
      <c r="S348" s="42" t="str">
        <f>HYPERLINK("https://sklep.kobi.pl/produkt/led-rio-pro-150w-4000k")</f>
        <v>https://sklep.kobi.pl/produkt/led-rio-pro-150w-4000k</v>
      </c>
      <c r="T348" s="42" t="str">
        <f>HYPERLINK("https://eprel.ec.europa.eu/qr/1809192        ")</f>
        <v xml:space="preserve">https://eprel.ec.europa.eu/qr/1809192        </v>
      </c>
      <c r="U348">
        <v>1.86</v>
      </c>
      <c r="V348">
        <v>0</v>
      </c>
      <c r="W348">
        <v>0</v>
      </c>
      <c r="X348">
        <v>0</v>
      </c>
      <c r="Y348">
        <v>0</v>
      </c>
    </row>
    <row r="349" spans="1:25" ht="15" x14ac:dyDescent="0.25">
      <c r="A349" t="s">
        <v>22</v>
      </c>
      <c r="B349" t="s">
        <v>107</v>
      </c>
      <c r="C349" t="s">
        <v>59</v>
      </c>
      <c r="D349" t="s">
        <v>113</v>
      </c>
      <c r="E349" t="s">
        <v>14</v>
      </c>
      <c r="F349" t="s">
        <v>2003</v>
      </c>
      <c r="G349" t="s">
        <v>2004</v>
      </c>
      <c r="H349" t="s">
        <v>1</v>
      </c>
      <c r="I349">
        <v>490</v>
      </c>
      <c r="J349" s="41">
        <f>I349/'enter the discount'!$D$7</f>
        <v>114.69500491550022</v>
      </c>
      <c r="K349" s="41">
        <f>J349*(1-IFERROR(VLOOKUP(H349,'enter the discount'!$D$10:$E$40,2,FALSE),0))</f>
        <v>114.69500491550022</v>
      </c>
      <c r="L349" s="43" t="s">
        <v>963</v>
      </c>
      <c r="M349" t="s">
        <v>2005</v>
      </c>
      <c r="N349" t="s">
        <v>932</v>
      </c>
      <c r="O349" t="s">
        <v>2723</v>
      </c>
      <c r="P349">
        <v>1</v>
      </c>
      <c r="Q349">
        <v>60</v>
      </c>
      <c r="R349" t="s">
        <v>2467</v>
      </c>
      <c r="S349" s="42" t="str">
        <f>HYPERLINK("https://sklep.kobi.pl/produkt/led-rio-pro-200w-4000k")</f>
        <v>https://sklep.kobi.pl/produkt/led-rio-pro-200w-4000k</v>
      </c>
      <c r="T349" s="42" t="str">
        <f>HYPERLINK("https://eprel.ec.europa.eu/qr/1809233        ")</f>
        <v xml:space="preserve">https://eprel.ec.europa.eu/qr/1809233        </v>
      </c>
      <c r="U349">
        <v>2.63</v>
      </c>
      <c r="V349">
        <v>0</v>
      </c>
      <c r="W349">
        <v>0</v>
      </c>
      <c r="X349">
        <v>0</v>
      </c>
      <c r="Y349">
        <v>0</v>
      </c>
    </row>
    <row r="350" spans="1:25" ht="15" x14ac:dyDescent="0.25">
      <c r="A350" t="s">
        <v>22</v>
      </c>
      <c r="B350" t="s">
        <v>107</v>
      </c>
      <c r="C350" t="s">
        <v>59</v>
      </c>
      <c r="D350" t="s">
        <v>113</v>
      </c>
      <c r="E350" t="s">
        <v>2721</v>
      </c>
      <c r="F350" t="s">
        <v>2756</v>
      </c>
      <c r="G350" t="s">
        <v>2757</v>
      </c>
      <c r="H350" t="s">
        <v>1</v>
      </c>
      <c r="I350">
        <v>589</v>
      </c>
      <c r="J350" s="41">
        <f>I350/'enter the discount'!$D$7</f>
        <v>137.86807733720332</v>
      </c>
      <c r="K350" s="41">
        <f>J350*(1-IFERROR(VLOOKUP(H350,'enter the discount'!$D$10:$E$40,2,FALSE),0))</f>
        <v>137.86807733720332</v>
      </c>
      <c r="L350" s="43" t="s">
        <v>963</v>
      </c>
      <c r="M350" t="s">
        <v>2762</v>
      </c>
      <c r="N350" t="s">
        <v>932</v>
      </c>
      <c r="O350" t="s">
        <v>2723</v>
      </c>
      <c r="P350">
        <v>1</v>
      </c>
      <c r="Q350">
        <v>60</v>
      </c>
      <c r="R350" t="s">
        <v>2467</v>
      </c>
      <c r="S350"/>
      <c r="T350" t="s">
        <v>14</v>
      </c>
      <c r="U350">
        <v>2.63</v>
      </c>
      <c r="V350">
        <v>0</v>
      </c>
      <c r="W350">
        <v>0</v>
      </c>
      <c r="X350">
        <v>0</v>
      </c>
      <c r="Y350">
        <v>0</v>
      </c>
    </row>
    <row r="351" spans="1:25" ht="15" x14ac:dyDescent="0.25">
      <c r="A351" t="s">
        <v>22</v>
      </c>
      <c r="B351" t="s">
        <v>107</v>
      </c>
      <c r="C351" t="s">
        <v>59</v>
      </c>
      <c r="D351" t="s">
        <v>111</v>
      </c>
      <c r="E351" t="s">
        <v>14</v>
      </c>
      <c r="F351" t="s">
        <v>2006</v>
      </c>
      <c r="G351" t="s">
        <v>1576</v>
      </c>
      <c r="H351" t="s">
        <v>1</v>
      </c>
      <c r="I351">
        <v>650</v>
      </c>
      <c r="J351" s="41">
        <f>I351/'enter the discount'!$D$7</f>
        <v>152.14643509199007</v>
      </c>
      <c r="K351" s="41">
        <f>J351*(1-IFERROR(VLOOKUP(H351,'enter the discount'!$D$10:$E$40,2,FALSE),0))</f>
        <v>152.14643509199007</v>
      </c>
      <c r="L351" s="43" t="s">
        <v>2546</v>
      </c>
      <c r="M351" t="s">
        <v>1577</v>
      </c>
      <c r="N351" t="s">
        <v>932</v>
      </c>
      <c r="O351" t="s">
        <v>2723</v>
      </c>
      <c r="P351">
        <v>1</v>
      </c>
      <c r="Q351">
        <v>0</v>
      </c>
      <c r="R351" t="s">
        <v>14</v>
      </c>
      <c r="S351" s="42" t="str">
        <f>HYPERLINK("https://sklep.kobi.pl/produkt/led-anica-high-bay-100w-120-4000k-ip65")</f>
        <v>https://sklep.kobi.pl/produkt/led-anica-high-bay-100w-120-4000k-ip65</v>
      </c>
      <c r="T351" s="42" t="str">
        <f>HYPERLINK("https://eprel.ec.europa.eu/qr/1899009        ")</f>
        <v xml:space="preserve">https://eprel.ec.europa.eu/qr/1899009        </v>
      </c>
      <c r="U351">
        <v>2.5</v>
      </c>
      <c r="V351">
        <v>0</v>
      </c>
      <c r="W351">
        <v>0</v>
      </c>
      <c r="X351">
        <v>0</v>
      </c>
      <c r="Y351">
        <v>0</v>
      </c>
    </row>
    <row r="352" spans="1:25" ht="15" x14ac:dyDescent="0.25">
      <c r="A352" t="s">
        <v>22</v>
      </c>
      <c r="B352" t="s">
        <v>107</v>
      </c>
      <c r="C352" t="s">
        <v>59</v>
      </c>
      <c r="D352" t="s">
        <v>111</v>
      </c>
      <c r="E352" t="s">
        <v>2721</v>
      </c>
      <c r="F352" t="s">
        <v>2758</v>
      </c>
      <c r="G352" t="s">
        <v>2725</v>
      </c>
      <c r="H352" t="s">
        <v>1</v>
      </c>
      <c r="I352">
        <v>1001</v>
      </c>
      <c r="J352" s="41">
        <f>I352/'enter the discount'!$D$7</f>
        <v>234.30551004166472</v>
      </c>
      <c r="K352" s="41">
        <f>J352*(1-IFERROR(VLOOKUP(H352,'enter the discount'!$D$10:$E$40,2,FALSE),0))</f>
        <v>234.30551004166472</v>
      </c>
      <c r="L352" s="43" t="s">
        <v>2546</v>
      </c>
      <c r="M352" t="s">
        <v>2732</v>
      </c>
      <c r="N352" t="s">
        <v>932</v>
      </c>
      <c r="O352" t="s">
        <v>2723</v>
      </c>
      <c r="P352">
        <v>1</v>
      </c>
      <c r="Q352">
        <v>0</v>
      </c>
      <c r="R352" t="s">
        <v>14</v>
      </c>
      <c r="S352" s="42" t="str">
        <f>HYPERLINK("https://sklep.kobi.pl/produkt/led-anica-high-bay-200w-120-4000k-ip65")</f>
        <v>https://sklep.kobi.pl/produkt/led-anica-high-bay-200w-120-4000k-ip65</v>
      </c>
      <c r="T352" s="42" t="str">
        <f>HYPERLINK("https://eprel.ec.europa.eu/qr/2132245        ")</f>
        <v xml:space="preserve">https://eprel.ec.europa.eu/qr/2132245        </v>
      </c>
      <c r="U352">
        <v>3.6</v>
      </c>
      <c r="V352">
        <v>0</v>
      </c>
      <c r="W352">
        <v>0</v>
      </c>
      <c r="X352">
        <v>0</v>
      </c>
      <c r="Y352">
        <v>0</v>
      </c>
    </row>
    <row r="353" spans="1:25" ht="15" x14ac:dyDescent="0.25">
      <c r="A353" t="s">
        <v>22</v>
      </c>
      <c r="B353" t="s">
        <v>107</v>
      </c>
      <c r="C353" t="s">
        <v>59</v>
      </c>
      <c r="D353" t="s">
        <v>111</v>
      </c>
      <c r="E353" t="s">
        <v>14</v>
      </c>
      <c r="F353" t="s">
        <v>2007</v>
      </c>
      <c r="G353" t="s">
        <v>1578</v>
      </c>
      <c r="H353" t="s">
        <v>1</v>
      </c>
      <c r="I353">
        <v>650</v>
      </c>
      <c r="J353" s="41">
        <f>I353/'enter the discount'!$D$7</f>
        <v>152.14643509199007</v>
      </c>
      <c r="K353" s="41">
        <f>J353*(1-IFERROR(VLOOKUP(H353,'enter the discount'!$D$10:$E$40,2,FALSE),0))</f>
        <v>152.14643509199007</v>
      </c>
      <c r="L353" s="43" t="s">
        <v>2546</v>
      </c>
      <c r="M353" t="s">
        <v>1579</v>
      </c>
      <c r="N353" t="s">
        <v>932</v>
      </c>
      <c r="O353" t="s">
        <v>2723</v>
      </c>
      <c r="P353">
        <v>1</v>
      </c>
      <c r="Q353">
        <v>0</v>
      </c>
      <c r="R353" t="s">
        <v>14</v>
      </c>
      <c r="S353" s="42" t="str">
        <f>HYPERLINK("https://sklep.kobi.pl/produkt/led-anica-high-bay-100w-90-4000k-ip65")</f>
        <v>https://sklep.kobi.pl/produkt/led-anica-high-bay-100w-90-4000k-ip65</v>
      </c>
      <c r="T353" s="42" t="str">
        <f>HYPERLINK("https://eprel.ec.europa.eu/qr/1899009        ")</f>
        <v xml:space="preserve">https://eprel.ec.europa.eu/qr/1899009        </v>
      </c>
      <c r="U353">
        <v>2.5</v>
      </c>
      <c r="V353">
        <v>0</v>
      </c>
      <c r="W353">
        <v>0</v>
      </c>
      <c r="X353">
        <v>0</v>
      </c>
      <c r="Y353">
        <v>0</v>
      </c>
    </row>
    <row r="354" spans="1:25" ht="15" x14ac:dyDescent="0.25">
      <c r="A354" t="s">
        <v>22</v>
      </c>
      <c r="B354" t="s">
        <v>107</v>
      </c>
      <c r="C354" t="s">
        <v>59</v>
      </c>
      <c r="D354" t="s">
        <v>111</v>
      </c>
      <c r="E354" t="s">
        <v>2721</v>
      </c>
      <c r="F354" t="s">
        <v>2726</v>
      </c>
      <c r="G354" t="s">
        <v>2727</v>
      </c>
      <c r="H354" t="s">
        <v>1</v>
      </c>
      <c r="I354">
        <v>1001</v>
      </c>
      <c r="J354" s="41">
        <f>I354/'enter the discount'!$D$7</f>
        <v>234.30551004166472</v>
      </c>
      <c r="K354" s="41">
        <f>J354*(1-IFERROR(VLOOKUP(H354,'enter the discount'!$D$10:$E$40,2,FALSE),0))</f>
        <v>234.30551004166472</v>
      </c>
      <c r="L354" s="43" t="s">
        <v>2546</v>
      </c>
      <c r="M354" t="s">
        <v>2733</v>
      </c>
      <c r="N354" t="s">
        <v>932</v>
      </c>
      <c r="O354" t="s">
        <v>2723</v>
      </c>
      <c r="P354">
        <v>1</v>
      </c>
      <c r="Q354">
        <v>0</v>
      </c>
      <c r="R354" t="s">
        <v>14</v>
      </c>
      <c r="S354" s="42" t="str">
        <f>HYPERLINK("https://sklep.kobi.pl/produkt/led-anica-high-bay-200w-90-4000k-ip65")</f>
        <v>https://sklep.kobi.pl/produkt/led-anica-high-bay-200w-90-4000k-ip65</v>
      </c>
      <c r="T354" s="42" t="str">
        <f>HYPERLINK("https://eprel.ec.europa.eu/qr/2132245        ")</f>
        <v xml:space="preserve">https://eprel.ec.europa.eu/qr/2132245        </v>
      </c>
      <c r="U354">
        <v>3.6</v>
      </c>
      <c r="V354">
        <v>0</v>
      </c>
      <c r="W354">
        <v>0</v>
      </c>
      <c r="X354">
        <v>0</v>
      </c>
      <c r="Y354">
        <v>0</v>
      </c>
    </row>
    <row r="355" spans="1:25" ht="15" x14ac:dyDescent="0.25">
      <c r="A355" t="s">
        <v>22</v>
      </c>
      <c r="B355" t="s">
        <v>107</v>
      </c>
      <c r="C355" t="s">
        <v>59</v>
      </c>
      <c r="D355" t="s">
        <v>111</v>
      </c>
      <c r="E355" t="s">
        <v>14</v>
      </c>
      <c r="F355" t="s">
        <v>1636</v>
      </c>
      <c r="G355" t="s">
        <v>1580</v>
      </c>
      <c r="H355" t="s">
        <v>1</v>
      </c>
      <c r="I355">
        <v>630</v>
      </c>
      <c r="J355" s="41">
        <f>I355/'enter the discount'!$D$7</f>
        <v>147.46500631992885</v>
      </c>
      <c r="K355" s="41">
        <f>J355*(1-IFERROR(VLOOKUP(H355,'enter the discount'!$D$10:$E$40,2,FALSE),0))</f>
        <v>147.46500631992885</v>
      </c>
      <c r="L355" s="43" t="s">
        <v>2547</v>
      </c>
      <c r="M355" t="s">
        <v>1581</v>
      </c>
      <c r="N355" t="s">
        <v>932</v>
      </c>
      <c r="O355" t="s">
        <v>2723</v>
      </c>
      <c r="P355">
        <v>1</v>
      </c>
      <c r="Q355">
        <v>0</v>
      </c>
      <c r="R355" t="s">
        <v>2467</v>
      </c>
      <c r="S355" s="42" t="str">
        <f>HYPERLINK("https://sklep.kobi.pl/produkt/led-nico-high-bay-120w-60x90-4000k-ip65")</f>
        <v>https://sklep.kobi.pl/produkt/led-nico-high-bay-120w-60x90-4000k-ip65</v>
      </c>
      <c r="T355" t="s">
        <v>14</v>
      </c>
      <c r="U355">
        <v>3</v>
      </c>
      <c r="V355">
        <v>0</v>
      </c>
      <c r="W355">
        <v>0</v>
      </c>
      <c r="X355">
        <v>0</v>
      </c>
      <c r="Y355">
        <v>0</v>
      </c>
    </row>
    <row r="356" spans="1:25" ht="15" x14ac:dyDescent="0.25">
      <c r="A356" t="s">
        <v>22</v>
      </c>
      <c r="B356" t="s">
        <v>100</v>
      </c>
      <c r="C356" t="s">
        <v>59</v>
      </c>
      <c r="D356" t="s">
        <v>112</v>
      </c>
      <c r="E356" t="s">
        <v>14</v>
      </c>
      <c r="F356" t="s">
        <v>864</v>
      </c>
      <c r="G356" t="s">
        <v>291</v>
      </c>
      <c r="H356" t="s">
        <v>1</v>
      </c>
      <c r="I356">
        <v>150.97</v>
      </c>
      <c r="J356" s="41">
        <f>I356/'enter the discount'!$D$7</f>
        <v>35.337765085904216</v>
      </c>
      <c r="K356" s="41">
        <f>J356*(1-IFERROR(VLOOKUP(H356,'enter the discount'!$D$10:$E$40,2,FALSE),0))</f>
        <v>35.337765085904216</v>
      </c>
      <c r="L356" s="43" t="s">
        <v>858</v>
      </c>
      <c r="M356" t="s">
        <v>655</v>
      </c>
      <c r="N356" t="s">
        <v>932</v>
      </c>
      <c r="O356" t="s">
        <v>2723</v>
      </c>
      <c r="P356">
        <v>10</v>
      </c>
      <c r="Q356">
        <v>400</v>
      </c>
      <c r="R356" t="s">
        <v>2465</v>
      </c>
      <c r="S356" s="42" t="str">
        <f>HYPERLINK("https://sklep.kobi.pl/produkt/led-mh-100w-czarna-4000k-led2b")</f>
        <v>https://sklep.kobi.pl/produkt/led-mh-100w-czarna-4000k-led2b</v>
      </c>
      <c r="T356" s="42" t="str">
        <f>HYPERLINK("https://eprel.ec.europa.eu/qr/760373         ")</f>
        <v xml:space="preserve">https://eprel.ec.europa.eu/qr/760373         </v>
      </c>
      <c r="U356">
        <v>1.181</v>
      </c>
      <c r="V356">
        <v>1.48</v>
      </c>
      <c r="W356">
        <v>250</v>
      </c>
      <c r="X356">
        <v>290</v>
      </c>
      <c r="Y356">
        <v>40</v>
      </c>
    </row>
    <row r="357" spans="1:25" ht="15" x14ac:dyDescent="0.25">
      <c r="A357" t="s">
        <v>22</v>
      </c>
      <c r="B357" t="s">
        <v>100</v>
      </c>
      <c r="C357" t="s">
        <v>59</v>
      </c>
      <c r="D357" t="s">
        <v>112</v>
      </c>
      <c r="E357" t="s">
        <v>14</v>
      </c>
      <c r="F357" t="s">
        <v>865</v>
      </c>
      <c r="G357" t="s">
        <v>292</v>
      </c>
      <c r="H357" t="s">
        <v>1</v>
      </c>
      <c r="I357">
        <v>150.97</v>
      </c>
      <c r="J357" s="41">
        <f>I357/'enter the discount'!$D$7</f>
        <v>35.337765085904216</v>
      </c>
      <c r="K357" s="41">
        <f>J357*(1-IFERROR(VLOOKUP(H357,'enter the discount'!$D$10:$E$40,2,FALSE),0))</f>
        <v>35.337765085904216</v>
      </c>
      <c r="L357" s="43" t="s">
        <v>858</v>
      </c>
      <c r="M357" t="s">
        <v>656</v>
      </c>
      <c r="N357" t="s">
        <v>932</v>
      </c>
      <c r="O357" t="s">
        <v>2723</v>
      </c>
      <c r="P357">
        <v>10</v>
      </c>
      <c r="Q357">
        <v>400</v>
      </c>
      <c r="R357" t="s">
        <v>2465</v>
      </c>
      <c r="S357" s="42" t="str">
        <f>HYPERLINK("https://sklep.kobi.pl/produkt/oprawa-led-mh-100w-czarna-6000k-led2b")</f>
        <v>https://sklep.kobi.pl/produkt/oprawa-led-mh-100w-czarna-6000k-led2b</v>
      </c>
      <c r="T357" s="42" t="str">
        <f>HYPERLINK("https://eprel.ec.europa.eu/qr/760374         ")</f>
        <v xml:space="preserve">https://eprel.ec.europa.eu/qr/760374         </v>
      </c>
      <c r="U357">
        <v>1.181</v>
      </c>
      <c r="V357">
        <v>1.48</v>
      </c>
      <c r="W357">
        <v>250</v>
      </c>
      <c r="X357">
        <v>290</v>
      </c>
      <c r="Y357">
        <v>40</v>
      </c>
    </row>
    <row r="358" spans="1:25" ht="15" x14ac:dyDescent="0.25">
      <c r="A358" t="s">
        <v>22</v>
      </c>
      <c r="B358" t="s">
        <v>100</v>
      </c>
      <c r="C358" t="s">
        <v>59</v>
      </c>
      <c r="D358" t="s">
        <v>112</v>
      </c>
      <c r="E358" t="s">
        <v>14</v>
      </c>
      <c r="F358" t="s">
        <v>2008</v>
      </c>
      <c r="G358" t="s">
        <v>1351</v>
      </c>
      <c r="H358" t="s">
        <v>1</v>
      </c>
      <c r="I358">
        <v>32.9</v>
      </c>
      <c r="J358" s="41">
        <f>I358/'enter the discount'!$D$7</f>
        <v>7.7009503300407287</v>
      </c>
      <c r="K358" s="41">
        <f>J358*(1-IFERROR(VLOOKUP(H358,'enter the discount'!$D$10:$E$40,2,FALSE),0))</f>
        <v>7.7009503300407287</v>
      </c>
      <c r="L358" s="43" t="s">
        <v>858</v>
      </c>
      <c r="M358" t="s">
        <v>1352</v>
      </c>
      <c r="N358" t="s">
        <v>932</v>
      </c>
      <c r="O358" t="s">
        <v>2723</v>
      </c>
      <c r="P358">
        <v>60</v>
      </c>
      <c r="Q358">
        <v>1800</v>
      </c>
      <c r="R358" t="s">
        <v>2465</v>
      </c>
      <c r="S358"/>
      <c r="T358" s="42" t="str">
        <f>HYPERLINK("https://eprel.ec.europa.eu/qr/934475         ")</f>
        <v xml:space="preserve">https://eprel.ec.europa.eu/qr/934475         </v>
      </c>
      <c r="U358">
        <v>0.18099999999999999</v>
      </c>
      <c r="V358">
        <v>0.216</v>
      </c>
      <c r="W358">
        <v>115</v>
      </c>
      <c r="X358">
        <v>110</v>
      </c>
      <c r="Y358">
        <v>35</v>
      </c>
    </row>
    <row r="359" spans="1:25" ht="15" x14ac:dyDescent="0.25">
      <c r="A359" t="s">
        <v>22</v>
      </c>
      <c r="B359" t="s">
        <v>100</v>
      </c>
      <c r="C359" t="s">
        <v>59</v>
      </c>
      <c r="D359" t="s">
        <v>112</v>
      </c>
      <c r="E359" t="s">
        <v>14</v>
      </c>
      <c r="F359" t="s">
        <v>2009</v>
      </c>
      <c r="G359" t="s">
        <v>293</v>
      </c>
      <c r="H359" t="s">
        <v>1</v>
      </c>
      <c r="I359">
        <v>32.9</v>
      </c>
      <c r="J359" s="41">
        <f>I359/'enter the discount'!$D$7</f>
        <v>7.7009503300407287</v>
      </c>
      <c r="K359" s="41">
        <f>J359*(1-IFERROR(VLOOKUP(H359,'enter the discount'!$D$10:$E$40,2,FALSE),0))</f>
        <v>7.7009503300407287</v>
      </c>
      <c r="L359" s="43" t="s">
        <v>858</v>
      </c>
      <c r="M359" t="s">
        <v>657</v>
      </c>
      <c r="N359" t="s">
        <v>932</v>
      </c>
      <c r="O359" t="s">
        <v>2723</v>
      </c>
      <c r="P359">
        <v>60</v>
      </c>
      <c r="Q359">
        <v>1800</v>
      </c>
      <c r="R359" t="s">
        <v>2465</v>
      </c>
      <c r="S359" s="42" t="str">
        <f>HYPERLINK("https://sklep.kobi.pl/produkt/oprawa-led-mh-10w-czarna-4000k-led2b")</f>
        <v>https://sklep.kobi.pl/produkt/oprawa-led-mh-10w-czarna-4000k-led2b</v>
      </c>
      <c r="T359" s="42" t="str">
        <f>HYPERLINK("https://eprel.ec.europa.eu/qr/760350         ")</f>
        <v xml:space="preserve">https://eprel.ec.europa.eu/qr/760350         </v>
      </c>
      <c r="U359">
        <v>0.18099999999999999</v>
      </c>
      <c r="V359">
        <v>0.216</v>
      </c>
      <c r="W359">
        <v>115</v>
      </c>
      <c r="X359">
        <v>110</v>
      </c>
      <c r="Y359">
        <v>35</v>
      </c>
    </row>
    <row r="360" spans="1:25" ht="15" x14ac:dyDescent="0.25">
      <c r="A360" t="s">
        <v>22</v>
      </c>
      <c r="B360" t="s">
        <v>100</v>
      </c>
      <c r="C360" t="s">
        <v>59</v>
      </c>
      <c r="D360" t="s">
        <v>112</v>
      </c>
      <c r="E360" t="s">
        <v>14</v>
      </c>
      <c r="F360" t="s">
        <v>2010</v>
      </c>
      <c r="G360" t="s">
        <v>294</v>
      </c>
      <c r="H360" t="s">
        <v>1</v>
      </c>
      <c r="I360">
        <v>32.9</v>
      </c>
      <c r="J360" s="41">
        <f>I360/'enter the discount'!$D$7</f>
        <v>7.7009503300407287</v>
      </c>
      <c r="K360" s="41">
        <f>J360*(1-IFERROR(VLOOKUP(H360,'enter the discount'!$D$10:$E$40,2,FALSE),0))</f>
        <v>7.7009503300407287</v>
      </c>
      <c r="L360" s="43" t="s">
        <v>858</v>
      </c>
      <c r="M360" t="s">
        <v>658</v>
      </c>
      <c r="N360" t="s">
        <v>932</v>
      </c>
      <c r="O360" t="s">
        <v>2723</v>
      </c>
      <c r="P360">
        <v>60</v>
      </c>
      <c r="Q360">
        <v>1800</v>
      </c>
      <c r="R360" t="s">
        <v>2465</v>
      </c>
      <c r="S360" s="42" t="str">
        <f>HYPERLINK("https://sklep.kobi.pl/produkt/oprawa-led-mh-10w-czarna-6000k-led2b")</f>
        <v>https://sklep.kobi.pl/produkt/oprawa-led-mh-10w-czarna-6000k-led2b</v>
      </c>
      <c r="T360" s="42" t="str">
        <f>HYPERLINK("https://eprel.ec.europa.eu/qr/760357         ")</f>
        <v xml:space="preserve">https://eprel.ec.europa.eu/qr/760357         </v>
      </c>
      <c r="U360">
        <v>0.18099999999999999</v>
      </c>
      <c r="V360">
        <v>0.216</v>
      </c>
      <c r="W360">
        <v>115</v>
      </c>
      <c r="X360">
        <v>110</v>
      </c>
      <c r="Y360">
        <v>35</v>
      </c>
    </row>
    <row r="361" spans="1:25" ht="15" x14ac:dyDescent="0.25">
      <c r="A361" t="s">
        <v>22</v>
      </c>
      <c r="B361" t="s">
        <v>100</v>
      </c>
      <c r="C361" t="s">
        <v>59</v>
      </c>
      <c r="D361" t="s">
        <v>112</v>
      </c>
      <c r="E361" t="s">
        <v>2721</v>
      </c>
      <c r="F361" t="s">
        <v>2009</v>
      </c>
      <c r="G361" t="s">
        <v>2678</v>
      </c>
      <c r="H361" t="s">
        <v>1</v>
      </c>
      <c r="I361">
        <v>18.899999999999999</v>
      </c>
      <c r="J361" s="41">
        <f>I361/'enter the discount'!$D$7</f>
        <v>4.423950189597865</v>
      </c>
      <c r="K361" s="41">
        <f>J361*(1-IFERROR(VLOOKUP(H361,'enter the discount'!$D$10:$E$40,2,FALSE),0))</f>
        <v>4.423950189597865</v>
      </c>
      <c r="L361" s="43" t="s">
        <v>858</v>
      </c>
      <c r="M361" t="s">
        <v>2702</v>
      </c>
      <c r="N361" t="s">
        <v>932</v>
      </c>
      <c r="O361" t="s">
        <v>2723</v>
      </c>
      <c r="P361">
        <v>40</v>
      </c>
      <c r="Q361">
        <v>0</v>
      </c>
      <c r="R361" t="s">
        <v>2465</v>
      </c>
      <c r="S361" s="42" t="str">
        <f>HYPERLINK("https://sklep.kobi.pl/produkt/led-mh-10w-czarna-4000k-led2b-red")</f>
        <v>https://sklep.kobi.pl/produkt/led-mh-10w-czarna-4000k-led2b-red</v>
      </c>
      <c r="T361" s="42" t="str">
        <f>HYPERLINK("https://eprel.ec.europa.eu/qr/1984162        ")</f>
        <v xml:space="preserve">https://eprel.ec.europa.eu/qr/1984162        </v>
      </c>
      <c r="U361">
        <v>0.14000000000000001</v>
      </c>
      <c r="V361">
        <v>0</v>
      </c>
      <c r="W361">
        <v>0</v>
      </c>
      <c r="X361">
        <v>0</v>
      </c>
      <c r="Y361">
        <v>0</v>
      </c>
    </row>
    <row r="362" spans="1:25" ht="15" x14ac:dyDescent="0.25">
      <c r="A362" t="s">
        <v>22</v>
      </c>
      <c r="B362" t="s">
        <v>100</v>
      </c>
      <c r="C362" t="s">
        <v>59</v>
      </c>
      <c r="D362" t="s">
        <v>112</v>
      </c>
      <c r="E362" t="s">
        <v>2721</v>
      </c>
      <c r="F362" t="s">
        <v>2679</v>
      </c>
      <c r="G362" t="s">
        <v>2680</v>
      </c>
      <c r="H362" t="s">
        <v>1</v>
      </c>
      <c r="I362">
        <v>18.899999999999999</v>
      </c>
      <c r="J362" s="41">
        <f>I362/'enter the discount'!$D$7</f>
        <v>4.423950189597865</v>
      </c>
      <c r="K362" s="41">
        <f>J362*(1-IFERROR(VLOOKUP(H362,'enter the discount'!$D$10:$E$40,2,FALSE),0))</f>
        <v>4.423950189597865</v>
      </c>
      <c r="L362" s="43" t="s">
        <v>858</v>
      </c>
      <c r="M362" t="s">
        <v>2703</v>
      </c>
      <c r="N362" t="s">
        <v>932</v>
      </c>
      <c r="O362" t="s">
        <v>2723</v>
      </c>
      <c r="P362">
        <v>40</v>
      </c>
      <c r="Q362">
        <v>0</v>
      </c>
      <c r="R362" t="s">
        <v>2465</v>
      </c>
      <c r="S362" s="42" t="str">
        <f>HYPERLINK("https://sklep.kobi.pl/produkt/led-mh-10w-czarna-6500k-led2b-red")</f>
        <v>https://sklep.kobi.pl/produkt/led-mh-10w-czarna-6500k-led2b-red</v>
      </c>
      <c r="T362" s="42" t="str">
        <f>HYPERLINK("https://eprel.ec.europa.eu/qr/1984170        ")</f>
        <v xml:space="preserve">https://eprel.ec.europa.eu/qr/1984170        </v>
      </c>
      <c r="U362">
        <v>0.14000000000000001</v>
      </c>
      <c r="V362">
        <v>0</v>
      </c>
      <c r="W362">
        <v>0</v>
      </c>
      <c r="X362">
        <v>0</v>
      </c>
      <c r="Y362">
        <v>0</v>
      </c>
    </row>
    <row r="363" spans="1:25" ht="15" x14ac:dyDescent="0.25">
      <c r="A363" t="s">
        <v>22</v>
      </c>
      <c r="B363" t="s">
        <v>100</v>
      </c>
      <c r="C363" t="s">
        <v>59</v>
      </c>
      <c r="D363" t="s">
        <v>112</v>
      </c>
      <c r="E363" t="s">
        <v>14</v>
      </c>
      <c r="F363" t="s">
        <v>2011</v>
      </c>
      <c r="G363" t="s">
        <v>1353</v>
      </c>
      <c r="H363" t="s">
        <v>1</v>
      </c>
      <c r="I363">
        <v>47</v>
      </c>
      <c r="J363" s="41">
        <f>I363/'enter the discount'!$D$7</f>
        <v>11.001357614343899</v>
      </c>
      <c r="K363" s="41">
        <f>J363*(1-IFERROR(VLOOKUP(H363,'enter the discount'!$D$10:$E$40,2,FALSE),0))</f>
        <v>11.001357614343899</v>
      </c>
      <c r="L363" s="43" t="s">
        <v>858</v>
      </c>
      <c r="M363" t="s">
        <v>1354</v>
      </c>
      <c r="N363" t="s">
        <v>932</v>
      </c>
      <c r="O363" t="s">
        <v>2723</v>
      </c>
      <c r="P363">
        <v>40</v>
      </c>
      <c r="Q363">
        <v>1600</v>
      </c>
      <c r="R363" t="s">
        <v>2465</v>
      </c>
      <c r="S363"/>
      <c r="T363" s="42" t="str">
        <f>HYPERLINK("https://eprel.ec.europa.eu/qr/941464         ")</f>
        <v xml:space="preserve">https://eprel.ec.europa.eu/qr/941464         </v>
      </c>
      <c r="U363">
        <v>0.26800000000000002</v>
      </c>
      <c r="V363">
        <v>0.316</v>
      </c>
      <c r="W363">
        <v>150</v>
      </c>
      <c r="X363">
        <v>135</v>
      </c>
      <c r="Y363">
        <v>30</v>
      </c>
    </row>
    <row r="364" spans="1:25" ht="15" x14ac:dyDescent="0.25">
      <c r="A364" t="s">
        <v>22</v>
      </c>
      <c r="B364" t="s">
        <v>100</v>
      </c>
      <c r="C364" t="s">
        <v>59</v>
      </c>
      <c r="D364" t="s">
        <v>112</v>
      </c>
      <c r="E364" t="s">
        <v>14</v>
      </c>
      <c r="F364" t="s">
        <v>2013</v>
      </c>
      <c r="G364" t="s">
        <v>295</v>
      </c>
      <c r="H364" t="s">
        <v>1</v>
      </c>
      <c r="I364">
        <v>47</v>
      </c>
      <c r="J364" s="41">
        <f>I364/'enter the discount'!$D$7</f>
        <v>11.001357614343899</v>
      </c>
      <c r="K364" s="41">
        <f>J364*(1-IFERROR(VLOOKUP(H364,'enter the discount'!$D$10:$E$40,2,FALSE),0))</f>
        <v>11.001357614343899</v>
      </c>
      <c r="L364" s="43" t="s">
        <v>858</v>
      </c>
      <c r="M364" t="s">
        <v>659</v>
      </c>
      <c r="N364" t="s">
        <v>932</v>
      </c>
      <c r="O364" t="s">
        <v>2723</v>
      </c>
      <c r="P364">
        <v>40</v>
      </c>
      <c r="Q364">
        <v>1600</v>
      </c>
      <c r="R364" t="s">
        <v>2465</v>
      </c>
      <c r="S364" s="42" t="str">
        <f>HYPERLINK("https://sklep.kobi.pl/produkt/oprawa-led-mh-20w-czarna-6000k-led2b")</f>
        <v>https://sklep.kobi.pl/produkt/oprawa-led-mh-20w-czarna-6000k-led2b</v>
      </c>
      <c r="T364" s="42" t="str">
        <f>HYPERLINK("https://eprel.ec.europa.eu/qr/760361         ")</f>
        <v xml:space="preserve">https://eprel.ec.europa.eu/qr/760361         </v>
      </c>
      <c r="U364">
        <v>0.26800000000000002</v>
      </c>
      <c r="V364">
        <v>0.316</v>
      </c>
      <c r="W364">
        <v>150</v>
      </c>
      <c r="X364">
        <v>135</v>
      </c>
      <c r="Y364">
        <v>30</v>
      </c>
    </row>
    <row r="365" spans="1:25" ht="15" x14ac:dyDescent="0.25">
      <c r="A365" t="s">
        <v>22</v>
      </c>
      <c r="B365" t="s">
        <v>100</v>
      </c>
      <c r="C365" t="s">
        <v>59</v>
      </c>
      <c r="D365" t="s">
        <v>112</v>
      </c>
      <c r="E365" t="s">
        <v>2721</v>
      </c>
      <c r="F365" t="s">
        <v>2012</v>
      </c>
      <c r="G365" t="s">
        <v>2681</v>
      </c>
      <c r="H365" t="s">
        <v>1</v>
      </c>
      <c r="I365">
        <v>29.9</v>
      </c>
      <c r="J365" s="41">
        <f>I365/'enter the discount'!$D$7</f>
        <v>6.9987360142315431</v>
      </c>
      <c r="K365" s="41">
        <f>J365*(1-IFERROR(VLOOKUP(H365,'enter the discount'!$D$10:$E$40,2,FALSE),0))</f>
        <v>6.9987360142315431</v>
      </c>
      <c r="L365" s="43" t="s">
        <v>858</v>
      </c>
      <c r="M365" t="s">
        <v>2704</v>
      </c>
      <c r="N365" t="s">
        <v>932</v>
      </c>
      <c r="O365" t="s">
        <v>2723</v>
      </c>
      <c r="P365">
        <v>20</v>
      </c>
      <c r="Q365">
        <v>0</v>
      </c>
      <c r="R365" t="s">
        <v>2465</v>
      </c>
      <c r="S365" s="42" t="str">
        <f>HYPERLINK("https://sklep.kobi.pl/produkt/led-mh-20w-czarna-4000k-led2b-red")</f>
        <v>https://sklep.kobi.pl/produkt/led-mh-20w-czarna-4000k-led2b-red</v>
      </c>
      <c r="T365" s="42" t="str">
        <f>HYPERLINK("https://eprel.ec.europa.eu/qr/1984182        ")</f>
        <v xml:space="preserve">https://eprel.ec.europa.eu/qr/1984182        </v>
      </c>
      <c r="U365">
        <v>0.22</v>
      </c>
      <c r="V365">
        <v>0</v>
      </c>
      <c r="W365">
        <v>0</v>
      </c>
      <c r="X365">
        <v>0</v>
      </c>
      <c r="Y365">
        <v>0</v>
      </c>
    </row>
    <row r="366" spans="1:25" ht="15" x14ac:dyDescent="0.25">
      <c r="A366" t="s">
        <v>22</v>
      </c>
      <c r="B366" t="s">
        <v>100</v>
      </c>
      <c r="C366" t="s">
        <v>59</v>
      </c>
      <c r="D366" t="s">
        <v>112</v>
      </c>
      <c r="E366" t="s">
        <v>2721</v>
      </c>
      <c r="F366" t="s">
        <v>2682</v>
      </c>
      <c r="G366" t="s">
        <v>2683</v>
      </c>
      <c r="H366" t="s">
        <v>1</v>
      </c>
      <c r="I366">
        <v>29.9</v>
      </c>
      <c r="J366" s="41">
        <f>I366/'enter the discount'!$D$7</f>
        <v>6.9987360142315431</v>
      </c>
      <c r="K366" s="41">
        <f>J366*(1-IFERROR(VLOOKUP(H366,'enter the discount'!$D$10:$E$40,2,FALSE),0))</f>
        <v>6.9987360142315431</v>
      </c>
      <c r="L366" s="43" t="s">
        <v>858</v>
      </c>
      <c r="M366" t="s">
        <v>2705</v>
      </c>
      <c r="N366" t="s">
        <v>932</v>
      </c>
      <c r="O366" t="s">
        <v>2723</v>
      </c>
      <c r="P366">
        <v>20</v>
      </c>
      <c r="Q366">
        <v>0</v>
      </c>
      <c r="R366" t="s">
        <v>2465</v>
      </c>
      <c r="S366" s="42" t="str">
        <f>HYPERLINK("https://sklep.kobi.pl/produkt/led-mh-20w-czarna-6500k-led2b-red")</f>
        <v>https://sklep.kobi.pl/produkt/led-mh-20w-czarna-6500k-led2b-red</v>
      </c>
      <c r="T366" s="42" t="str">
        <f>HYPERLINK("https://eprel.ec.europa.eu/qr/1984224        ")</f>
        <v xml:space="preserve">https://eprel.ec.europa.eu/qr/1984224        </v>
      </c>
      <c r="U366">
        <v>0.22</v>
      </c>
      <c r="V366">
        <v>0</v>
      </c>
      <c r="W366">
        <v>0</v>
      </c>
      <c r="X366">
        <v>0</v>
      </c>
      <c r="Y366">
        <v>0</v>
      </c>
    </row>
    <row r="367" spans="1:25" ht="15" x14ac:dyDescent="0.25">
      <c r="A367" t="s">
        <v>22</v>
      </c>
      <c r="B367" t="s">
        <v>100</v>
      </c>
      <c r="C367" t="s">
        <v>59</v>
      </c>
      <c r="D367" t="s">
        <v>112</v>
      </c>
      <c r="E367" t="s">
        <v>14</v>
      </c>
      <c r="F367" t="s">
        <v>2014</v>
      </c>
      <c r="G367" t="s">
        <v>1355</v>
      </c>
      <c r="H367" t="s">
        <v>1</v>
      </c>
      <c r="I367">
        <v>68</v>
      </c>
      <c r="J367" s="41">
        <f>I367/'enter the discount'!$D$7</f>
        <v>15.916857825008194</v>
      </c>
      <c r="K367" s="41">
        <f>J367*(1-IFERROR(VLOOKUP(H367,'enter the discount'!$D$10:$E$40,2,FALSE),0))</f>
        <v>15.916857825008194</v>
      </c>
      <c r="L367" s="43" t="s">
        <v>858</v>
      </c>
      <c r="M367" t="s">
        <v>1356</v>
      </c>
      <c r="N367" t="s">
        <v>932</v>
      </c>
      <c r="O367" t="s">
        <v>2723</v>
      </c>
      <c r="P367">
        <v>30</v>
      </c>
      <c r="Q367">
        <v>960</v>
      </c>
      <c r="R367" t="s">
        <v>2465</v>
      </c>
      <c r="S367"/>
      <c r="T367" s="42" t="str">
        <f>HYPERLINK("https://eprel.ec.europa.eu/qr/941551         ")</f>
        <v xml:space="preserve">https://eprel.ec.europa.eu/qr/941551         </v>
      </c>
      <c r="U367">
        <v>0.435</v>
      </c>
      <c r="V367">
        <v>0.501</v>
      </c>
      <c r="W367">
        <v>190</v>
      </c>
      <c r="X367">
        <v>175</v>
      </c>
      <c r="Y367">
        <v>35</v>
      </c>
    </row>
    <row r="368" spans="1:25" ht="15" x14ac:dyDescent="0.25">
      <c r="A368" t="s">
        <v>22</v>
      </c>
      <c r="B368" t="s">
        <v>100</v>
      </c>
      <c r="C368" t="s">
        <v>59</v>
      </c>
      <c r="D368" t="s">
        <v>112</v>
      </c>
      <c r="E368" t="s">
        <v>14</v>
      </c>
      <c r="F368" t="s">
        <v>2015</v>
      </c>
      <c r="G368" t="s">
        <v>296</v>
      </c>
      <c r="H368" t="s">
        <v>1</v>
      </c>
      <c r="I368">
        <v>68</v>
      </c>
      <c r="J368" s="41">
        <f>I368/'enter the discount'!$D$7</f>
        <v>15.916857825008194</v>
      </c>
      <c r="K368" s="41">
        <f>J368*(1-IFERROR(VLOOKUP(H368,'enter the discount'!$D$10:$E$40,2,FALSE),0))</f>
        <v>15.916857825008194</v>
      </c>
      <c r="L368" s="43" t="s">
        <v>858</v>
      </c>
      <c r="M368" t="s">
        <v>660</v>
      </c>
      <c r="N368" t="s">
        <v>932</v>
      </c>
      <c r="O368" t="s">
        <v>2723</v>
      </c>
      <c r="P368">
        <v>30</v>
      </c>
      <c r="Q368">
        <v>960</v>
      </c>
      <c r="R368" t="s">
        <v>2465</v>
      </c>
      <c r="S368"/>
      <c r="T368" s="42" t="str">
        <f>HYPERLINK("https://eprel.ec.europa.eu/qr/760363         ")</f>
        <v xml:space="preserve">https://eprel.ec.europa.eu/qr/760363         </v>
      </c>
      <c r="U368">
        <v>0.435</v>
      </c>
      <c r="V368">
        <v>0.501</v>
      </c>
      <c r="W368">
        <v>190</v>
      </c>
      <c r="X368">
        <v>175</v>
      </c>
      <c r="Y368">
        <v>35</v>
      </c>
    </row>
    <row r="369" spans="1:25" ht="15" x14ac:dyDescent="0.25">
      <c r="A369" t="s">
        <v>22</v>
      </c>
      <c r="B369" t="s">
        <v>100</v>
      </c>
      <c r="C369" t="s">
        <v>59</v>
      </c>
      <c r="D369" t="s">
        <v>112</v>
      </c>
      <c r="E369" t="s">
        <v>14</v>
      </c>
      <c r="F369" t="s">
        <v>2016</v>
      </c>
      <c r="G369" t="s">
        <v>297</v>
      </c>
      <c r="H369" t="s">
        <v>1</v>
      </c>
      <c r="I369">
        <v>68</v>
      </c>
      <c r="J369" s="41">
        <f>I369/'enter the discount'!$D$7</f>
        <v>15.916857825008194</v>
      </c>
      <c r="K369" s="41">
        <f>J369*(1-IFERROR(VLOOKUP(H369,'enter the discount'!$D$10:$E$40,2,FALSE),0))</f>
        <v>15.916857825008194</v>
      </c>
      <c r="L369" s="43" t="s">
        <v>858</v>
      </c>
      <c r="M369" t="s">
        <v>661</v>
      </c>
      <c r="N369" t="s">
        <v>932</v>
      </c>
      <c r="O369" t="s">
        <v>2723</v>
      </c>
      <c r="P369">
        <v>30</v>
      </c>
      <c r="Q369">
        <v>960</v>
      </c>
      <c r="R369" t="s">
        <v>2465</v>
      </c>
      <c r="S369" s="42" t="str">
        <f>HYPERLINK("https://sklep.kobi.pl/produkt/oprawa-led-mh-30w-czarna-6000k-led2b")</f>
        <v>https://sklep.kobi.pl/produkt/oprawa-led-mh-30w-czarna-6000k-led2b</v>
      </c>
      <c r="T369" s="42" t="str">
        <f>HYPERLINK("https://eprel.ec.europa.eu/qr/760365         ")</f>
        <v xml:space="preserve">https://eprel.ec.europa.eu/qr/760365         </v>
      </c>
      <c r="U369">
        <v>0.435</v>
      </c>
      <c r="V369">
        <v>0.501</v>
      </c>
      <c r="W369">
        <v>190</v>
      </c>
      <c r="X369">
        <v>175</v>
      </c>
      <c r="Y369">
        <v>35</v>
      </c>
    </row>
    <row r="370" spans="1:25" ht="15" x14ac:dyDescent="0.25">
      <c r="A370" t="s">
        <v>22</v>
      </c>
      <c r="B370" t="s">
        <v>100</v>
      </c>
      <c r="C370" t="s">
        <v>59</v>
      </c>
      <c r="D370" t="s">
        <v>112</v>
      </c>
      <c r="E370" t="s">
        <v>2721</v>
      </c>
      <c r="F370" t="s">
        <v>2015</v>
      </c>
      <c r="G370" t="s">
        <v>2684</v>
      </c>
      <c r="H370" t="s">
        <v>1</v>
      </c>
      <c r="I370">
        <v>38.19</v>
      </c>
      <c r="J370" s="41">
        <f>I370/'enter the discount'!$D$7</f>
        <v>8.9391882402509246</v>
      </c>
      <c r="K370" s="41">
        <f>J370*(1-IFERROR(VLOOKUP(H370,'enter the discount'!$D$10:$E$40,2,FALSE),0))</f>
        <v>8.9391882402509246</v>
      </c>
      <c r="L370" s="43" t="s">
        <v>858</v>
      </c>
      <c r="M370" t="s">
        <v>2706</v>
      </c>
      <c r="N370" t="s">
        <v>932</v>
      </c>
      <c r="O370" t="s">
        <v>2723</v>
      </c>
      <c r="P370">
        <v>20</v>
      </c>
      <c r="Q370">
        <v>0</v>
      </c>
      <c r="R370" t="s">
        <v>2465</v>
      </c>
      <c r="S370" s="42" t="str">
        <f>HYPERLINK("https://sklep.kobi.pl/produkt/led-mh-30w-czarna-4000k-led2b-red")</f>
        <v>https://sklep.kobi.pl/produkt/led-mh-30w-czarna-4000k-led2b-red</v>
      </c>
      <c r="T370" s="42" t="str">
        <f>HYPERLINK("https://eprel.ec.europa.eu/qr/1984250        ")</f>
        <v xml:space="preserve">https://eprel.ec.europa.eu/qr/1984250        </v>
      </c>
      <c r="U370">
        <v>0.32</v>
      </c>
      <c r="V370">
        <v>0</v>
      </c>
      <c r="W370">
        <v>0</v>
      </c>
      <c r="X370">
        <v>0</v>
      </c>
      <c r="Y370">
        <v>0</v>
      </c>
    </row>
    <row r="371" spans="1:25" ht="15" x14ac:dyDescent="0.25">
      <c r="A371" t="s">
        <v>22</v>
      </c>
      <c r="B371" t="s">
        <v>100</v>
      </c>
      <c r="C371" t="s">
        <v>59</v>
      </c>
      <c r="D371" t="s">
        <v>112</v>
      </c>
      <c r="E371" t="s">
        <v>2721</v>
      </c>
      <c r="F371" t="s">
        <v>2685</v>
      </c>
      <c r="G371" t="s">
        <v>2686</v>
      </c>
      <c r="H371" t="s">
        <v>1</v>
      </c>
      <c r="I371">
        <v>38.19</v>
      </c>
      <c r="J371" s="41">
        <f>I371/'enter the discount'!$D$7</f>
        <v>8.9391882402509246</v>
      </c>
      <c r="K371" s="41">
        <f>J371*(1-IFERROR(VLOOKUP(H371,'enter the discount'!$D$10:$E$40,2,FALSE),0))</f>
        <v>8.9391882402509246</v>
      </c>
      <c r="L371" s="43" t="s">
        <v>858</v>
      </c>
      <c r="M371" t="s">
        <v>2707</v>
      </c>
      <c r="N371" t="s">
        <v>932</v>
      </c>
      <c r="O371" t="s">
        <v>2723</v>
      </c>
      <c r="P371">
        <v>20</v>
      </c>
      <c r="Q371">
        <v>0</v>
      </c>
      <c r="R371" t="s">
        <v>2465</v>
      </c>
      <c r="S371" s="42" t="str">
        <f>HYPERLINK("https://sklep.kobi.pl/produkt/led-mh-30w-czarna-6500k-led2b-red")</f>
        <v>https://sklep.kobi.pl/produkt/led-mh-30w-czarna-6500k-led2b-red</v>
      </c>
      <c r="T371" s="42" t="str">
        <f>HYPERLINK("https://eprel.ec.europa.eu/qr/1984257        ")</f>
        <v xml:space="preserve">https://eprel.ec.europa.eu/qr/1984257        </v>
      </c>
      <c r="U371">
        <v>0.32</v>
      </c>
      <c r="V371">
        <v>0</v>
      </c>
      <c r="W371">
        <v>0</v>
      </c>
      <c r="X371">
        <v>0</v>
      </c>
      <c r="Y371">
        <v>0</v>
      </c>
    </row>
    <row r="372" spans="1:25" ht="15" x14ac:dyDescent="0.25">
      <c r="A372" t="s">
        <v>22</v>
      </c>
      <c r="B372" t="s">
        <v>100</v>
      </c>
      <c r="C372" t="s">
        <v>59</v>
      </c>
      <c r="D372" t="s">
        <v>112</v>
      </c>
      <c r="E372" t="s">
        <v>14</v>
      </c>
      <c r="F372" t="s">
        <v>2017</v>
      </c>
      <c r="G372" t="s">
        <v>1357</v>
      </c>
      <c r="H372" t="s">
        <v>1</v>
      </c>
      <c r="I372">
        <v>83.11</v>
      </c>
      <c r="J372" s="41">
        <f>I372/'enter the discount'!$D$7</f>
        <v>19.453677262300456</v>
      </c>
      <c r="K372" s="41">
        <f>J372*(1-IFERROR(VLOOKUP(H372,'enter the discount'!$D$10:$E$40,2,FALSE),0))</f>
        <v>19.453677262300456</v>
      </c>
      <c r="L372" s="43" t="s">
        <v>858</v>
      </c>
      <c r="M372" t="s">
        <v>1358</v>
      </c>
      <c r="N372" t="s">
        <v>932</v>
      </c>
      <c r="O372" t="s">
        <v>2723</v>
      </c>
      <c r="P372">
        <v>20</v>
      </c>
      <c r="Q372">
        <v>840</v>
      </c>
      <c r="R372" t="s">
        <v>2465</v>
      </c>
      <c r="S372"/>
      <c r="T372" s="42" t="str">
        <f>HYPERLINK("https://eprel.ec.europa.eu/qr/941599         ")</f>
        <v xml:space="preserve">https://eprel.ec.europa.eu/qr/941599         </v>
      </c>
      <c r="U372">
        <v>0.58799999999999997</v>
      </c>
      <c r="V372">
        <v>0.67400000000000004</v>
      </c>
      <c r="W372">
        <v>220</v>
      </c>
      <c r="X372">
        <v>185</v>
      </c>
      <c r="Y372">
        <v>30</v>
      </c>
    </row>
    <row r="373" spans="1:25" ht="15" x14ac:dyDescent="0.25">
      <c r="A373" t="s">
        <v>22</v>
      </c>
      <c r="B373" t="s">
        <v>100</v>
      </c>
      <c r="C373" t="s">
        <v>59</v>
      </c>
      <c r="D373" t="s">
        <v>112</v>
      </c>
      <c r="E373" t="s">
        <v>14</v>
      </c>
      <c r="F373" t="s">
        <v>2018</v>
      </c>
      <c r="G373" t="s">
        <v>298</v>
      </c>
      <c r="H373" t="s">
        <v>1</v>
      </c>
      <c r="I373">
        <v>83.11</v>
      </c>
      <c r="J373" s="41">
        <f>I373/'enter the discount'!$D$7</f>
        <v>19.453677262300456</v>
      </c>
      <c r="K373" s="41">
        <f>J373*(1-IFERROR(VLOOKUP(H373,'enter the discount'!$D$10:$E$40,2,FALSE),0))</f>
        <v>19.453677262300456</v>
      </c>
      <c r="L373" s="43" t="s">
        <v>858</v>
      </c>
      <c r="M373" t="s">
        <v>662</v>
      </c>
      <c r="N373" t="s">
        <v>932</v>
      </c>
      <c r="O373" t="s">
        <v>2723</v>
      </c>
      <c r="P373">
        <v>20</v>
      </c>
      <c r="Q373">
        <v>840</v>
      </c>
      <c r="R373" t="s">
        <v>2465</v>
      </c>
      <c r="S373"/>
      <c r="T373" s="42" t="str">
        <f>HYPERLINK("https://eprel.ec.europa.eu/qr/760369         ")</f>
        <v xml:space="preserve">https://eprel.ec.europa.eu/qr/760369         </v>
      </c>
      <c r="U373">
        <v>0.58799999999999997</v>
      </c>
      <c r="V373">
        <v>0.67400000000000004</v>
      </c>
      <c r="W373">
        <v>220</v>
      </c>
      <c r="X373">
        <v>185</v>
      </c>
      <c r="Y373">
        <v>30</v>
      </c>
    </row>
    <row r="374" spans="1:25" ht="15" x14ac:dyDescent="0.25">
      <c r="A374" t="s">
        <v>22</v>
      </c>
      <c r="B374" t="s">
        <v>100</v>
      </c>
      <c r="C374" t="s">
        <v>59</v>
      </c>
      <c r="D374" t="s">
        <v>112</v>
      </c>
      <c r="E374" t="s">
        <v>14</v>
      </c>
      <c r="F374" t="s">
        <v>2019</v>
      </c>
      <c r="G374" t="s">
        <v>299</v>
      </c>
      <c r="H374" t="s">
        <v>1</v>
      </c>
      <c r="I374">
        <v>83.11</v>
      </c>
      <c r="J374" s="41">
        <f>I374/'enter the discount'!$D$7</f>
        <v>19.453677262300456</v>
      </c>
      <c r="K374" s="41">
        <f>J374*(1-IFERROR(VLOOKUP(H374,'enter the discount'!$D$10:$E$40,2,FALSE),0))</f>
        <v>19.453677262300456</v>
      </c>
      <c r="L374" s="43" t="s">
        <v>858</v>
      </c>
      <c r="M374" t="s">
        <v>663</v>
      </c>
      <c r="N374" t="s">
        <v>932</v>
      </c>
      <c r="O374" t="s">
        <v>2723</v>
      </c>
      <c r="P374">
        <v>20</v>
      </c>
      <c r="Q374">
        <v>840</v>
      </c>
      <c r="R374" t="s">
        <v>2465</v>
      </c>
      <c r="S374"/>
      <c r="T374" s="42" t="str">
        <f>HYPERLINK("https://eprel.ec.europa.eu/qr/760371         ")</f>
        <v xml:space="preserve">https://eprel.ec.europa.eu/qr/760371         </v>
      </c>
      <c r="U374">
        <v>0.58799999999999997</v>
      </c>
      <c r="V374">
        <v>0.67400000000000004</v>
      </c>
      <c r="W374">
        <v>220</v>
      </c>
      <c r="X374">
        <v>185</v>
      </c>
      <c r="Y374">
        <v>30</v>
      </c>
    </row>
    <row r="375" spans="1:25" ht="15" x14ac:dyDescent="0.25">
      <c r="A375" t="s">
        <v>22</v>
      </c>
      <c r="B375" t="s">
        <v>100</v>
      </c>
      <c r="C375" t="s">
        <v>59</v>
      </c>
      <c r="D375" t="s">
        <v>112</v>
      </c>
      <c r="E375" t="s">
        <v>2721</v>
      </c>
      <c r="F375" t="s">
        <v>2018</v>
      </c>
      <c r="G375" t="s">
        <v>2550</v>
      </c>
      <c r="H375" t="s">
        <v>1</v>
      </c>
      <c r="I375">
        <v>52.57</v>
      </c>
      <c r="J375" s="41">
        <f>I375/'enter the discount'!$D$7</f>
        <v>12.305135527362951</v>
      </c>
      <c r="K375" s="41">
        <f>J375*(1-IFERROR(VLOOKUP(H375,'enter the discount'!$D$10:$E$40,2,FALSE),0))</f>
        <v>12.305135527362951</v>
      </c>
      <c r="L375" s="43" t="s">
        <v>858</v>
      </c>
      <c r="M375" t="s">
        <v>2633</v>
      </c>
      <c r="N375" t="s">
        <v>932</v>
      </c>
      <c r="O375" t="s">
        <v>2723</v>
      </c>
      <c r="P375">
        <v>20</v>
      </c>
      <c r="Q375">
        <v>0</v>
      </c>
      <c r="R375" t="s">
        <v>2465</v>
      </c>
      <c r="S375" s="42" t="str">
        <f>HYPERLINK("https://sklep.kobi.pl/produkt/led-mh-50w-czarna-4000k-led2b-red")</f>
        <v>https://sklep.kobi.pl/produkt/led-mh-50w-czarna-4000k-led2b-red</v>
      </c>
      <c r="T375" s="42" t="str">
        <f>HYPERLINK("https://eprel.ec.europa.eu/qr/1984267        ")</f>
        <v xml:space="preserve">https://eprel.ec.europa.eu/qr/1984267        </v>
      </c>
      <c r="U375">
        <v>0.46</v>
      </c>
      <c r="V375">
        <v>0</v>
      </c>
      <c r="W375">
        <v>0</v>
      </c>
      <c r="X375">
        <v>0</v>
      </c>
      <c r="Y375">
        <v>0</v>
      </c>
    </row>
    <row r="376" spans="1:25" ht="15" x14ac:dyDescent="0.25">
      <c r="A376" t="s">
        <v>22</v>
      </c>
      <c r="B376" t="s">
        <v>100</v>
      </c>
      <c r="C376" t="s">
        <v>59</v>
      </c>
      <c r="D376" t="s">
        <v>112</v>
      </c>
      <c r="E376" t="s">
        <v>2721</v>
      </c>
      <c r="F376" t="s">
        <v>2551</v>
      </c>
      <c r="G376" t="s">
        <v>2552</v>
      </c>
      <c r="H376" t="s">
        <v>1</v>
      </c>
      <c r="I376">
        <v>52.57</v>
      </c>
      <c r="J376" s="41">
        <f>I376/'enter the discount'!$D$7</f>
        <v>12.305135527362951</v>
      </c>
      <c r="K376" s="41">
        <f>J376*(1-IFERROR(VLOOKUP(H376,'enter the discount'!$D$10:$E$40,2,FALSE),0))</f>
        <v>12.305135527362951</v>
      </c>
      <c r="L376" s="43" t="s">
        <v>858</v>
      </c>
      <c r="M376" t="s">
        <v>2634</v>
      </c>
      <c r="N376" t="s">
        <v>932</v>
      </c>
      <c r="O376" t="s">
        <v>2723</v>
      </c>
      <c r="P376">
        <v>20</v>
      </c>
      <c r="Q376">
        <v>0</v>
      </c>
      <c r="R376" t="s">
        <v>2465</v>
      </c>
      <c r="S376" s="42" t="str">
        <f>HYPERLINK("https://sklep.kobi.pl/produkt/led-mh-50w-czarna-6500k-led2b-red")</f>
        <v>https://sklep.kobi.pl/produkt/led-mh-50w-czarna-6500k-led2b-red</v>
      </c>
      <c r="T376" s="42" t="str">
        <f>HYPERLINK("https://eprel.ec.europa.eu/qr/1984365        ")</f>
        <v xml:space="preserve">https://eprel.ec.europa.eu/qr/1984365        </v>
      </c>
      <c r="U376">
        <v>0.46</v>
      </c>
      <c r="V376">
        <v>0</v>
      </c>
      <c r="W376">
        <v>0</v>
      </c>
      <c r="X376">
        <v>0</v>
      </c>
      <c r="Y376">
        <v>0</v>
      </c>
    </row>
    <row r="377" spans="1:25" ht="15" x14ac:dyDescent="0.25">
      <c r="A377" t="s">
        <v>22</v>
      </c>
      <c r="B377" t="s">
        <v>100</v>
      </c>
      <c r="C377" t="s">
        <v>59</v>
      </c>
      <c r="D377" t="s">
        <v>112</v>
      </c>
      <c r="E377" t="s">
        <v>2721</v>
      </c>
      <c r="F377" t="s">
        <v>864</v>
      </c>
      <c r="G377" t="s">
        <v>2687</v>
      </c>
      <c r="H377" t="s">
        <v>1</v>
      </c>
      <c r="I377">
        <v>93.86</v>
      </c>
      <c r="J377" s="41">
        <f>I377/'enter the discount'!$D$7</f>
        <v>21.969945227283368</v>
      </c>
      <c r="K377" s="41">
        <f>J377*(1-IFERROR(VLOOKUP(H377,'enter the discount'!$D$10:$E$40,2,FALSE),0))</f>
        <v>21.969945227283368</v>
      </c>
      <c r="L377" s="43" t="s">
        <v>858</v>
      </c>
      <c r="M377" t="s">
        <v>2708</v>
      </c>
      <c r="N377" t="s">
        <v>932</v>
      </c>
      <c r="O377" t="s">
        <v>2723</v>
      </c>
      <c r="P377">
        <v>8</v>
      </c>
      <c r="Q377">
        <v>0</v>
      </c>
      <c r="R377" t="s">
        <v>2465</v>
      </c>
      <c r="S377" s="42" t="str">
        <f>HYPERLINK("https://sklep.kobi.pl/produkt/led-mh-100w-czarna-4000k-led2b-red")</f>
        <v>https://sklep.kobi.pl/produkt/led-mh-100w-czarna-4000k-led2b-red</v>
      </c>
      <c r="T377" s="42" t="str">
        <f>HYPERLINK("https://eprel.ec.europa.eu/qr/1984540        ")</f>
        <v xml:space="preserve">https://eprel.ec.europa.eu/qr/1984540        </v>
      </c>
      <c r="U377">
        <v>0.84</v>
      </c>
      <c r="V377">
        <v>0</v>
      </c>
      <c r="W377">
        <v>0</v>
      </c>
      <c r="X377">
        <v>0</v>
      </c>
      <c r="Y377">
        <v>0</v>
      </c>
    </row>
    <row r="378" spans="1:25" ht="15" x14ac:dyDescent="0.25">
      <c r="A378" t="s">
        <v>22</v>
      </c>
      <c r="B378" t="s">
        <v>100</v>
      </c>
      <c r="C378" t="s">
        <v>59</v>
      </c>
      <c r="D378" t="s">
        <v>112</v>
      </c>
      <c r="E378" t="s">
        <v>2721</v>
      </c>
      <c r="F378" t="s">
        <v>2688</v>
      </c>
      <c r="G378" t="s">
        <v>2689</v>
      </c>
      <c r="H378" t="s">
        <v>1</v>
      </c>
      <c r="I378">
        <v>93.86</v>
      </c>
      <c r="J378" s="41">
        <f>I378/'enter the discount'!$D$7</f>
        <v>21.969945227283368</v>
      </c>
      <c r="K378" s="41">
        <f>J378*(1-IFERROR(VLOOKUP(H378,'enter the discount'!$D$10:$E$40,2,FALSE),0))</f>
        <v>21.969945227283368</v>
      </c>
      <c r="L378" s="43" t="s">
        <v>858</v>
      </c>
      <c r="M378" t="s">
        <v>2709</v>
      </c>
      <c r="N378" t="s">
        <v>932</v>
      </c>
      <c r="O378" t="s">
        <v>2723</v>
      </c>
      <c r="P378">
        <v>8</v>
      </c>
      <c r="Q378">
        <v>0</v>
      </c>
      <c r="R378" t="s">
        <v>2465</v>
      </c>
      <c r="S378" s="42" t="str">
        <f>HYPERLINK("https://sklep.kobi.pl/produkt/led-mh-100w-czarna-6500k-led2b-red")</f>
        <v>https://sklep.kobi.pl/produkt/led-mh-100w-czarna-6500k-led2b-red</v>
      </c>
      <c r="T378" s="42" t="str">
        <f>HYPERLINK("https://eprel.ec.europa.eu/qr/1984570        ")</f>
        <v xml:space="preserve">https://eprel.ec.europa.eu/qr/1984570        </v>
      </c>
      <c r="U378">
        <v>0.84</v>
      </c>
      <c r="V378">
        <v>0</v>
      </c>
      <c r="W378">
        <v>0</v>
      </c>
      <c r="X378">
        <v>0</v>
      </c>
      <c r="Y378">
        <v>0</v>
      </c>
    </row>
    <row r="379" spans="1:25" ht="15" x14ac:dyDescent="0.25">
      <c r="A379" t="s">
        <v>22</v>
      </c>
      <c r="B379" t="s">
        <v>100</v>
      </c>
      <c r="C379" t="s">
        <v>59</v>
      </c>
      <c r="D379" t="s">
        <v>111</v>
      </c>
      <c r="E379" t="s">
        <v>2722</v>
      </c>
      <c r="F379" t="s">
        <v>2020</v>
      </c>
      <c r="G379" t="s">
        <v>300</v>
      </c>
      <c r="H379" t="s">
        <v>1</v>
      </c>
      <c r="I379">
        <v>44.48</v>
      </c>
      <c r="J379" s="41">
        <f>I379/'enter the discount'!$D$7</f>
        <v>10.411497589064183</v>
      </c>
      <c r="K379" s="41">
        <f>J379*(1-IFERROR(VLOOKUP(H379,'enter the discount'!$D$10:$E$40,2,FALSE),0))</f>
        <v>10.411497589064183</v>
      </c>
      <c r="L379" s="43" t="s">
        <v>858</v>
      </c>
      <c r="M379" t="s">
        <v>664</v>
      </c>
      <c r="N379" t="s">
        <v>932</v>
      </c>
      <c r="O379" t="s">
        <v>2723</v>
      </c>
      <c r="P379">
        <v>40</v>
      </c>
      <c r="Q379">
        <v>0</v>
      </c>
      <c r="R379" t="s">
        <v>2466</v>
      </c>
      <c r="S379" s="42" t="str">
        <f>HYPERLINK("https://sklep.kobi.pl/produkt/led-mhn-10w-4000k")</f>
        <v>https://sklep.kobi.pl/produkt/led-mhn-10w-4000k</v>
      </c>
      <c r="T379" s="42" t="str">
        <f>HYPERLINK("https://eprel.ec.europa.eu/qr/780607         ")</f>
        <v xml:space="preserve">https://eprel.ec.europa.eu/qr/780607         </v>
      </c>
      <c r="U379">
        <v>0.29299999999999998</v>
      </c>
      <c r="V379">
        <v>0.33500000000000002</v>
      </c>
      <c r="W379">
        <v>115</v>
      </c>
      <c r="X379">
        <v>125</v>
      </c>
      <c r="Y379">
        <v>40</v>
      </c>
    </row>
    <row r="380" spans="1:25" ht="15" x14ac:dyDescent="0.25">
      <c r="A380" t="s">
        <v>22</v>
      </c>
      <c r="B380" t="s">
        <v>100</v>
      </c>
      <c r="C380" t="s">
        <v>59</v>
      </c>
      <c r="D380" t="s">
        <v>111</v>
      </c>
      <c r="E380" t="s">
        <v>2722</v>
      </c>
      <c r="F380" t="s">
        <v>2021</v>
      </c>
      <c r="G380" t="s">
        <v>301</v>
      </c>
      <c r="H380" t="s">
        <v>1</v>
      </c>
      <c r="I380">
        <v>44.48</v>
      </c>
      <c r="J380" s="41">
        <f>I380/'enter the discount'!$D$7</f>
        <v>10.411497589064183</v>
      </c>
      <c r="K380" s="41">
        <f>J380*(1-IFERROR(VLOOKUP(H380,'enter the discount'!$D$10:$E$40,2,FALSE),0))</f>
        <v>10.411497589064183</v>
      </c>
      <c r="L380" s="43" t="s">
        <v>858</v>
      </c>
      <c r="M380" t="s">
        <v>665</v>
      </c>
      <c r="N380" t="s">
        <v>932</v>
      </c>
      <c r="O380" t="s">
        <v>2723</v>
      </c>
      <c r="P380">
        <v>40</v>
      </c>
      <c r="Q380">
        <v>0</v>
      </c>
      <c r="R380" t="s">
        <v>2466</v>
      </c>
      <c r="S380" s="42" t="str">
        <f>HYPERLINK("https://sklep.kobi.pl/produkt/led-mhn-10w-6500k")</f>
        <v>https://sklep.kobi.pl/produkt/led-mhn-10w-6500k</v>
      </c>
      <c r="T380" s="42" t="str">
        <f>HYPERLINK("https://eprel.ec.europa.eu/qr/780615         ")</f>
        <v xml:space="preserve">https://eprel.ec.europa.eu/qr/780615         </v>
      </c>
      <c r="U380">
        <v>0.29299999999999998</v>
      </c>
      <c r="V380">
        <v>0.33500000000000002</v>
      </c>
      <c r="W380">
        <v>115</v>
      </c>
      <c r="X380">
        <v>125</v>
      </c>
      <c r="Y380">
        <v>40</v>
      </c>
    </row>
    <row r="381" spans="1:25" ht="15" x14ac:dyDescent="0.25">
      <c r="A381" t="s">
        <v>22</v>
      </c>
      <c r="B381" t="s">
        <v>100</v>
      </c>
      <c r="C381" t="s">
        <v>59</v>
      </c>
      <c r="D381" t="s">
        <v>111</v>
      </c>
      <c r="E381" t="s">
        <v>2722</v>
      </c>
      <c r="F381" t="s">
        <v>2022</v>
      </c>
      <c r="G381" t="s">
        <v>302</v>
      </c>
      <c r="H381" t="s">
        <v>1</v>
      </c>
      <c r="I381">
        <v>55.56</v>
      </c>
      <c r="J381" s="41">
        <f>I381/'enter the discount'!$D$7</f>
        <v>13.005009128786106</v>
      </c>
      <c r="K381" s="41">
        <f>J381*(1-IFERROR(VLOOKUP(H381,'enter the discount'!$D$10:$E$40,2,FALSE),0))</f>
        <v>13.005009128786106</v>
      </c>
      <c r="L381" s="43" t="s">
        <v>858</v>
      </c>
      <c r="M381" t="s">
        <v>666</v>
      </c>
      <c r="N381" t="s">
        <v>932</v>
      </c>
      <c r="O381" t="s">
        <v>2723</v>
      </c>
      <c r="P381">
        <v>40</v>
      </c>
      <c r="Q381">
        <v>0</v>
      </c>
      <c r="R381" t="s">
        <v>2466</v>
      </c>
      <c r="S381" s="42" t="str">
        <f>HYPERLINK("https://sklep.kobi.pl/produkt/led-mhn-20w-6500k")</f>
        <v>https://sklep.kobi.pl/produkt/led-mhn-20w-6500k</v>
      </c>
      <c r="T381" s="42" t="str">
        <f>HYPERLINK("https://eprel.ec.europa.eu/qr/780633         ")</f>
        <v xml:space="preserve">https://eprel.ec.europa.eu/qr/780633         </v>
      </c>
      <c r="U381">
        <v>0.29799999999999999</v>
      </c>
      <c r="V381">
        <v>0.34100000000000003</v>
      </c>
      <c r="W381">
        <v>115</v>
      </c>
      <c r="X381">
        <v>125</v>
      </c>
      <c r="Y381">
        <v>40</v>
      </c>
    </row>
    <row r="382" spans="1:25" ht="15" x14ac:dyDescent="0.25">
      <c r="A382" t="s">
        <v>22</v>
      </c>
      <c r="B382" t="s">
        <v>100</v>
      </c>
      <c r="C382" t="s">
        <v>59</v>
      </c>
      <c r="D382" t="s">
        <v>111</v>
      </c>
      <c r="E382" t="s">
        <v>2722</v>
      </c>
      <c r="F382" t="s">
        <v>2023</v>
      </c>
      <c r="G382" t="s">
        <v>303</v>
      </c>
      <c r="H382" t="s">
        <v>1</v>
      </c>
      <c r="I382">
        <v>83.15</v>
      </c>
      <c r="J382" s="41">
        <f>I382/'enter the discount'!$D$7</f>
        <v>19.463040119844578</v>
      </c>
      <c r="K382" s="41">
        <f>J382*(1-IFERROR(VLOOKUP(H382,'enter the discount'!$D$10:$E$40,2,FALSE),0))</f>
        <v>19.463040119844578</v>
      </c>
      <c r="L382" s="43" t="s">
        <v>858</v>
      </c>
      <c r="M382" t="s">
        <v>667</v>
      </c>
      <c r="N382" t="s">
        <v>932</v>
      </c>
      <c r="O382" t="s">
        <v>2723</v>
      </c>
      <c r="P382">
        <v>30</v>
      </c>
      <c r="Q382">
        <v>0</v>
      </c>
      <c r="R382" t="s">
        <v>2466</v>
      </c>
      <c r="S382" s="42" t="str">
        <f>HYPERLINK("https://sklep.kobi.pl/produkt/led-mhn-30w-6500k")</f>
        <v>https://sklep.kobi.pl/produkt/led-mhn-30w-6500k</v>
      </c>
      <c r="T382" s="42" t="str">
        <f>HYPERLINK("https://eprel.ec.europa.eu/qr/780651         ")</f>
        <v xml:space="preserve">https://eprel.ec.europa.eu/qr/780651         </v>
      </c>
      <c r="U382">
        <v>0.41399999999999998</v>
      </c>
      <c r="V382">
        <v>0.46700000000000003</v>
      </c>
      <c r="W382">
        <v>135</v>
      </c>
      <c r="X382">
        <v>150</v>
      </c>
      <c r="Y382">
        <v>45</v>
      </c>
    </row>
    <row r="383" spans="1:25" ht="15" x14ac:dyDescent="0.25">
      <c r="A383" t="s">
        <v>22</v>
      </c>
      <c r="B383" t="s">
        <v>100</v>
      </c>
      <c r="C383" t="s">
        <v>59</v>
      </c>
      <c r="D383" t="s">
        <v>111</v>
      </c>
      <c r="E383" t="s">
        <v>2722</v>
      </c>
      <c r="F383" t="s">
        <v>2024</v>
      </c>
      <c r="G383" t="s">
        <v>912</v>
      </c>
      <c r="H383" t="s">
        <v>1</v>
      </c>
      <c r="I383">
        <v>322.23</v>
      </c>
      <c r="J383" s="41">
        <f>I383/'enter the discount'!$D$7</f>
        <v>75.424839661064567</v>
      </c>
      <c r="K383" s="41">
        <f>J383*(1-IFERROR(VLOOKUP(H383,'enter the discount'!$D$10:$E$40,2,FALSE),0))</f>
        <v>75.424839661064567</v>
      </c>
      <c r="L383" s="43" t="s">
        <v>858</v>
      </c>
      <c r="M383" t="s">
        <v>913</v>
      </c>
      <c r="N383" t="s">
        <v>932</v>
      </c>
      <c r="O383" t="s">
        <v>2723</v>
      </c>
      <c r="P383">
        <v>4</v>
      </c>
      <c r="Q383">
        <v>0</v>
      </c>
      <c r="R383" t="s">
        <v>2466</v>
      </c>
      <c r="S383" s="42" t="str">
        <f>HYPERLINK("https://sklep.kobi.pl/produkt/oprawa-led-mhn-smd-100w-zb")</f>
        <v>https://sklep.kobi.pl/produkt/oprawa-led-mhn-smd-100w-zb</v>
      </c>
      <c r="T383" s="42" t="str">
        <f>HYPERLINK("https://eprel.ec.europa.eu/qr/830427         ")</f>
        <v xml:space="preserve">https://eprel.ec.europa.eu/qr/830427         </v>
      </c>
      <c r="U383">
        <v>1.9490000000000001</v>
      </c>
      <c r="V383">
        <v>2.15</v>
      </c>
      <c r="W383">
        <v>55</v>
      </c>
      <c r="X383">
        <v>300</v>
      </c>
      <c r="Y383">
        <v>345</v>
      </c>
    </row>
    <row r="384" spans="1:25" ht="15" x14ac:dyDescent="0.25">
      <c r="A384" t="s">
        <v>22</v>
      </c>
      <c r="B384" t="s">
        <v>100</v>
      </c>
      <c r="C384" t="s">
        <v>59</v>
      </c>
      <c r="D384" t="s">
        <v>111</v>
      </c>
      <c r="E384" t="s">
        <v>2722</v>
      </c>
      <c r="F384" t="s">
        <v>2025</v>
      </c>
      <c r="G384" t="s">
        <v>1038</v>
      </c>
      <c r="H384" t="s">
        <v>1</v>
      </c>
      <c r="I384">
        <v>293.77999999999997</v>
      </c>
      <c r="J384" s="41">
        <f>I384/'enter the discount'!$D$7</f>
        <v>68.765507232807451</v>
      </c>
      <c r="K384" s="41">
        <f>J384*(1-IFERROR(VLOOKUP(H384,'enter the discount'!$D$10:$E$40,2,FALSE),0))</f>
        <v>68.765507232807451</v>
      </c>
      <c r="L384" s="43" t="s">
        <v>858</v>
      </c>
      <c r="M384" t="s">
        <v>1039</v>
      </c>
      <c r="N384" t="s">
        <v>932</v>
      </c>
      <c r="O384" t="s">
        <v>2723</v>
      </c>
      <c r="P384">
        <v>4</v>
      </c>
      <c r="Q384">
        <v>0</v>
      </c>
      <c r="R384" t="s">
        <v>2465</v>
      </c>
      <c r="S384" s="42" t="str">
        <f>HYPERLINK("https://sklep.kobi.pl/produkt/led-tigra-p-100w-4000k")</f>
        <v>https://sklep.kobi.pl/produkt/led-tigra-p-100w-4000k</v>
      </c>
      <c r="T384" s="42" t="str">
        <f>HYPERLINK("https://eprel.ec.europa.eu/qr/1201519        ")</f>
        <v xml:space="preserve">https://eprel.ec.europa.eu/qr/1201519        </v>
      </c>
      <c r="U384">
        <v>1.71</v>
      </c>
      <c r="V384">
        <v>0</v>
      </c>
      <c r="W384">
        <v>350</v>
      </c>
      <c r="X384">
        <v>90</v>
      </c>
      <c r="Y384">
        <v>340</v>
      </c>
    </row>
    <row r="385" spans="1:25" ht="15" x14ac:dyDescent="0.25">
      <c r="A385" t="s">
        <v>22</v>
      </c>
      <c r="B385" t="s">
        <v>100</v>
      </c>
      <c r="C385" t="s">
        <v>59</v>
      </c>
      <c r="D385" t="s">
        <v>111</v>
      </c>
      <c r="E385" t="s">
        <v>2722</v>
      </c>
      <c r="F385" t="s">
        <v>2026</v>
      </c>
      <c r="G385" t="s">
        <v>1040</v>
      </c>
      <c r="H385" t="s">
        <v>1</v>
      </c>
      <c r="I385">
        <v>194.38</v>
      </c>
      <c r="J385" s="41">
        <f>I385/'enter the discount'!$D$7</f>
        <v>45.498806235663125</v>
      </c>
      <c r="K385" s="41">
        <f>J385*(1-IFERROR(VLOOKUP(H385,'enter the discount'!$D$10:$E$40,2,FALSE),0))</f>
        <v>45.498806235663125</v>
      </c>
      <c r="L385" s="43" t="s">
        <v>858</v>
      </c>
      <c r="M385" t="s">
        <v>1041</v>
      </c>
      <c r="N385" t="s">
        <v>932</v>
      </c>
      <c r="O385" t="s">
        <v>2723</v>
      </c>
      <c r="P385">
        <v>8</v>
      </c>
      <c r="Q385">
        <v>0</v>
      </c>
      <c r="R385" t="s">
        <v>2465</v>
      </c>
      <c r="S385" s="42" t="str">
        <f>HYPERLINK("https://sklep.kobi.pl/produkt/led-tigra-p-50w-4000k")</f>
        <v>https://sklep.kobi.pl/produkt/led-tigra-p-50w-4000k</v>
      </c>
      <c r="T385" s="42" t="str">
        <f>HYPERLINK("https://eprel.ec.europa.eu/qr/1201518        ")</f>
        <v xml:space="preserve">https://eprel.ec.europa.eu/qr/1201518        </v>
      </c>
      <c r="U385">
        <v>1.71</v>
      </c>
      <c r="V385">
        <v>0</v>
      </c>
      <c r="W385">
        <v>270</v>
      </c>
      <c r="X385">
        <v>80</v>
      </c>
      <c r="Y385">
        <v>260</v>
      </c>
    </row>
    <row r="386" spans="1:25" ht="15" x14ac:dyDescent="0.25">
      <c r="A386" t="s">
        <v>22</v>
      </c>
      <c r="B386" t="s">
        <v>100</v>
      </c>
      <c r="C386" t="s">
        <v>59</v>
      </c>
      <c r="D386" t="s">
        <v>111</v>
      </c>
      <c r="E386" t="s">
        <v>2722</v>
      </c>
      <c r="F386" t="s">
        <v>2027</v>
      </c>
      <c r="G386" t="s">
        <v>1042</v>
      </c>
      <c r="H386" t="s">
        <v>1</v>
      </c>
      <c r="I386">
        <v>376.73</v>
      </c>
      <c r="J386" s="41">
        <f>I386/'enter the discount'!$D$7</f>
        <v>88.181733064931421</v>
      </c>
      <c r="K386" s="41">
        <f>J386*(1-IFERROR(VLOOKUP(H386,'enter the discount'!$D$10:$E$40,2,FALSE),0))</f>
        <v>88.181733064931421</v>
      </c>
      <c r="L386" s="43" t="s">
        <v>858</v>
      </c>
      <c r="M386" t="s">
        <v>1043</v>
      </c>
      <c r="N386" t="s">
        <v>932</v>
      </c>
      <c r="O386" t="s">
        <v>2723</v>
      </c>
      <c r="P386">
        <v>4</v>
      </c>
      <c r="Q386">
        <v>0</v>
      </c>
      <c r="R386" t="s">
        <v>2465</v>
      </c>
      <c r="S386" s="42" t="str">
        <f>HYPERLINK("https://sklep.kobi.pl/produkt/led-tigra-s-2x30w-4000k")</f>
        <v>https://sklep.kobi.pl/produkt/led-tigra-s-2x30w-4000k</v>
      </c>
      <c r="T386" s="42" t="str">
        <f>HYPERLINK("https://eprel.ec.europa.eu/qr/1201516        ")</f>
        <v xml:space="preserve">https://eprel.ec.europa.eu/qr/1201516        </v>
      </c>
      <c r="U386">
        <v>3.67</v>
      </c>
      <c r="V386">
        <v>0</v>
      </c>
      <c r="W386">
        <v>150</v>
      </c>
      <c r="X386">
        <v>170</v>
      </c>
      <c r="Y386">
        <v>690</v>
      </c>
    </row>
    <row r="387" spans="1:25" ht="15" x14ac:dyDescent="0.25">
      <c r="A387" t="s">
        <v>22</v>
      </c>
      <c r="B387" t="s">
        <v>100</v>
      </c>
      <c r="C387" t="s">
        <v>59</v>
      </c>
      <c r="D387" t="s">
        <v>111</v>
      </c>
      <c r="E387" t="s">
        <v>2722</v>
      </c>
      <c r="F387" t="s">
        <v>2028</v>
      </c>
      <c r="G387" t="s">
        <v>1044</v>
      </c>
      <c r="H387" t="s">
        <v>1</v>
      </c>
      <c r="I387">
        <v>433.49</v>
      </c>
      <c r="J387" s="41">
        <f>I387/'enter the discount'!$D$7</f>
        <v>101.46762792004121</v>
      </c>
      <c r="K387" s="41">
        <f>J387*(1-IFERROR(VLOOKUP(H387,'enter the discount'!$D$10:$E$40,2,FALSE),0))</f>
        <v>101.46762792004121</v>
      </c>
      <c r="L387" s="43" t="s">
        <v>858</v>
      </c>
      <c r="M387" t="s">
        <v>1045</v>
      </c>
      <c r="N387" t="s">
        <v>932</v>
      </c>
      <c r="O387" t="s">
        <v>2723</v>
      </c>
      <c r="P387">
        <v>4</v>
      </c>
      <c r="Q387">
        <v>0</v>
      </c>
      <c r="R387" t="s">
        <v>2465</v>
      </c>
      <c r="S387" s="42" t="str">
        <f>HYPERLINK("https://sklep.kobi.pl/produkt/led-tigra-s-2x50w-4000k")</f>
        <v>https://sklep.kobi.pl/produkt/led-tigra-s-2x50w-4000k</v>
      </c>
      <c r="T387" s="42" t="str">
        <f>HYPERLINK("https://eprel.ec.europa.eu/qr/1201518        ")</f>
        <v xml:space="preserve">https://eprel.ec.europa.eu/qr/1201518        </v>
      </c>
      <c r="U387">
        <v>3.67</v>
      </c>
      <c r="V387">
        <v>0</v>
      </c>
      <c r="W387">
        <v>160</v>
      </c>
      <c r="X387">
        <v>180</v>
      </c>
      <c r="Y387">
        <v>690</v>
      </c>
    </row>
    <row r="388" spans="1:25" ht="15" x14ac:dyDescent="0.25">
      <c r="A388" t="s">
        <v>22</v>
      </c>
      <c r="B388" t="s">
        <v>92</v>
      </c>
      <c r="C388" t="s">
        <v>59</v>
      </c>
      <c r="D388" t="s">
        <v>111</v>
      </c>
      <c r="E388" t="s">
        <v>14</v>
      </c>
      <c r="F388" t="s">
        <v>2029</v>
      </c>
      <c r="G388" t="s">
        <v>304</v>
      </c>
      <c r="H388" t="s">
        <v>1</v>
      </c>
      <c r="I388">
        <v>193.84</v>
      </c>
      <c r="J388" s="41">
        <f>I388/'enter the discount'!$D$7</f>
        <v>45.372407658817473</v>
      </c>
      <c r="K388" s="41">
        <f>J388*(1-IFERROR(VLOOKUP(H388,'enter the discount'!$D$10:$E$40,2,FALSE),0))</f>
        <v>45.372407658817473</v>
      </c>
      <c r="L388" s="43" t="s">
        <v>2549</v>
      </c>
      <c r="M388" t="s">
        <v>668</v>
      </c>
      <c r="N388" t="s">
        <v>933</v>
      </c>
      <c r="O388" t="s">
        <v>2723</v>
      </c>
      <c r="P388">
        <v>18</v>
      </c>
      <c r="Q388">
        <v>0</v>
      </c>
      <c r="R388" t="s">
        <v>2465</v>
      </c>
      <c r="S388" s="42" t="str">
        <f>HYPERLINK("https://sklep.kobi.pl/produkt/oprawa-solar-led-mhc-5w-nb")</f>
        <v>https://sklep.kobi.pl/produkt/oprawa-solar-led-mhc-5w-nb</v>
      </c>
      <c r="T388" s="42" t="str">
        <f>HYPERLINK("https://eprel.ec.europa.eu/qr/NIE DOTYCZY    ")</f>
        <v xml:space="preserve">https://eprel.ec.europa.eu/qr/NIE DOTYCZY    </v>
      </c>
      <c r="U388">
        <v>0.65400000000000003</v>
      </c>
      <c r="V388">
        <v>0.72099999999999997</v>
      </c>
      <c r="W388">
        <v>230</v>
      </c>
      <c r="X388">
        <v>210</v>
      </c>
      <c r="Y388">
        <v>10</v>
      </c>
    </row>
    <row r="389" spans="1:25" ht="15" x14ac:dyDescent="0.25">
      <c r="A389" t="s">
        <v>22</v>
      </c>
      <c r="B389" t="s">
        <v>92</v>
      </c>
      <c r="C389" t="s">
        <v>59</v>
      </c>
      <c r="D389" t="s">
        <v>111</v>
      </c>
      <c r="E389" t="s">
        <v>14</v>
      </c>
      <c r="F389" t="s">
        <v>2030</v>
      </c>
      <c r="G389" t="s">
        <v>305</v>
      </c>
      <c r="H389" t="s">
        <v>1</v>
      </c>
      <c r="I389">
        <v>388.15</v>
      </c>
      <c r="J389" s="41">
        <f>I389/'enter the discount'!$D$7</f>
        <v>90.854828893778375</v>
      </c>
      <c r="K389" s="41">
        <f>J389*(1-IFERROR(VLOOKUP(H389,'enter the discount'!$D$10:$E$40,2,FALSE),0))</f>
        <v>90.854828893778375</v>
      </c>
      <c r="L389" s="43" t="s">
        <v>2549</v>
      </c>
      <c r="M389" t="s">
        <v>669</v>
      </c>
      <c r="N389" t="s">
        <v>933</v>
      </c>
      <c r="O389" t="s">
        <v>2723</v>
      </c>
      <c r="P389">
        <v>8</v>
      </c>
      <c r="Q389">
        <v>240</v>
      </c>
      <c r="R389" t="s">
        <v>2465</v>
      </c>
      <c r="S389" s="42" t="str">
        <f>HYPERLINK("https://sklep.kobi.pl/produkt/oprawa-solar-led-mhc-10w-nb")</f>
        <v>https://sklep.kobi.pl/produkt/oprawa-solar-led-mhc-10w-nb</v>
      </c>
      <c r="T389" s="42" t="str">
        <f>HYPERLINK("https://eprel.ec.europa.eu/qr/NIE DOTYCZY    ")</f>
        <v xml:space="preserve">https://eprel.ec.europa.eu/qr/NIE DOTYCZY    </v>
      </c>
      <c r="U389">
        <v>1.395</v>
      </c>
      <c r="V389">
        <v>1.55</v>
      </c>
      <c r="W389">
        <v>230</v>
      </c>
      <c r="X389">
        <v>210</v>
      </c>
      <c r="Y389">
        <v>10</v>
      </c>
    </row>
    <row r="390" spans="1:25" ht="15" x14ac:dyDescent="0.25">
      <c r="A390" t="s">
        <v>22</v>
      </c>
      <c r="B390" t="s">
        <v>92</v>
      </c>
      <c r="C390" t="s">
        <v>59</v>
      </c>
      <c r="D390" t="s">
        <v>113</v>
      </c>
      <c r="E390" t="s">
        <v>14</v>
      </c>
      <c r="F390" t="s">
        <v>2031</v>
      </c>
      <c r="G390" t="s">
        <v>1295</v>
      </c>
      <c r="H390" t="s">
        <v>1</v>
      </c>
      <c r="I390">
        <v>280</v>
      </c>
      <c r="J390" s="41">
        <f>I390/'enter the discount'!$D$7</f>
        <v>65.540002808857267</v>
      </c>
      <c r="K390" s="41">
        <f>J390*(1-IFERROR(VLOOKUP(H390,'enter the discount'!$D$10:$E$40,2,FALSE),0))</f>
        <v>65.540002808857267</v>
      </c>
      <c r="L390" s="43" t="s">
        <v>2549</v>
      </c>
      <c r="M390" t="s">
        <v>1296</v>
      </c>
      <c r="N390" t="s">
        <v>933</v>
      </c>
      <c r="O390" t="s">
        <v>2723</v>
      </c>
      <c r="P390">
        <v>12</v>
      </c>
      <c r="Q390">
        <v>0</v>
      </c>
      <c r="R390" t="s">
        <v>2465</v>
      </c>
      <c r="S390" s="42" t="str">
        <f>HYPERLINK("https://sklep.kobi.pl/produkt/solar-led-mhcs-10w-4000k-")</f>
        <v>https://sklep.kobi.pl/produkt/solar-led-mhcs-10w-4000k-</v>
      </c>
      <c r="T390" s="42" t="str">
        <f>HYPERLINK("https://eprel.ec.europa.eu/qr/NIE DOTYCZY    ")</f>
        <v xml:space="preserve">https://eprel.ec.europa.eu/qr/NIE DOTYCZY    </v>
      </c>
      <c r="U390">
        <v>0.95</v>
      </c>
      <c r="V390">
        <v>2.1</v>
      </c>
      <c r="W390">
        <v>70</v>
      </c>
      <c r="X390">
        <v>270</v>
      </c>
      <c r="Y390">
        <v>380</v>
      </c>
    </row>
    <row r="391" spans="1:25" ht="15" x14ac:dyDescent="0.25">
      <c r="A391" t="s">
        <v>22</v>
      </c>
      <c r="B391" t="s">
        <v>92</v>
      </c>
      <c r="C391" t="s">
        <v>59</v>
      </c>
      <c r="D391" t="s">
        <v>113</v>
      </c>
      <c r="E391" t="s">
        <v>14</v>
      </c>
      <c r="F391" t="s">
        <v>2032</v>
      </c>
      <c r="G391" t="s">
        <v>1297</v>
      </c>
      <c r="H391" t="s">
        <v>1</v>
      </c>
      <c r="I391">
        <v>504</v>
      </c>
      <c r="J391" s="41">
        <f>I391/'enter the discount'!$D$7</f>
        <v>117.97200505594309</v>
      </c>
      <c r="K391" s="41">
        <f>J391*(1-IFERROR(VLOOKUP(H391,'enter the discount'!$D$10:$E$40,2,FALSE),0))</f>
        <v>117.97200505594309</v>
      </c>
      <c r="L391" s="43" t="s">
        <v>2549</v>
      </c>
      <c r="M391" t="s">
        <v>1298</v>
      </c>
      <c r="N391" t="s">
        <v>933</v>
      </c>
      <c r="O391" t="s">
        <v>2723</v>
      </c>
      <c r="P391">
        <v>8</v>
      </c>
      <c r="Q391">
        <v>0</v>
      </c>
      <c r="R391" t="s">
        <v>2466</v>
      </c>
      <c r="S391" s="42" t="str">
        <f>HYPERLINK("https://sklep.kobi.pl/produkt/solar-led-mhcs-30w")</f>
        <v>https://sklep.kobi.pl/produkt/solar-led-mhcs-30w</v>
      </c>
      <c r="T391" s="42" t="str">
        <f>HYPERLINK("https://eprel.ec.europa.eu/qr/NIE DOTYCZY    ")</f>
        <v xml:space="preserve">https://eprel.ec.europa.eu/qr/NIE DOTYCZY    </v>
      </c>
      <c r="U391">
        <v>1.89</v>
      </c>
      <c r="V391">
        <v>2.2999999999999998</v>
      </c>
      <c r="W391">
        <v>70</v>
      </c>
      <c r="X391">
        <v>270</v>
      </c>
      <c r="Y391">
        <v>380</v>
      </c>
    </row>
    <row r="392" spans="1:25" ht="15" x14ac:dyDescent="0.25">
      <c r="A392" t="s">
        <v>22</v>
      </c>
      <c r="B392" t="s">
        <v>92</v>
      </c>
      <c r="C392" t="s">
        <v>59</v>
      </c>
      <c r="D392" t="s">
        <v>113</v>
      </c>
      <c r="E392" t="s">
        <v>2721</v>
      </c>
      <c r="F392" t="s">
        <v>2744</v>
      </c>
      <c r="G392" t="s">
        <v>2745</v>
      </c>
      <c r="H392" t="s">
        <v>1</v>
      </c>
      <c r="I392">
        <v>504</v>
      </c>
      <c r="J392" s="41">
        <f>I392/'enter the discount'!$D$7</f>
        <v>117.97200505594309</v>
      </c>
      <c r="K392" s="41">
        <f>J392*(1-IFERROR(VLOOKUP(H392,'enter the discount'!$D$10:$E$40,2,FALSE),0))</f>
        <v>117.97200505594309</v>
      </c>
      <c r="L392" s="43" t="s">
        <v>478</v>
      </c>
      <c r="M392" t="s">
        <v>2749</v>
      </c>
      <c r="N392" t="s">
        <v>933</v>
      </c>
      <c r="O392" t="s">
        <v>2723</v>
      </c>
      <c r="P392">
        <v>0</v>
      </c>
      <c r="Q392">
        <v>0</v>
      </c>
      <c r="R392" t="s">
        <v>2466</v>
      </c>
      <c r="S392" s="42" t="str">
        <f>HYPERLINK("https://sklep.kobi.pl/produkt/solar-led-mhcs-30w-2cct-premium")</f>
        <v>https://sklep.kobi.pl/produkt/solar-led-mhcs-30w-2cct-premium</v>
      </c>
      <c r="T392" t="s">
        <v>14</v>
      </c>
      <c r="U392">
        <v>1.89</v>
      </c>
      <c r="V392">
        <v>0</v>
      </c>
      <c r="W392">
        <v>0</v>
      </c>
      <c r="X392">
        <v>0</v>
      </c>
      <c r="Y392">
        <v>0</v>
      </c>
    </row>
    <row r="393" spans="1:25" ht="15" x14ac:dyDescent="0.25">
      <c r="A393" t="s">
        <v>22</v>
      </c>
      <c r="B393" t="s">
        <v>92</v>
      </c>
      <c r="C393" t="s">
        <v>59</v>
      </c>
      <c r="D393" t="s">
        <v>112</v>
      </c>
      <c r="E393" t="s">
        <v>14</v>
      </c>
      <c r="F393" t="s">
        <v>2033</v>
      </c>
      <c r="G393" t="s">
        <v>306</v>
      </c>
      <c r="H393" t="s">
        <v>1</v>
      </c>
      <c r="I393">
        <v>240.57</v>
      </c>
      <c r="J393" s="41">
        <f>I393/'enter the discount'!$D$7</f>
        <v>56.310565984738545</v>
      </c>
      <c r="K393" s="41">
        <f>J393*(1-IFERROR(VLOOKUP(H393,'enter the discount'!$D$10:$E$40,2,FALSE),0))</f>
        <v>56.310565984738545</v>
      </c>
      <c r="L393" s="43" t="s">
        <v>2549</v>
      </c>
      <c r="M393" t="s">
        <v>670</v>
      </c>
      <c r="N393" t="s">
        <v>933</v>
      </c>
      <c r="O393" t="s">
        <v>2723</v>
      </c>
      <c r="P393">
        <v>12</v>
      </c>
      <c r="Q393">
        <v>240</v>
      </c>
      <c r="R393" t="s">
        <v>2465</v>
      </c>
      <c r="S393" s="42" t="str">
        <f>HYPERLINK("https://sklep.kobi.pl/produkt/solar-led-ncs-10w-6500k-led2b")</f>
        <v>https://sklep.kobi.pl/produkt/solar-led-ncs-10w-6500k-led2b</v>
      </c>
      <c r="T393" s="42" t="str">
        <f>HYPERLINK("https://eprel.ec.europa.eu/qr/NIE DOTYCZY    ")</f>
        <v xml:space="preserve">https://eprel.ec.europa.eu/qr/NIE DOTYCZY    </v>
      </c>
      <c r="U393">
        <v>1.0489999999999999</v>
      </c>
      <c r="V393">
        <v>1.175</v>
      </c>
      <c r="W393">
        <v>170</v>
      </c>
      <c r="X393">
        <v>200</v>
      </c>
      <c r="Y393">
        <v>100</v>
      </c>
    </row>
    <row r="394" spans="1:25" ht="15" x14ac:dyDescent="0.25">
      <c r="A394" t="s">
        <v>22</v>
      </c>
      <c r="B394" t="s">
        <v>92</v>
      </c>
      <c r="C394" t="s">
        <v>59</v>
      </c>
      <c r="D394" t="s">
        <v>112</v>
      </c>
      <c r="E394" t="s">
        <v>14</v>
      </c>
      <c r="F394" t="s">
        <v>2034</v>
      </c>
      <c r="G394" t="s">
        <v>307</v>
      </c>
      <c r="H394" t="s">
        <v>1</v>
      </c>
      <c r="I394">
        <v>309.58</v>
      </c>
      <c r="J394" s="41">
        <f>I394/'enter the discount'!$D$7</f>
        <v>72.463835962735828</v>
      </c>
      <c r="K394" s="41">
        <f>J394*(1-IFERROR(VLOOKUP(H394,'enter the discount'!$D$10:$E$40,2,FALSE),0))</f>
        <v>72.463835962735828</v>
      </c>
      <c r="L394" s="43" t="s">
        <v>2549</v>
      </c>
      <c r="M394" t="s">
        <v>671</v>
      </c>
      <c r="N394" t="s">
        <v>933</v>
      </c>
      <c r="O394" t="s">
        <v>2723</v>
      </c>
      <c r="P394">
        <v>10</v>
      </c>
      <c r="Q394">
        <v>240</v>
      </c>
      <c r="R394" t="s">
        <v>2465</v>
      </c>
      <c r="S394" s="42" t="str">
        <f>HYPERLINK("https://sklep.kobi.pl/produkt/solar-led-ncs-20w-6500k-led2b")</f>
        <v>https://sklep.kobi.pl/produkt/solar-led-ncs-20w-6500k-led2b</v>
      </c>
      <c r="T394" s="42" t="str">
        <f>HYPERLINK("https://eprel.ec.europa.eu/qr/NIE DOTYCZY    ")</f>
        <v xml:space="preserve">https://eprel.ec.europa.eu/qr/NIE DOTYCZY    </v>
      </c>
      <c r="U394">
        <v>1.343</v>
      </c>
      <c r="V394">
        <v>1.534</v>
      </c>
      <c r="W394">
        <v>200</v>
      </c>
      <c r="X394">
        <v>270</v>
      </c>
      <c r="Y394">
        <v>100</v>
      </c>
    </row>
    <row r="395" spans="1:25" ht="15" x14ac:dyDescent="0.25">
      <c r="A395" t="s">
        <v>22</v>
      </c>
      <c r="B395" t="s">
        <v>92</v>
      </c>
      <c r="C395" t="s">
        <v>59</v>
      </c>
      <c r="D395" t="s">
        <v>112</v>
      </c>
      <c r="E395" t="s">
        <v>14</v>
      </c>
      <c r="F395" t="s">
        <v>2035</v>
      </c>
      <c r="G395" t="s">
        <v>308</v>
      </c>
      <c r="H395" t="s">
        <v>1</v>
      </c>
      <c r="I395">
        <v>379.8</v>
      </c>
      <c r="J395" s="41">
        <f>I395/'enter the discount'!$D$7</f>
        <v>88.900332381442823</v>
      </c>
      <c r="K395" s="41">
        <f>J395*(1-IFERROR(VLOOKUP(H395,'enter the discount'!$D$10:$E$40,2,FALSE),0))</f>
        <v>88.900332381442823</v>
      </c>
      <c r="L395" s="43" t="s">
        <v>2549</v>
      </c>
      <c r="M395" t="s">
        <v>672</v>
      </c>
      <c r="N395" t="s">
        <v>933</v>
      </c>
      <c r="O395" t="s">
        <v>2723</v>
      </c>
      <c r="P395">
        <v>8</v>
      </c>
      <c r="Q395">
        <v>88</v>
      </c>
      <c r="R395" t="s">
        <v>2465</v>
      </c>
      <c r="S395" s="42" t="str">
        <f>HYPERLINK("https://sklep.kobi.pl/produkt/solar-led-ncs-30w-6500k-led2b")</f>
        <v>https://sklep.kobi.pl/produkt/solar-led-ncs-30w-6500k-led2b</v>
      </c>
      <c r="T395" s="42" t="str">
        <f>HYPERLINK("https://eprel.ec.europa.eu/qr/NIE DOTYCZY    ")</f>
        <v xml:space="preserve">https://eprel.ec.europa.eu/qr/NIE DOTYCZY    </v>
      </c>
      <c r="U395">
        <v>1.8720000000000001</v>
      </c>
      <c r="V395">
        <v>2.1059999999999999</v>
      </c>
      <c r="W395">
        <v>300</v>
      </c>
      <c r="X395">
        <v>295</v>
      </c>
      <c r="Y395">
        <v>100</v>
      </c>
    </row>
    <row r="396" spans="1:25" ht="15" x14ac:dyDescent="0.25">
      <c r="A396" t="s">
        <v>22</v>
      </c>
      <c r="B396" t="s">
        <v>92</v>
      </c>
      <c r="C396" t="s">
        <v>59</v>
      </c>
      <c r="D396" t="s">
        <v>111</v>
      </c>
      <c r="E396" t="s">
        <v>14</v>
      </c>
      <c r="F396" t="s">
        <v>2036</v>
      </c>
      <c r="G396" t="s">
        <v>309</v>
      </c>
      <c r="H396" t="s">
        <v>1</v>
      </c>
      <c r="I396">
        <v>379.01</v>
      </c>
      <c r="J396" s="41">
        <f>I396/'enter the discount'!$D$7</f>
        <v>88.7154159449464</v>
      </c>
      <c r="K396" s="41">
        <f>J396*(1-IFERROR(VLOOKUP(H396,'enter the discount'!$D$10:$E$40,2,FALSE),0))</f>
        <v>88.7154159449464</v>
      </c>
      <c r="L396" s="43" t="s">
        <v>2549</v>
      </c>
      <c r="M396" t="s">
        <v>673</v>
      </c>
      <c r="N396" t="s">
        <v>934</v>
      </c>
      <c r="O396" t="s">
        <v>2723</v>
      </c>
      <c r="P396">
        <v>6</v>
      </c>
      <c r="Q396">
        <v>144</v>
      </c>
      <c r="R396" t="s">
        <v>2465</v>
      </c>
      <c r="S396" s="42" t="str">
        <f>HYPERLINK("https://sklep.kobi.pl/produkt/solar-led-street-15w-4000k")</f>
        <v>https://sklep.kobi.pl/produkt/solar-led-street-15w-4000k</v>
      </c>
      <c r="T396" s="42" t="str">
        <f>HYPERLINK("https://eprel.ec.europa.eu/qr/NIE DOTYCZY    ")</f>
        <v xml:space="preserve">https://eprel.ec.europa.eu/qr/NIE DOTYCZY    </v>
      </c>
      <c r="U396">
        <v>2.2109999999999999</v>
      </c>
      <c r="V396">
        <v>2.4740000000000002</v>
      </c>
      <c r="W396">
        <v>265</v>
      </c>
      <c r="X396">
        <v>530</v>
      </c>
      <c r="Y396">
        <v>65</v>
      </c>
    </row>
    <row r="397" spans="1:25" ht="15" x14ac:dyDescent="0.25">
      <c r="A397" t="s">
        <v>22</v>
      </c>
      <c r="B397" t="s">
        <v>92</v>
      </c>
      <c r="C397" t="s">
        <v>59</v>
      </c>
      <c r="D397" t="s">
        <v>111</v>
      </c>
      <c r="E397" t="s">
        <v>14</v>
      </c>
      <c r="F397" t="s">
        <v>2037</v>
      </c>
      <c r="G397" t="s">
        <v>850</v>
      </c>
      <c r="H397" t="s">
        <v>1</v>
      </c>
      <c r="I397">
        <v>1194.94</v>
      </c>
      <c r="J397" s="41">
        <f>I397/'enter the discount'!$D$7</f>
        <v>279.70132484434254</v>
      </c>
      <c r="K397" s="41">
        <f>J397*(1-IFERROR(VLOOKUP(H397,'enter the discount'!$D$10:$E$40,2,FALSE),0))</f>
        <v>279.70132484434254</v>
      </c>
      <c r="L397" s="43" t="s">
        <v>2549</v>
      </c>
      <c r="M397" t="s">
        <v>851</v>
      </c>
      <c r="N397" t="s">
        <v>934</v>
      </c>
      <c r="O397" t="s">
        <v>2723</v>
      </c>
      <c r="P397">
        <v>4</v>
      </c>
      <c r="Q397">
        <v>48</v>
      </c>
      <c r="R397" t="s">
        <v>2466</v>
      </c>
      <c r="S397" s="42" t="str">
        <f>HYPERLINK("https://sklep.kobi.pl/produkt/solar-led-street-40w-4000k")</f>
        <v>https://sklep.kobi.pl/produkt/solar-led-street-40w-4000k</v>
      </c>
      <c r="T397" s="42" t="str">
        <f>HYPERLINK("https://eprel.ec.europa.eu/qr/NIE DOTYCZY    ")</f>
        <v xml:space="preserve">https://eprel.ec.europa.eu/qr/NIE DOTYCZY    </v>
      </c>
      <c r="U397">
        <v>5.24</v>
      </c>
      <c r="V397">
        <v>6.0759999999999996</v>
      </c>
      <c r="W397">
        <v>730</v>
      </c>
      <c r="X397">
        <v>330</v>
      </c>
      <c r="Y397">
        <v>100</v>
      </c>
    </row>
    <row r="398" spans="1:25" ht="15" x14ac:dyDescent="0.25">
      <c r="A398" t="s">
        <v>22</v>
      </c>
      <c r="B398" t="s">
        <v>89</v>
      </c>
      <c r="C398" t="s">
        <v>59</v>
      </c>
      <c r="D398" t="s">
        <v>112</v>
      </c>
      <c r="E398" t="s">
        <v>14</v>
      </c>
      <c r="F398" t="s">
        <v>1359</v>
      </c>
      <c r="G398" t="s">
        <v>1360</v>
      </c>
      <c r="H398" t="s">
        <v>1</v>
      </c>
      <c r="I398">
        <v>92.5</v>
      </c>
      <c r="J398" s="41">
        <f>I398/'enter the discount'!$D$7</f>
        <v>21.651608070783205</v>
      </c>
      <c r="K398" s="41">
        <f>J398*(1-IFERROR(VLOOKUP(H398,'enter the discount'!$D$10:$E$40,2,FALSE),0))</f>
        <v>21.651608070783205</v>
      </c>
      <c r="L398" s="43" t="s">
        <v>858</v>
      </c>
      <c r="M398" t="s">
        <v>1361</v>
      </c>
      <c r="N398" t="s">
        <v>932</v>
      </c>
      <c r="O398" t="s">
        <v>2723</v>
      </c>
      <c r="P398">
        <v>60</v>
      </c>
      <c r="Q398">
        <v>960</v>
      </c>
      <c r="R398" t="s">
        <v>2465</v>
      </c>
      <c r="S398"/>
      <c r="T398" s="42" t="str">
        <f>HYPERLINK("https://eprel.ec.europa.eu/qr/941688         ")</f>
        <v xml:space="preserve">https://eprel.ec.europa.eu/qr/941688         </v>
      </c>
      <c r="U398">
        <v>0.23499999999999999</v>
      </c>
      <c r="V398">
        <v>0.28399999999999997</v>
      </c>
      <c r="W398">
        <v>115</v>
      </c>
      <c r="X398">
        <v>160</v>
      </c>
      <c r="Y398">
        <v>45</v>
      </c>
    </row>
    <row r="399" spans="1:25" ht="15" x14ac:dyDescent="0.25">
      <c r="A399" t="s">
        <v>22</v>
      </c>
      <c r="B399" t="s">
        <v>89</v>
      </c>
      <c r="C399" t="s">
        <v>59</v>
      </c>
      <c r="D399" t="s">
        <v>112</v>
      </c>
      <c r="E399" t="s">
        <v>14</v>
      </c>
      <c r="F399" t="s">
        <v>866</v>
      </c>
      <c r="G399" t="s">
        <v>310</v>
      </c>
      <c r="H399" t="s">
        <v>1</v>
      </c>
      <c r="I399">
        <v>92.5</v>
      </c>
      <c r="J399" s="41">
        <f>I399/'enter the discount'!$D$7</f>
        <v>21.651608070783205</v>
      </c>
      <c r="K399" s="41">
        <f>J399*(1-IFERROR(VLOOKUP(H399,'enter the discount'!$D$10:$E$40,2,FALSE),0))</f>
        <v>21.651608070783205</v>
      </c>
      <c r="L399" s="43" t="s">
        <v>858</v>
      </c>
      <c r="M399" t="s">
        <v>674</v>
      </c>
      <c r="N399" t="s">
        <v>932</v>
      </c>
      <c r="O399" t="s">
        <v>2723</v>
      </c>
      <c r="P399">
        <v>60</v>
      </c>
      <c r="Q399">
        <v>960</v>
      </c>
      <c r="R399" t="s">
        <v>2465</v>
      </c>
      <c r="S399" s="42" t="str">
        <f>HYPERLINK("https://sklep.kobi.pl/produkt/oprawa-led-mhc-10w-czarna-4000k-led2b")</f>
        <v>https://sklep.kobi.pl/produkt/oprawa-led-mhc-10w-czarna-4000k-led2b</v>
      </c>
      <c r="T399" s="42" t="str">
        <f>HYPERLINK("https://eprel.ec.europa.eu/qr/760375         ")</f>
        <v xml:space="preserve">https://eprel.ec.europa.eu/qr/760375         </v>
      </c>
      <c r="U399">
        <v>0.23499999999999999</v>
      </c>
      <c r="V399">
        <v>0.28399999999999997</v>
      </c>
      <c r="W399">
        <v>115</v>
      </c>
      <c r="X399">
        <v>160</v>
      </c>
      <c r="Y399">
        <v>45</v>
      </c>
    </row>
    <row r="400" spans="1:25" ht="15" x14ac:dyDescent="0.25">
      <c r="A400" t="s">
        <v>22</v>
      </c>
      <c r="B400" t="s">
        <v>89</v>
      </c>
      <c r="C400" t="s">
        <v>59</v>
      </c>
      <c r="D400" t="s">
        <v>112</v>
      </c>
      <c r="E400" t="s">
        <v>14</v>
      </c>
      <c r="F400" t="s">
        <v>867</v>
      </c>
      <c r="G400" t="s">
        <v>311</v>
      </c>
      <c r="H400" t="s">
        <v>1</v>
      </c>
      <c r="I400">
        <v>92.5</v>
      </c>
      <c r="J400" s="41">
        <f>I400/'enter the discount'!$D$7</f>
        <v>21.651608070783205</v>
      </c>
      <c r="K400" s="41">
        <f>J400*(1-IFERROR(VLOOKUP(H400,'enter the discount'!$D$10:$E$40,2,FALSE),0))</f>
        <v>21.651608070783205</v>
      </c>
      <c r="L400" s="43" t="s">
        <v>858</v>
      </c>
      <c r="M400" t="s">
        <v>675</v>
      </c>
      <c r="N400" t="s">
        <v>932</v>
      </c>
      <c r="O400" t="s">
        <v>2723</v>
      </c>
      <c r="P400">
        <v>60</v>
      </c>
      <c r="Q400">
        <v>960</v>
      </c>
      <c r="R400" t="s">
        <v>2465</v>
      </c>
      <c r="S400" s="42" t="str">
        <f>HYPERLINK("https://sklep.kobi.pl/produkt/oprawa-led-mhc-10w-czarna-6000k-led2b")</f>
        <v>https://sklep.kobi.pl/produkt/oprawa-led-mhc-10w-czarna-6000k-led2b</v>
      </c>
      <c r="T400" s="42" t="str">
        <f>HYPERLINK("https://eprel.ec.europa.eu/qr/760379         ")</f>
        <v xml:space="preserve">https://eprel.ec.europa.eu/qr/760379         </v>
      </c>
      <c r="U400">
        <v>0.23499999999999999</v>
      </c>
      <c r="V400">
        <v>0.28399999999999997</v>
      </c>
      <c r="W400">
        <v>115</v>
      </c>
      <c r="X400">
        <v>160</v>
      </c>
      <c r="Y400">
        <v>45</v>
      </c>
    </row>
    <row r="401" spans="1:25" ht="15" x14ac:dyDescent="0.25">
      <c r="A401" t="s">
        <v>22</v>
      </c>
      <c r="B401" t="s">
        <v>89</v>
      </c>
      <c r="C401" t="s">
        <v>59</v>
      </c>
      <c r="D401" t="s">
        <v>112</v>
      </c>
      <c r="E401" t="s">
        <v>2721</v>
      </c>
      <c r="F401" t="s">
        <v>866</v>
      </c>
      <c r="G401" t="s">
        <v>2690</v>
      </c>
      <c r="H401" t="s">
        <v>1</v>
      </c>
      <c r="I401">
        <v>50</v>
      </c>
      <c r="J401" s="41">
        <f>I401/'enter the discount'!$D$7</f>
        <v>11.703571930153084</v>
      </c>
      <c r="K401" s="41">
        <f>J401*(1-IFERROR(VLOOKUP(H401,'enter the discount'!$D$10:$E$40,2,FALSE),0))</f>
        <v>11.703571930153084</v>
      </c>
      <c r="L401" s="43" t="s">
        <v>858</v>
      </c>
      <c r="M401" t="s">
        <v>2710</v>
      </c>
      <c r="N401" t="s">
        <v>932</v>
      </c>
      <c r="O401" t="s">
        <v>2723</v>
      </c>
      <c r="P401">
        <v>20</v>
      </c>
      <c r="Q401">
        <v>0</v>
      </c>
      <c r="R401" t="s">
        <v>2465</v>
      </c>
      <c r="S401" s="42" t="str">
        <f>HYPERLINK("https://sklep.kobi.pl/produkt/led-mhc-10w-czarna-4000k-led2b-red")</f>
        <v>https://sklep.kobi.pl/produkt/led-mhc-10w-czarna-4000k-led2b-red</v>
      </c>
      <c r="T401" s="42" t="str">
        <f>HYPERLINK("https://eprel.ec.europa.eu/qr/1988260        ")</f>
        <v xml:space="preserve">https://eprel.ec.europa.eu/qr/1988260        </v>
      </c>
      <c r="U401">
        <v>0.25</v>
      </c>
      <c r="V401">
        <v>0</v>
      </c>
      <c r="W401">
        <v>0</v>
      </c>
      <c r="X401">
        <v>0</v>
      </c>
      <c r="Y401">
        <v>0</v>
      </c>
    </row>
    <row r="402" spans="1:25" ht="15" x14ac:dyDescent="0.25">
      <c r="A402" t="s">
        <v>22</v>
      </c>
      <c r="B402" t="s">
        <v>89</v>
      </c>
      <c r="C402" t="s">
        <v>59</v>
      </c>
      <c r="D402" t="s">
        <v>112</v>
      </c>
      <c r="E402" t="s">
        <v>2721</v>
      </c>
      <c r="F402" t="s">
        <v>2691</v>
      </c>
      <c r="G402" t="s">
        <v>2692</v>
      </c>
      <c r="H402" t="s">
        <v>1</v>
      </c>
      <c r="I402">
        <v>50</v>
      </c>
      <c r="J402" s="41">
        <f>I402/'enter the discount'!$D$7</f>
        <v>11.703571930153084</v>
      </c>
      <c r="K402" s="41">
        <f>J402*(1-IFERROR(VLOOKUP(H402,'enter the discount'!$D$10:$E$40,2,FALSE),0))</f>
        <v>11.703571930153084</v>
      </c>
      <c r="L402" s="43" t="s">
        <v>858</v>
      </c>
      <c r="M402" t="s">
        <v>2711</v>
      </c>
      <c r="N402" t="s">
        <v>932</v>
      </c>
      <c r="O402" t="s">
        <v>2723</v>
      </c>
      <c r="P402">
        <v>20</v>
      </c>
      <c r="Q402">
        <v>0</v>
      </c>
      <c r="R402" t="s">
        <v>2465</v>
      </c>
      <c r="S402" s="42" t="str">
        <f>HYPERLINK("https://sklep.kobi.pl/produkt/led-mhc-10w-czarna-6500k-led2b-red")</f>
        <v>https://sklep.kobi.pl/produkt/led-mhc-10w-czarna-6500k-led2b-red</v>
      </c>
      <c r="T402" s="42" t="str">
        <f>HYPERLINK("https://eprel.ec.europa.eu/qr/1988276        ")</f>
        <v xml:space="preserve">https://eprel.ec.europa.eu/qr/1988276        </v>
      </c>
      <c r="U402">
        <v>0.25</v>
      </c>
      <c r="V402">
        <v>0</v>
      </c>
      <c r="W402">
        <v>0</v>
      </c>
      <c r="X402">
        <v>0</v>
      </c>
      <c r="Y402">
        <v>0</v>
      </c>
    </row>
    <row r="403" spans="1:25" ht="15" x14ac:dyDescent="0.25">
      <c r="A403" t="s">
        <v>22</v>
      </c>
      <c r="B403" t="s">
        <v>89</v>
      </c>
      <c r="C403" t="s">
        <v>59</v>
      </c>
      <c r="D403" t="s">
        <v>112</v>
      </c>
      <c r="E403" t="s">
        <v>14</v>
      </c>
      <c r="F403" t="s">
        <v>1362</v>
      </c>
      <c r="G403" t="s">
        <v>1363</v>
      </c>
      <c r="H403" t="s">
        <v>1</v>
      </c>
      <c r="I403">
        <v>106</v>
      </c>
      <c r="J403" s="41">
        <f>I403/'enter the discount'!$D$7</f>
        <v>24.811572491924537</v>
      </c>
      <c r="K403" s="41">
        <f>J403*(1-IFERROR(VLOOKUP(H403,'enter the discount'!$D$10:$E$40,2,FALSE),0))</f>
        <v>24.811572491924537</v>
      </c>
      <c r="L403" s="43" t="s">
        <v>858</v>
      </c>
      <c r="M403" t="s">
        <v>1364</v>
      </c>
      <c r="N403" t="s">
        <v>932</v>
      </c>
      <c r="O403" t="s">
        <v>2723</v>
      </c>
      <c r="P403">
        <v>40</v>
      </c>
      <c r="Q403">
        <v>800</v>
      </c>
      <c r="R403" t="s">
        <v>2465</v>
      </c>
      <c r="S403"/>
      <c r="T403" s="42" t="str">
        <f>HYPERLINK("https://eprel.ec.europa.eu/qr/943473         ")</f>
        <v xml:space="preserve">https://eprel.ec.europa.eu/qr/943473         </v>
      </c>
      <c r="U403">
        <v>0.318</v>
      </c>
      <c r="V403">
        <v>0.39100000000000001</v>
      </c>
      <c r="W403">
        <v>150</v>
      </c>
      <c r="X403">
        <v>180</v>
      </c>
      <c r="Y403">
        <v>45</v>
      </c>
    </row>
    <row r="404" spans="1:25" ht="15" x14ac:dyDescent="0.25">
      <c r="A404" t="s">
        <v>22</v>
      </c>
      <c r="B404" t="s">
        <v>89</v>
      </c>
      <c r="C404" t="s">
        <v>59</v>
      </c>
      <c r="D404" t="s">
        <v>112</v>
      </c>
      <c r="E404" t="s">
        <v>14</v>
      </c>
      <c r="F404" t="s">
        <v>868</v>
      </c>
      <c r="G404" t="s">
        <v>312</v>
      </c>
      <c r="H404" t="s">
        <v>1</v>
      </c>
      <c r="I404">
        <v>106</v>
      </c>
      <c r="J404" s="41">
        <f>I404/'enter the discount'!$D$7</f>
        <v>24.811572491924537</v>
      </c>
      <c r="K404" s="41">
        <f>J404*(1-IFERROR(VLOOKUP(H404,'enter the discount'!$D$10:$E$40,2,FALSE),0))</f>
        <v>24.811572491924537</v>
      </c>
      <c r="L404" s="43" t="s">
        <v>858</v>
      </c>
      <c r="M404" t="s">
        <v>676</v>
      </c>
      <c r="N404" t="s">
        <v>932</v>
      </c>
      <c r="O404" t="s">
        <v>2723</v>
      </c>
      <c r="P404">
        <v>40</v>
      </c>
      <c r="Q404">
        <v>800</v>
      </c>
      <c r="R404" t="s">
        <v>2465</v>
      </c>
      <c r="S404"/>
      <c r="T404" s="42" t="str">
        <f>HYPERLINK("https://eprel.ec.europa.eu/qr/760438         ")</f>
        <v xml:space="preserve">https://eprel.ec.europa.eu/qr/760438         </v>
      </c>
      <c r="U404">
        <v>0.318</v>
      </c>
      <c r="V404">
        <v>0.39100000000000001</v>
      </c>
      <c r="W404">
        <v>150</v>
      </c>
      <c r="X404">
        <v>180</v>
      </c>
      <c r="Y404">
        <v>45</v>
      </c>
    </row>
    <row r="405" spans="1:25" ht="15" x14ac:dyDescent="0.25">
      <c r="A405" t="s">
        <v>22</v>
      </c>
      <c r="B405" t="s">
        <v>89</v>
      </c>
      <c r="C405" t="s">
        <v>59</v>
      </c>
      <c r="D405" t="s">
        <v>112</v>
      </c>
      <c r="E405" t="s">
        <v>14</v>
      </c>
      <c r="F405" t="s">
        <v>869</v>
      </c>
      <c r="G405" t="s">
        <v>313</v>
      </c>
      <c r="H405" t="s">
        <v>1</v>
      </c>
      <c r="I405">
        <v>106</v>
      </c>
      <c r="J405" s="41">
        <f>I405/'enter the discount'!$D$7</f>
        <v>24.811572491924537</v>
      </c>
      <c r="K405" s="41">
        <f>J405*(1-IFERROR(VLOOKUP(H405,'enter the discount'!$D$10:$E$40,2,FALSE),0))</f>
        <v>24.811572491924537</v>
      </c>
      <c r="L405" s="43" t="s">
        <v>858</v>
      </c>
      <c r="M405" t="s">
        <v>677</v>
      </c>
      <c r="N405" t="s">
        <v>932</v>
      </c>
      <c r="O405" t="s">
        <v>2723</v>
      </c>
      <c r="P405">
        <v>40</v>
      </c>
      <c r="Q405">
        <v>800</v>
      </c>
      <c r="R405" t="s">
        <v>2465</v>
      </c>
      <c r="S405"/>
      <c r="T405" s="42" t="str">
        <f>HYPERLINK("https://eprel.ec.europa.eu/qr/760441         ")</f>
        <v xml:space="preserve">https://eprel.ec.europa.eu/qr/760441         </v>
      </c>
      <c r="U405">
        <v>0.318</v>
      </c>
      <c r="V405">
        <v>0.39100000000000001</v>
      </c>
      <c r="W405">
        <v>150</v>
      </c>
      <c r="X405">
        <v>180</v>
      </c>
      <c r="Y405">
        <v>45</v>
      </c>
    </row>
    <row r="406" spans="1:25" ht="15" x14ac:dyDescent="0.25">
      <c r="A406" t="s">
        <v>22</v>
      </c>
      <c r="B406" t="s">
        <v>89</v>
      </c>
      <c r="C406" t="s">
        <v>59</v>
      </c>
      <c r="D406" t="s">
        <v>112</v>
      </c>
      <c r="E406" t="s">
        <v>2721</v>
      </c>
      <c r="F406" t="s">
        <v>868</v>
      </c>
      <c r="G406" t="s">
        <v>2693</v>
      </c>
      <c r="H406" t="s">
        <v>1</v>
      </c>
      <c r="I406">
        <v>64.95</v>
      </c>
      <c r="J406" s="41">
        <f>I406/'enter the discount'!$D$7</f>
        <v>15.202939937268855</v>
      </c>
      <c r="K406" s="41">
        <f>J406*(1-IFERROR(VLOOKUP(H406,'enter the discount'!$D$10:$E$40,2,FALSE),0))</f>
        <v>15.202939937268855</v>
      </c>
      <c r="L406" s="43" t="s">
        <v>858</v>
      </c>
      <c r="M406" t="s">
        <v>2712</v>
      </c>
      <c r="N406" t="s">
        <v>932</v>
      </c>
      <c r="O406" t="s">
        <v>2723</v>
      </c>
      <c r="P406">
        <v>20</v>
      </c>
      <c r="Q406">
        <v>0</v>
      </c>
      <c r="R406" t="s">
        <v>2465</v>
      </c>
      <c r="S406" s="42" t="str">
        <f>HYPERLINK("https://sklep.kobi.pl/produkt/led-mhc-20w-czarna-4000k-led2b-red")</f>
        <v>https://sklep.kobi.pl/produkt/led-mhc-20w-czarna-4000k-led2b-red</v>
      </c>
      <c r="T406" s="42" t="str">
        <f>HYPERLINK("https://eprel.ec.europa.eu/qr/1988366        ")</f>
        <v xml:space="preserve">https://eprel.ec.europa.eu/qr/1988366        </v>
      </c>
      <c r="U406">
        <v>0.25</v>
      </c>
      <c r="V406">
        <v>0</v>
      </c>
      <c r="W406">
        <v>0</v>
      </c>
      <c r="X406">
        <v>0</v>
      </c>
      <c r="Y406">
        <v>0</v>
      </c>
    </row>
    <row r="407" spans="1:25" ht="15" x14ac:dyDescent="0.25">
      <c r="A407" t="s">
        <v>22</v>
      </c>
      <c r="B407" t="s">
        <v>89</v>
      </c>
      <c r="C407" t="s">
        <v>59</v>
      </c>
      <c r="D407" t="s">
        <v>112</v>
      </c>
      <c r="E407" t="s">
        <v>2721</v>
      </c>
      <c r="F407" t="s">
        <v>2694</v>
      </c>
      <c r="G407" t="s">
        <v>2695</v>
      </c>
      <c r="H407" t="s">
        <v>1</v>
      </c>
      <c r="I407">
        <v>64.95</v>
      </c>
      <c r="J407" s="41">
        <f>I407/'enter the discount'!$D$7</f>
        <v>15.202939937268855</v>
      </c>
      <c r="K407" s="41">
        <f>J407*(1-IFERROR(VLOOKUP(H407,'enter the discount'!$D$10:$E$40,2,FALSE),0))</f>
        <v>15.202939937268855</v>
      </c>
      <c r="L407" s="43" t="s">
        <v>858</v>
      </c>
      <c r="M407" t="s">
        <v>2713</v>
      </c>
      <c r="N407" t="s">
        <v>932</v>
      </c>
      <c r="O407" t="s">
        <v>2723</v>
      </c>
      <c r="P407">
        <v>20</v>
      </c>
      <c r="Q407">
        <v>0</v>
      </c>
      <c r="R407" t="s">
        <v>2465</v>
      </c>
      <c r="S407" s="42" t="str">
        <f>HYPERLINK("https://sklep.kobi.pl/produkt/led-mhc-20w-czarna-6500k-led2b-red")</f>
        <v>https://sklep.kobi.pl/produkt/led-mhc-20w-czarna-6500k-led2b-red</v>
      </c>
      <c r="T407" s="42" t="str">
        <f>HYPERLINK("https://eprel.ec.europa.eu/qr/1988379        ")</f>
        <v xml:space="preserve">https://eprel.ec.europa.eu/qr/1988379        </v>
      </c>
      <c r="U407">
        <v>0.25</v>
      </c>
      <c r="V407">
        <v>0</v>
      </c>
      <c r="W407">
        <v>0</v>
      </c>
      <c r="X407">
        <v>0</v>
      </c>
      <c r="Y407">
        <v>0</v>
      </c>
    </row>
    <row r="408" spans="1:25" ht="15" x14ac:dyDescent="0.25">
      <c r="A408" t="s">
        <v>22</v>
      </c>
      <c r="B408" t="s">
        <v>89</v>
      </c>
      <c r="C408" t="s">
        <v>59</v>
      </c>
      <c r="D408" t="s">
        <v>112</v>
      </c>
      <c r="E408" t="s">
        <v>14</v>
      </c>
      <c r="F408" t="s">
        <v>870</v>
      </c>
      <c r="G408" t="s">
        <v>314</v>
      </c>
      <c r="H408" t="s">
        <v>1</v>
      </c>
      <c r="I408">
        <v>127</v>
      </c>
      <c r="J408" s="41">
        <f>I408/'enter the discount'!$D$7</f>
        <v>29.727072702588831</v>
      </c>
      <c r="K408" s="41">
        <f>J408*(1-IFERROR(VLOOKUP(H408,'enter the discount'!$D$10:$E$40,2,FALSE),0))</f>
        <v>29.727072702588831</v>
      </c>
      <c r="L408" s="43" t="s">
        <v>858</v>
      </c>
      <c r="M408" t="s">
        <v>678</v>
      </c>
      <c r="N408" t="s">
        <v>932</v>
      </c>
      <c r="O408" t="s">
        <v>2723</v>
      </c>
      <c r="P408">
        <v>20</v>
      </c>
      <c r="Q408">
        <v>400</v>
      </c>
      <c r="R408" t="s">
        <v>2465</v>
      </c>
      <c r="S408" s="42" t="str">
        <f>HYPERLINK("https://sklep.kobi.pl/produkt/oprawa-led-mhc-30w-czarna-3000k-led2b")</f>
        <v>https://sklep.kobi.pl/produkt/oprawa-led-mhc-30w-czarna-3000k-led2b</v>
      </c>
      <c r="T408" s="42" t="str">
        <f>HYPERLINK("https://eprel.ec.europa.eu/qr/943528         ")</f>
        <v xml:space="preserve">https://eprel.ec.europa.eu/qr/943528         </v>
      </c>
      <c r="U408">
        <v>0.51600000000000001</v>
      </c>
      <c r="V408">
        <v>0.58099999999999996</v>
      </c>
      <c r="W408">
        <v>190</v>
      </c>
      <c r="X408">
        <v>210</v>
      </c>
      <c r="Y408">
        <v>45</v>
      </c>
    </row>
    <row r="409" spans="1:25" ht="15" x14ac:dyDescent="0.25">
      <c r="A409" t="s">
        <v>22</v>
      </c>
      <c r="B409" t="s">
        <v>89</v>
      </c>
      <c r="C409" t="s">
        <v>59</v>
      </c>
      <c r="D409" t="s">
        <v>112</v>
      </c>
      <c r="E409" t="s">
        <v>14</v>
      </c>
      <c r="F409" t="s">
        <v>871</v>
      </c>
      <c r="G409" t="s">
        <v>315</v>
      </c>
      <c r="H409" t="s">
        <v>1</v>
      </c>
      <c r="I409">
        <v>127</v>
      </c>
      <c r="J409" s="41">
        <f>I409/'enter the discount'!$D$7</f>
        <v>29.727072702588831</v>
      </c>
      <c r="K409" s="41">
        <f>J409*(1-IFERROR(VLOOKUP(H409,'enter the discount'!$D$10:$E$40,2,FALSE),0))</f>
        <v>29.727072702588831</v>
      </c>
      <c r="L409" s="43" t="s">
        <v>858</v>
      </c>
      <c r="M409" t="s">
        <v>679</v>
      </c>
      <c r="N409" t="s">
        <v>932</v>
      </c>
      <c r="O409" t="s">
        <v>2723</v>
      </c>
      <c r="P409">
        <v>20</v>
      </c>
      <c r="Q409">
        <v>400</v>
      </c>
      <c r="R409" t="s">
        <v>2465</v>
      </c>
      <c r="S409"/>
      <c r="T409" s="42" t="str">
        <f>HYPERLINK("https://eprel.ec.europa.eu/qr/760443         ")</f>
        <v xml:space="preserve">https://eprel.ec.europa.eu/qr/760443         </v>
      </c>
      <c r="U409">
        <v>0.51600000000000001</v>
      </c>
      <c r="V409">
        <v>0.58099999999999996</v>
      </c>
      <c r="W409">
        <v>190</v>
      </c>
      <c r="X409">
        <v>210</v>
      </c>
      <c r="Y409">
        <v>45</v>
      </c>
    </row>
    <row r="410" spans="1:25" ht="15" x14ac:dyDescent="0.25">
      <c r="A410" t="s">
        <v>22</v>
      </c>
      <c r="B410" t="s">
        <v>89</v>
      </c>
      <c r="C410" t="s">
        <v>59</v>
      </c>
      <c r="D410" t="s">
        <v>112</v>
      </c>
      <c r="E410" t="s">
        <v>14</v>
      </c>
      <c r="F410" t="s">
        <v>872</v>
      </c>
      <c r="G410" t="s">
        <v>316</v>
      </c>
      <c r="H410" t="s">
        <v>1</v>
      </c>
      <c r="I410">
        <v>127</v>
      </c>
      <c r="J410" s="41">
        <f>I410/'enter the discount'!$D$7</f>
        <v>29.727072702588831</v>
      </c>
      <c r="K410" s="41">
        <f>J410*(1-IFERROR(VLOOKUP(H410,'enter the discount'!$D$10:$E$40,2,FALSE),0))</f>
        <v>29.727072702588831</v>
      </c>
      <c r="L410" s="43" t="s">
        <v>858</v>
      </c>
      <c r="M410" t="s">
        <v>680</v>
      </c>
      <c r="N410" t="s">
        <v>932</v>
      </c>
      <c r="O410" t="s">
        <v>2723</v>
      </c>
      <c r="P410">
        <v>20</v>
      </c>
      <c r="Q410">
        <v>400</v>
      </c>
      <c r="R410" t="s">
        <v>2465</v>
      </c>
      <c r="S410" s="42" t="str">
        <f>HYPERLINK("https://sklep.kobi.pl/produkt/oprawa-led-mhc-30w-czarna-6000k-led2b")</f>
        <v>https://sklep.kobi.pl/produkt/oprawa-led-mhc-30w-czarna-6000k-led2b</v>
      </c>
      <c r="T410" s="42" t="str">
        <f>HYPERLINK("https://eprel.ec.europa.eu/qr/760445         ")</f>
        <v xml:space="preserve">https://eprel.ec.europa.eu/qr/760445         </v>
      </c>
      <c r="U410">
        <v>0.51600000000000001</v>
      </c>
      <c r="V410">
        <v>0.58099999999999996</v>
      </c>
      <c r="W410">
        <v>190</v>
      </c>
      <c r="X410">
        <v>210</v>
      </c>
      <c r="Y410">
        <v>45</v>
      </c>
    </row>
    <row r="411" spans="1:25" ht="15" x14ac:dyDescent="0.25">
      <c r="A411" t="s">
        <v>22</v>
      </c>
      <c r="B411" t="s">
        <v>89</v>
      </c>
      <c r="C411" t="s">
        <v>59</v>
      </c>
      <c r="D411" t="s">
        <v>112</v>
      </c>
      <c r="E411" t="s">
        <v>2721</v>
      </c>
      <c r="F411" t="s">
        <v>871</v>
      </c>
      <c r="G411" t="s">
        <v>2696</v>
      </c>
      <c r="H411" t="s">
        <v>1</v>
      </c>
      <c r="I411">
        <v>73.239999999999995</v>
      </c>
      <c r="J411" s="41">
        <f>I411/'enter the discount'!$D$7</f>
        <v>17.143392163288237</v>
      </c>
      <c r="K411" s="41">
        <f>J411*(1-IFERROR(VLOOKUP(H411,'enter the discount'!$D$10:$E$40,2,FALSE),0))</f>
        <v>17.143392163288237</v>
      </c>
      <c r="L411" s="43" t="s">
        <v>858</v>
      </c>
      <c r="M411" t="s">
        <v>2714</v>
      </c>
      <c r="N411" t="s">
        <v>932</v>
      </c>
      <c r="O411" t="s">
        <v>2723</v>
      </c>
      <c r="P411">
        <v>20</v>
      </c>
      <c r="Q411">
        <v>0</v>
      </c>
      <c r="R411" t="s">
        <v>2465</v>
      </c>
      <c r="S411" s="42" t="str">
        <f>HYPERLINK("https://sklep.kobi.pl/produkt/led-mhc-30w-czarna-4000k-led2b-red")</f>
        <v>https://sklep.kobi.pl/produkt/led-mhc-30w-czarna-4000k-led2b-red</v>
      </c>
      <c r="T411" s="42" t="str">
        <f>HYPERLINK("https://eprel.ec.europa.eu/qr/1988394        ")</f>
        <v xml:space="preserve">https://eprel.ec.europa.eu/qr/1988394        </v>
      </c>
      <c r="U411">
        <v>0.37</v>
      </c>
      <c r="V411">
        <v>0</v>
      </c>
      <c r="W411">
        <v>0</v>
      </c>
      <c r="X411">
        <v>0</v>
      </c>
      <c r="Y411">
        <v>0</v>
      </c>
    </row>
    <row r="412" spans="1:25" ht="15" x14ac:dyDescent="0.25">
      <c r="A412" t="s">
        <v>22</v>
      </c>
      <c r="B412" t="s">
        <v>89</v>
      </c>
      <c r="C412" t="s">
        <v>59</v>
      </c>
      <c r="D412" t="s">
        <v>112</v>
      </c>
      <c r="E412" t="s">
        <v>2721</v>
      </c>
      <c r="F412" t="s">
        <v>2697</v>
      </c>
      <c r="G412" t="s">
        <v>2698</v>
      </c>
      <c r="H412" t="s">
        <v>1</v>
      </c>
      <c r="I412">
        <v>73.239999999999995</v>
      </c>
      <c r="J412" s="41">
        <f>I412/'enter the discount'!$D$7</f>
        <v>17.143392163288237</v>
      </c>
      <c r="K412" s="41">
        <f>J412*(1-IFERROR(VLOOKUP(H412,'enter the discount'!$D$10:$E$40,2,FALSE),0))</f>
        <v>17.143392163288237</v>
      </c>
      <c r="L412" s="43" t="s">
        <v>858</v>
      </c>
      <c r="M412" t="s">
        <v>2715</v>
      </c>
      <c r="N412" t="s">
        <v>932</v>
      </c>
      <c r="O412" t="s">
        <v>2723</v>
      </c>
      <c r="P412">
        <v>20</v>
      </c>
      <c r="Q412">
        <v>0</v>
      </c>
      <c r="R412" t="s">
        <v>2465</v>
      </c>
      <c r="S412" s="42" t="str">
        <f>HYPERLINK("https://sklep.kobi.pl/produkt/led-mhc-30w-czarna-6500k-led2b-red")</f>
        <v>https://sklep.kobi.pl/produkt/led-mhc-30w-czarna-6500k-led2b-red</v>
      </c>
      <c r="T412" s="42" t="str">
        <f>HYPERLINK("https://eprel.ec.europa.eu/qr/1988404        ")</f>
        <v xml:space="preserve">https://eprel.ec.europa.eu/qr/1988404        </v>
      </c>
      <c r="U412">
        <v>0.37</v>
      </c>
      <c r="V412">
        <v>0</v>
      </c>
      <c r="W412">
        <v>0</v>
      </c>
      <c r="X412">
        <v>0</v>
      </c>
      <c r="Y412">
        <v>0</v>
      </c>
    </row>
    <row r="413" spans="1:25" ht="15" x14ac:dyDescent="0.25">
      <c r="A413" t="s">
        <v>22</v>
      </c>
      <c r="B413" t="s">
        <v>89</v>
      </c>
      <c r="C413" t="s">
        <v>59</v>
      </c>
      <c r="D413" t="s">
        <v>112</v>
      </c>
      <c r="E413" t="s">
        <v>14</v>
      </c>
      <c r="F413" t="s">
        <v>1365</v>
      </c>
      <c r="G413" t="s">
        <v>1366</v>
      </c>
      <c r="H413" t="s">
        <v>1</v>
      </c>
      <c r="I413">
        <v>148</v>
      </c>
      <c r="J413" s="41">
        <f>I413/'enter the discount'!$D$7</f>
        <v>34.642572913253126</v>
      </c>
      <c r="K413" s="41">
        <f>J413*(1-IFERROR(VLOOKUP(H413,'enter the discount'!$D$10:$E$40,2,FALSE),0))</f>
        <v>34.642572913253126</v>
      </c>
      <c r="L413" s="43" t="s">
        <v>858</v>
      </c>
      <c r="M413" t="s">
        <v>1367</v>
      </c>
      <c r="N413" t="s">
        <v>932</v>
      </c>
      <c r="O413" t="s">
        <v>2723</v>
      </c>
      <c r="P413">
        <v>20</v>
      </c>
      <c r="Q413">
        <v>400</v>
      </c>
      <c r="R413" t="s">
        <v>2465</v>
      </c>
      <c r="S413"/>
      <c r="T413" s="42" t="str">
        <f>HYPERLINK("https://eprel.ec.europa.eu/qr/943719         ")</f>
        <v xml:space="preserve">https://eprel.ec.europa.eu/qr/943719         </v>
      </c>
      <c r="U413">
        <v>0.63200000000000001</v>
      </c>
      <c r="V413">
        <v>0.72499999999999998</v>
      </c>
      <c r="W413">
        <v>220</v>
      </c>
      <c r="X413">
        <v>235</v>
      </c>
      <c r="Y413">
        <v>45</v>
      </c>
    </row>
    <row r="414" spans="1:25" ht="15" x14ac:dyDescent="0.25">
      <c r="A414" t="s">
        <v>22</v>
      </c>
      <c r="B414" t="s">
        <v>89</v>
      </c>
      <c r="C414" t="s">
        <v>59</v>
      </c>
      <c r="D414" t="s">
        <v>112</v>
      </c>
      <c r="E414" t="s">
        <v>14</v>
      </c>
      <c r="F414" t="s">
        <v>873</v>
      </c>
      <c r="G414" t="s">
        <v>317</v>
      </c>
      <c r="H414" t="s">
        <v>1</v>
      </c>
      <c r="I414">
        <v>148</v>
      </c>
      <c r="J414" s="41">
        <f>I414/'enter the discount'!$D$7</f>
        <v>34.642572913253126</v>
      </c>
      <c r="K414" s="41">
        <f>J414*(1-IFERROR(VLOOKUP(H414,'enter the discount'!$D$10:$E$40,2,FALSE),0))</f>
        <v>34.642572913253126</v>
      </c>
      <c r="L414" s="43" t="s">
        <v>858</v>
      </c>
      <c r="M414" t="s">
        <v>681</v>
      </c>
      <c r="N414" t="s">
        <v>932</v>
      </c>
      <c r="O414" t="s">
        <v>2723</v>
      </c>
      <c r="P414">
        <v>20</v>
      </c>
      <c r="Q414">
        <v>400</v>
      </c>
      <c r="R414" t="s">
        <v>2465</v>
      </c>
      <c r="S414"/>
      <c r="T414" s="42" t="str">
        <f>HYPERLINK("https://eprel.ec.europa.eu/qr/760446         ")</f>
        <v xml:space="preserve">https://eprel.ec.europa.eu/qr/760446         </v>
      </c>
      <c r="U414">
        <v>0.63200000000000001</v>
      </c>
      <c r="V414">
        <v>0.72499999999999998</v>
      </c>
      <c r="W414">
        <v>220</v>
      </c>
      <c r="X414">
        <v>235</v>
      </c>
      <c r="Y414">
        <v>45</v>
      </c>
    </row>
    <row r="415" spans="1:25" ht="15" x14ac:dyDescent="0.25">
      <c r="A415" t="s">
        <v>22</v>
      </c>
      <c r="B415" t="s">
        <v>89</v>
      </c>
      <c r="C415" t="s">
        <v>59</v>
      </c>
      <c r="D415" t="s">
        <v>112</v>
      </c>
      <c r="E415" t="s">
        <v>14</v>
      </c>
      <c r="F415" t="s">
        <v>874</v>
      </c>
      <c r="G415" t="s">
        <v>318</v>
      </c>
      <c r="H415" t="s">
        <v>1</v>
      </c>
      <c r="I415">
        <v>148</v>
      </c>
      <c r="J415" s="41">
        <f>I415/'enter the discount'!$D$7</f>
        <v>34.642572913253126</v>
      </c>
      <c r="K415" s="41">
        <f>J415*(1-IFERROR(VLOOKUP(H415,'enter the discount'!$D$10:$E$40,2,FALSE),0))</f>
        <v>34.642572913253126</v>
      </c>
      <c r="L415" s="43" t="s">
        <v>858</v>
      </c>
      <c r="M415" t="s">
        <v>682</v>
      </c>
      <c r="N415" t="s">
        <v>932</v>
      </c>
      <c r="O415" t="s">
        <v>2723</v>
      </c>
      <c r="P415">
        <v>20</v>
      </c>
      <c r="Q415">
        <v>400</v>
      </c>
      <c r="R415" t="s">
        <v>2465</v>
      </c>
      <c r="S415"/>
      <c r="T415" s="42" t="str">
        <f>HYPERLINK("https://eprel.ec.europa.eu/qr/760449         ")</f>
        <v xml:space="preserve">https://eprel.ec.europa.eu/qr/760449         </v>
      </c>
      <c r="U415">
        <v>0.63200000000000001</v>
      </c>
      <c r="V415">
        <v>0.72499999999999998</v>
      </c>
      <c r="W415">
        <v>220</v>
      </c>
      <c r="X415">
        <v>235</v>
      </c>
      <c r="Y415">
        <v>45</v>
      </c>
    </row>
    <row r="416" spans="1:25" ht="15" x14ac:dyDescent="0.25">
      <c r="A416" t="s">
        <v>22</v>
      </c>
      <c r="B416" t="s">
        <v>89</v>
      </c>
      <c r="C416" t="s">
        <v>59</v>
      </c>
      <c r="D416" t="s">
        <v>112</v>
      </c>
      <c r="E416" t="s">
        <v>2721</v>
      </c>
      <c r="F416" t="s">
        <v>873</v>
      </c>
      <c r="G416" t="s">
        <v>2699</v>
      </c>
      <c r="H416" t="s">
        <v>1</v>
      </c>
      <c r="I416">
        <v>87.67</v>
      </c>
      <c r="J416" s="41">
        <f>I416/'enter the discount'!$D$7</f>
        <v>20.521043022330417</v>
      </c>
      <c r="K416" s="41">
        <f>J416*(1-IFERROR(VLOOKUP(H416,'enter the discount'!$D$10:$E$40,2,FALSE),0))</f>
        <v>20.521043022330417</v>
      </c>
      <c r="L416" s="43" t="s">
        <v>858</v>
      </c>
      <c r="M416" t="s">
        <v>2716</v>
      </c>
      <c r="N416" t="s">
        <v>932</v>
      </c>
      <c r="O416" t="s">
        <v>2723</v>
      </c>
      <c r="P416">
        <v>20</v>
      </c>
      <c r="Q416">
        <v>0</v>
      </c>
      <c r="R416" t="s">
        <v>2465</v>
      </c>
      <c r="S416" s="42" t="str">
        <f>HYPERLINK("https://sklep.kobi.pl/produkt/led-mhc-50w-czarna-4000k-led2b-red")</f>
        <v>https://sklep.kobi.pl/produkt/led-mhc-50w-czarna-4000k-led2b-red</v>
      </c>
      <c r="T416" s="42" t="str">
        <f>HYPERLINK("https://eprel.ec.europa.eu/qr/1988420        ")</f>
        <v xml:space="preserve">https://eprel.ec.europa.eu/qr/1988420        </v>
      </c>
      <c r="U416">
        <v>0.46</v>
      </c>
      <c r="V416">
        <v>0</v>
      </c>
      <c r="W416">
        <v>0</v>
      </c>
      <c r="X416">
        <v>0</v>
      </c>
      <c r="Y416">
        <v>0</v>
      </c>
    </row>
    <row r="417" spans="1:25" ht="15" x14ac:dyDescent="0.25">
      <c r="A417" t="s">
        <v>22</v>
      </c>
      <c r="B417" t="s">
        <v>89</v>
      </c>
      <c r="C417" t="s">
        <v>59</v>
      </c>
      <c r="D417" t="s">
        <v>112</v>
      </c>
      <c r="E417" t="s">
        <v>2721</v>
      </c>
      <c r="F417" t="s">
        <v>2700</v>
      </c>
      <c r="G417" t="s">
        <v>2701</v>
      </c>
      <c r="H417" t="s">
        <v>1</v>
      </c>
      <c r="I417">
        <v>87.67</v>
      </c>
      <c r="J417" s="41">
        <f>I417/'enter the discount'!$D$7</f>
        <v>20.521043022330417</v>
      </c>
      <c r="K417" s="41">
        <f>J417*(1-IFERROR(VLOOKUP(H417,'enter the discount'!$D$10:$E$40,2,FALSE),0))</f>
        <v>20.521043022330417</v>
      </c>
      <c r="L417" s="43" t="s">
        <v>858</v>
      </c>
      <c r="M417" t="s">
        <v>2717</v>
      </c>
      <c r="N417" t="s">
        <v>932</v>
      </c>
      <c r="O417" t="s">
        <v>2723</v>
      </c>
      <c r="P417">
        <v>20</v>
      </c>
      <c r="Q417">
        <v>0</v>
      </c>
      <c r="R417" t="s">
        <v>2465</v>
      </c>
      <c r="S417" s="42" t="str">
        <f>HYPERLINK("https://sklep.kobi.pl/produkt/led-mhc-50w-czarna-6500k-led2b-red")</f>
        <v>https://sklep.kobi.pl/produkt/led-mhc-50w-czarna-6500k-led2b-red</v>
      </c>
      <c r="T417" s="42" t="str">
        <f>HYPERLINK("https://eprel.ec.europa.eu/qr/1988430        ")</f>
        <v xml:space="preserve">https://eprel.ec.europa.eu/qr/1988430        </v>
      </c>
      <c r="U417">
        <v>0.46</v>
      </c>
      <c r="V417">
        <v>0</v>
      </c>
      <c r="W417">
        <v>0</v>
      </c>
      <c r="X417">
        <v>0</v>
      </c>
      <c r="Y417">
        <v>0</v>
      </c>
    </row>
    <row r="418" spans="1:25" ht="15" x14ac:dyDescent="0.25">
      <c r="A418" t="s">
        <v>22</v>
      </c>
      <c r="B418" t="s">
        <v>89</v>
      </c>
      <c r="C418" t="s">
        <v>59</v>
      </c>
      <c r="D418" t="s">
        <v>111</v>
      </c>
      <c r="E418" t="s">
        <v>2722</v>
      </c>
      <c r="F418" t="s">
        <v>2038</v>
      </c>
      <c r="G418" t="s">
        <v>319</v>
      </c>
      <c r="H418" t="s">
        <v>1</v>
      </c>
      <c r="I418">
        <v>153.82</v>
      </c>
      <c r="J418" s="41">
        <f>I418/'enter the discount'!$D$7</f>
        <v>36.004868685922943</v>
      </c>
      <c r="K418" s="41">
        <f>J418*(1-IFERROR(VLOOKUP(H418,'enter the discount'!$D$10:$E$40,2,FALSE),0))</f>
        <v>36.004868685922943</v>
      </c>
      <c r="L418" s="43" t="s">
        <v>858</v>
      </c>
      <c r="M418" t="s">
        <v>683</v>
      </c>
      <c r="N418" t="s">
        <v>932</v>
      </c>
      <c r="O418" t="s">
        <v>2723</v>
      </c>
      <c r="P418">
        <v>30</v>
      </c>
      <c r="Q418">
        <v>0</v>
      </c>
      <c r="R418" t="s">
        <v>2466</v>
      </c>
      <c r="S418"/>
      <c r="T418" s="42" t="str">
        <f>HYPERLINK("https://eprel.ec.europa.eu/qr/937802         ")</f>
        <v xml:space="preserve">https://eprel.ec.europa.eu/qr/937802         </v>
      </c>
      <c r="U418">
        <v>0.312</v>
      </c>
      <c r="V418">
        <v>0.36799999999999999</v>
      </c>
      <c r="W418">
        <v>120</v>
      </c>
      <c r="X418">
        <v>155</v>
      </c>
      <c r="Y418">
        <v>45</v>
      </c>
    </row>
    <row r="419" spans="1:25" ht="15" x14ac:dyDescent="0.25">
      <c r="A419" t="s">
        <v>22</v>
      </c>
      <c r="B419" t="s">
        <v>81</v>
      </c>
      <c r="C419"/>
      <c r="D419" t="s">
        <v>111</v>
      </c>
      <c r="E419" t="s">
        <v>14</v>
      </c>
      <c r="F419" t="s">
        <v>2039</v>
      </c>
      <c r="G419" t="s">
        <v>320</v>
      </c>
      <c r="H419" t="s">
        <v>2</v>
      </c>
      <c r="I419">
        <v>97.05</v>
      </c>
      <c r="J419" s="41">
        <f>I419/'enter the discount'!$D$7</f>
        <v>22.716633116427133</v>
      </c>
      <c r="K419" s="41">
        <f>J419*(1-IFERROR(VLOOKUP(H419,'enter the discount'!$D$10:$E$40,2,FALSE),0))</f>
        <v>22.716633116427133</v>
      </c>
      <c r="L419" s="43" t="s">
        <v>2549</v>
      </c>
      <c r="M419" t="s">
        <v>684</v>
      </c>
      <c r="N419" t="s">
        <v>927</v>
      </c>
      <c r="O419" t="s">
        <v>2723</v>
      </c>
      <c r="P419">
        <v>10</v>
      </c>
      <c r="Q419">
        <v>150</v>
      </c>
      <c r="R419" t="s">
        <v>2465</v>
      </c>
      <c r="S419" s="42" t="str">
        <f>HYPERLINK("https://sklep.kobi.pl/produkt/oprawa-led-delfia-2x120")</f>
        <v>https://sklep.kobi.pl/produkt/oprawa-led-delfia-2x120</v>
      </c>
      <c r="T419" s="42" t="str">
        <f>HYPERLINK("https://eprel.ec.europa.eu/qr/NIE DOTYCZY    ")</f>
        <v xml:space="preserve">https://eprel.ec.europa.eu/qr/NIE DOTYCZY    </v>
      </c>
      <c r="U419">
        <v>0.878</v>
      </c>
      <c r="V419">
        <v>1.6</v>
      </c>
      <c r="W419">
        <v>75</v>
      </c>
      <c r="X419">
        <v>1280</v>
      </c>
      <c r="Y419">
        <v>160</v>
      </c>
    </row>
    <row r="420" spans="1:25" ht="15" x14ac:dyDescent="0.25">
      <c r="A420" t="s">
        <v>22</v>
      </c>
      <c r="B420" t="s">
        <v>81</v>
      </c>
      <c r="C420"/>
      <c r="D420" t="s">
        <v>111</v>
      </c>
      <c r="E420" t="s">
        <v>14</v>
      </c>
      <c r="F420" t="s">
        <v>2040</v>
      </c>
      <c r="G420" t="s">
        <v>321</v>
      </c>
      <c r="H420" t="s">
        <v>2</v>
      </c>
      <c r="I420">
        <v>59.5</v>
      </c>
      <c r="J420" s="41">
        <f>I420/'enter the discount'!$D$7</f>
        <v>13.927250596882169</v>
      </c>
      <c r="K420" s="41">
        <f>J420*(1-IFERROR(VLOOKUP(H420,'enter the discount'!$D$10:$E$40,2,FALSE),0))</f>
        <v>13.927250596882169</v>
      </c>
      <c r="L420" s="43" t="s">
        <v>2549</v>
      </c>
      <c r="M420" t="s">
        <v>685</v>
      </c>
      <c r="N420" t="s">
        <v>932</v>
      </c>
      <c r="O420" t="s">
        <v>2723</v>
      </c>
      <c r="P420">
        <v>12</v>
      </c>
      <c r="Q420">
        <v>204</v>
      </c>
      <c r="R420" t="s">
        <v>2465</v>
      </c>
      <c r="S420" s="42" t="str">
        <f>HYPERLINK("https://sklep.kobi.pl/produkt/oprawa-led-zebra-1x120")</f>
        <v>https://sklep.kobi.pl/produkt/oprawa-led-zebra-1x120</v>
      </c>
      <c r="T420" s="42" t="str">
        <f>HYPERLINK("https://eprel.ec.europa.eu/qr/NIE DOTYCZY    ")</f>
        <v xml:space="preserve">https://eprel.ec.europa.eu/qr/NIE DOTYCZY    </v>
      </c>
      <c r="U420">
        <v>0.63700000000000001</v>
      </c>
      <c r="V420">
        <v>0.82299999999999995</v>
      </c>
      <c r="W420">
        <v>20</v>
      </c>
      <c r="X420">
        <v>1268</v>
      </c>
      <c r="Y420">
        <v>100</v>
      </c>
    </row>
    <row r="421" spans="1:25" ht="15" x14ac:dyDescent="0.25">
      <c r="A421" t="s">
        <v>22</v>
      </c>
      <c r="B421" t="s">
        <v>81</v>
      </c>
      <c r="C421"/>
      <c r="D421" t="s">
        <v>111</v>
      </c>
      <c r="E421" t="s">
        <v>14</v>
      </c>
      <c r="F421" t="s">
        <v>2041</v>
      </c>
      <c r="G421" t="s">
        <v>322</v>
      </c>
      <c r="H421" t="s">
        <v>2</v>
      </c>
      <c r="I421">
        <v>74.61</v>
      </c>
      <c r="J421" s="41">
        <f>I421/'enter the discount'!$D$7</f>
        <v>17.46407003417443</v>
      </c>
      <c r="K421" s="41">
        <f>J421*(1-IFERROR(VLOOKUP(H421,'enter the discount'!$D$10:$E$40,2,FALSE),0))</f>
        <v>17.46407003417443</v>
      </c>
      <c r="L421" s="43" t="s">
        <v>2549</v>
      </c>
      <c r="M421" t="s">
        <v>686</v>
      </c>
      <c r="N421" t="s">
        <v>932</v>
      </c>
      <c r="O421" t="s">
        <v>2723</v>
      </c>
      <c r="P421">
        <v>6</v>
      </c>
      <c r="Q421">
        <v>150</v>
      </c>
      <c r="R421" t="s">
        <v>2465</v>
      </c>
      <c r="S421" s="42" t="str">
        <f>HYPERLINK("https://sklep.kobi.pl/produkt/oprawa-led-zebra-2x120")</f>
        <v>https://sklep.kobi.pl/produkt/oprawa-led-zebra-2x120</v>
      </c>
      <c r="T421" s="42" t="str">
        <f>HYPERLINK("https://eprel.ec.europa.eu/qr/NIE DOTYCZY    ")</f>
        <v xml:space="preserve">https://eprel.ec.europa.eu/qr/NIE DOTYCZY    </v>
      </c>
      <c r="U421">
        <v>0.78400000000000003</v>
      </c>
      <c r="V421">
        <v>0.98</v>
      </c>
      <c r="W421">
        <v>51</v>
      </c>
      <c r="X421">
        <v>1270</v>
      </c>
      <c r="Y421">
        <v>140</v>
      </c>
    </row>
    <row r="422" spans="1:25" ht="15" x14ac:dyDescent="0.25">
      <c r="A422" t="s">
        <v>22</v>
      </c>
      <c r="B422" t="s">
        <v>996</v>
      </c>
      <c r="C422"/>
      <c r="D422" t="s">
        <v>961</v>
      </c>
      <c r="E422" t="s">
        <v>14</v>
      </c>
      <c r="F422" t="s">
        <v>2042</v>
      </c>
      <c r="G422" t="s">
        <v>997</v>
      </c>
      <c r="H422" t="s">
        <v>1</v>
      </c>
      <c r="I422">
        <v>161</v>
      </c>
      <c r="J422" s="41">
        <f>I422/'enter the discount'!$D$7</f>
        <v>37.685501615092932</v>
      </c>
      <c r="K422" s="41">
        <f>J422*(1-IFERROR(VLOOKUP(H422,'enter the discount'!$D$10:$E$40,2,FALSE),0))</f>
        <v>37.685501615092932</v>
      </c>
      <c r="L422" s="43" t="s">
        <v>2542</v>
      </c>
      <c r="M422" t="s">
        <v>998</v>
      </c>
      <c r="N422" t="s">
        <v>931</v>
      </c>
      <c r="O422" t="s">
        <v>2723</v>
      </c>
      <c r="P422">
        <v>4</v>
      </c>
      <c r="Q422">
        <v>120</v>
      </c>
      <c r="R422" t="s">
        <v>2467</v>
      </c>
      <c r="S422" s="42" t="str">
        <f>HYPERLINK("https://sklep.kobi.pl/produkt/led-defender-18w-4000k-ip65")</f>
        <v>https://sklep.kobi.pl/produkt/led-defender-18w-4000k-ip65</v>
      </c>
      <c r="T422" s="42" t="str">
        <f>HYPERLINK("https://eprel.ec.europa.eu/qr/1789259        ")</f>
        <v xml:space="preserve">https://eprel.ec.europa.eu/qr/1789259        </v>
      </c>
      <c r="U422">
        <v>0.79800000000000004</v>
      </c>
      <c r="V422">
        <v>0.91900000000000004</v>
      </c>
      <c r="W422">
        <v>300</v>
      </c>
      <c r="X422">
        <v>300</v>
      </c>
      <c r="Y422">
        <v>100</v>
      </c>
    </row>
    <row r="423" spans="1:25" ht="15" x14ac:dyDescent="0.25">
      <c r="A423" t="s">
        <v>22</v>
      </c>
      <c r="B423" t="s">
        <v>996</v>
      </c>
      <c r="C423"/>
      <c r="D423" t="s">
        <v>961</v>
      </c>
      <c r="E423" t="s">
        <v>14</v>
      </c>
      <c r="F423" t="s">
        <v>2043</v>
      </c>
      <c r="G423" t="s">
        <v>999</v>
      </c>
      <c r="H423" t="s">
        <v>1</v>
      </c>
      <c r="I423">
        <v>185</v>
      </c>
      <c r="J423" s="41">
        <f>I423/'enter the discount'!$D$7</f>
        <v>43.303216141566409</v>
      </c>
      <c r="K423" s="41">
        <f>J423*(1-IFERROR(VLOOKUP(H423,'enter the discount'!$D$10:$E$40,2,FALSE),0))</f>
        <v>43.303216141566409</v>
      </c>
      <c r="L423" s="43" t="s">
        <v>2542</v>
      </c>
      <c r="M423" t="s">
        <v>1000</v>
      </c>
      <c r="N423" t="s">
        <v>931</v>
      </c>
      <c r="O423" t="s">
        <v>2723</v>
      </c>
      <c r="P423">
        <v>4</v>
      </c>
      <c r="Q423">
        <v>100</v>
      </c>
      <c r="R423" t="s">
        <v>2467</v>
      </c>
      <c r="S423" s="42" t="str">
        <f>HYPERLINK("https://sklep.kobi.pl/produkt/led-defender-24w-4000k-ip65")</f>
        <v>https://sklep.kobi.pl/produkt/led-defender-24w-4000k-ip65</v>
      </c>
      <c r="T423" s="42" t="str">
        <f>HYPERLINK("https://eprel.ec.europa.eu/qr/1789311        ")</f>
        <v xml:space="preserve">https://eprel.ec.europa.eu/qr/1789311        </v>
      </c>
      <c r="U423">
        <v>0.78700000000000003</v>
      </c>
      <c r="V423">
        <v>0.97299999999999998</v>
      </c>
      <c r="W423">
        <v>300</v>
      </c>
      <c r="X423">
        <v>300</v>
      </c>
      <c r="Y423">
        <v>100</v>
      </c>
    </row>
    <row r="424" spans="1:25" ht="15" x14ac:dyDescent="0.25">
      <c r="A424" t="s">
        <v>22</v>
      </c>
      <c r="B424" t="s">
        <v>1001</v>
      </c>
      <c r="C424"/>
      <c r="D424" t="s">
        <v>961</v>
      </c>
      <c r="E424" t="s">
        <v>14</v>
      </c>
      <c r="F424" t="s">
        <v>2044</v>
      </c>
      <c r="G424" t="s">
        <v>1002</v>
      </c>
      <c r="H424" t="s">
        <v>1</v>
      </c>
      <c r="I424">
        <v>216</v>
      </c>
      <c r="J424" s="41">
        <f>I424/'enter the discount'!$D$7</f>
        <v>50.55943073826132</v>
      </c>
      <c r="K424" s="41">
        <f>J424*(1-IFERROR(VLOOKUP(H424,'enter the discount'!$D$10:$E$40,2,FALSE),0))</f>
        <v>50.55943073826132</v>
      </c>
      <c r="L424" s="43" t="s">
        <v>2542</v>
      </c>
      <c r="M424" t="s">
        <v>1003</v>
      </c>
      <c r="N424" t="s">
        <v>931</v>
      </c>
      <c r="O424" t="s">
        <v>2723</v>
      </c>
      <c r="P424">
        <v>4</v>
      </c>
      <c r="Q424">
        <v>120</v>
      </c>
      <c r="R424" t="s">
        <v>2467</v>
      </c>
      <c r="S424" s="42" t="str">
        <f>HYPERLINK("https://sklep.kobi.pl/produkt/led-defender-lx-18w-4000k-ip65")</f>
        <v>https://sklep.kobi.pl/produkt/led-defender-lx-18w-4000k-ip65</v>
      </c>
      <c r="T424" s="42" t="str">
        <f>HYPERLINK("https://eprel.ec.europa.eu/qr/1789259        ")</f>
        <v xml:space="preserve">https://eprel.ec.europa.eu/qr/1789259        </v>
      </c>
      <c r="U424">
        <v>0.82399999999999995</v>
      </c>
      <c r="V424"/>
      <c r="W424"/>
      <c r="X424"/>
      <c r="Y424"/>
    </row>
    <row r="425" spans="1:25" ht="15" x14ac:dyDescent="0.25">
      <c r="A425" t="s">
        <v>22</v>
      </c>
      <c r="B425" t="s">
        <v>1001</v>
      </c>
      <c r="C425"/>
      <c r="D425" t="s">
        <v>961</v>
      </c>
      <c r="E425" t="s">
        <v>14</v>
      </c>
      <c r="F425" t="s">
        <v>2045</v>
      </c>
      <c r="G425" t="s">
        <v>1004</v>
      </c>
      <c r="H425" t="s">
        <v>1</v>
      </c>
      <c r="I425">
        <v>224</v>
      </c>
      <c r="J425" s="41">
        <f>I425/'enter the discount'!$D$7</f>
        <v>52.432002247085812</v>
      </c>
      <c r="K425" s="41">
        <f>J425*(1-IFERROR(VLOOKUP(H425,'enter the discount'!$D$10:$E$40,2,FALSE),0))</f>
        <v>52.432002247085812</v>
      </c>
      <c r="L425" s="43" t="s">
        <v>2542</v>
      </c>
      <c r="M425" t="s">
        <v>1005</v>
      </c>
      <c r="N425" t="s">
        <v>931</v>
      </c>
      <c r="O425" t="s">
        <v>2723</v>
      </c>
      <c r="P425">
        <v>4</v>
      </c>
      <c r="Q425">
        <v>100</v>
      </c>
      <c r="R425" t="s">
        <v>2467</v>
      </c>
      <c r="S425" s="42" t="str">
        <f>HYPERLINK("https://sklep.kobi.pl/produkt/led-defender-lx-24w-4000k-ip65")</f>
        <v>https://sklep.kobi.pl/produkt/led-defender-lx-24w-4000k-ip65</v>
      </c>
      <c r="T425" s="42" t="str">
        <f>HYPERLINK("https://eprel.ec.europa.eu/qr/1789311        ")</f>
        <v xml:space="preserve">https://eprel.ec.europa.eu/qr/1789311        </v>
      </c>
      <c r="U425">
        <v>0.84099999999999997</v>
      </c>
      <c r="V425"/>
      <c r="W425"/>
      <c r="X425"/>
      <c r="Y425"/>
    </row>
    <row r="426" spans="1:25" ht="15" x14ac:dyDescent="0.25">
      <c r="A426" t="s">
        <v>22</v>
      </c>
      <c r="B426" t="s">
        <v>1567</v>
      </c>
      <c r="C426"/>
      <c r="D426" t="s">
        <v>961</v>
      </c>
      <c r="E426" t="s">
        <v>14</v>
      </c>
      <c r="F426" t="s">
        <v>1485</v>
      </c>
      <c r="G426" t="s">
        <v>1422</v>
      </c>
      <c r="H426" t="s">
        <v>1</v>
      </c>
      <c r="I426">
        <v>345</v>
      </c>
      <c r="J426" s="41">
        <f>I426/'enter the discount'!$D$7</f>
        <v>80.754646318056274</v>
      </c>
      <c r="K426" s="41">
        <f>J426*(1-IFERROR(VLOOKUP(H426,'enter the discount'!$D$10:$E$40,2,FALSE),0))</f>
        <v>80.754646318056274</v>
      </c>
      <c r="L426" s="43" t="s">
        <v>2547</v>
      </c>
      <c r="M426" t="s">
        <v>1423</v>
      </c>
      <c r="N426" t="s">
        <v>932</v>
      </c>
      <c r="O426" t="s">
        <v>2723</v>
      </c>
      <c r="P426">
        <v>9</v>
      </c>
      <c r="Q426">
        <v>0</v>
      </c>
      <c r="R426" t="s">
        <v>2467</v>
      </c>
      <c r="S426" s="42" t="str">
        <f>HYPERLINK("https://sklep.kobi.pl/produkt/led-koline-k1-20w-4000k-biala-profession")</f>
        <v>https://sklep.kobi.pl/produkt/led-koline-k1-20w-4000k-biala-profession</v>
      </c>
      <c r="T426" s="42" t="str">
        <f>HYPERLINK("https://eprel.ec.europa.eu/qr/1774321        ")</f>
        <v xml:space="preserve">https://eprel.ec.europa.eu/qr/1774321        </v>
      </c>
      <c r="U426">
        <v>1.55</v>
      </c>
      <c r="V426">
        <v>0</v>
      </c>
      <c r="W426">
        <v>0</v>
      </c>
      <c r="X426">
        <v>0</v>
      </c>
      <c r="Y426">
        <v>0</v>
      </c>
    </row>
    <row r="427" spans="1:25" ht="15" x14ac:dyDescent="0.25">
      <c r="A427" t="s">
        <v>22</v>
      </c>
      <c r="B427" t="s">
        <v>1567</v>
      </c>
      <c r="C427"/>
      <c r="D427" t="s">
        <v>961</v>
      </c>
      <c r="E427" t="s">
        <v>14</v>
      </c>
      <c r="F427" t="s">
        <v>2046</v>
      </c>
      <c r="G427" t="s">
        <v>1424</v>
      </c>
      <c r="H427" t="s">
        <v>1</v>
      </c>
      <c r="I427">
        <v>345</v>
      </c>
      <c r="J427" s="41">
        <f>I427/'enter the discount'!$D$7</f>
        <v>80.754646318056274</v>
      </c>
      <c r="K427" s="41">
        <f>J427*(1-IFERROR(VLOOKUP(H427,'enter the discount'!$D$10:$E$40,2,FALSE),0))</f>
        <v>80.754646318056274</v>
      </c>
      <c r="L427" s="43" t="s">
        <v>2547</v>
      </c>
      <c r="M427" t="s">
        <v>1425</v>
      </c>
      <c r="N427" t="s">
        <v>932</v>
      </c>
      <c r="O427" t="s">
        <v>2723</v>
      </c>
      <c r="P427">
        <v>9</v>
      </c>
      <c r="Q427">
        <v>0</v>
      </c>
      <c r="R427" t="s">
        <v>2467</v>
      </c>
      <c r="S427" s="42" t="str">
        <f>HYPERLINK("https://sklep.kobi.pl/produkt/led-koline-k1-20w-4000k-czarna-professio")</f>
        <v>https://sklep.kobi.pl/produkt/led-koline-k1-20w-4000k-czarna-professio</v>
      </c>
      <c r="T427" s="42" t="str">
        <f>HYPERLINK("https://eprel.ec.europa.eu/qr/1774321        ")</f>
        <v xml:space="preserve">https://eprel.ec.europa.eu/qr/1774321        </v>
      </c>
      <c r="U427">
        <v>1.55</v>
      </c>
      <c r="V427">
        <v>0</v>
      </c>
      <c r="W427">
        <v>0</v>
      </c>
      <c r="X427">
        <v>0</v>
      </c>
      <c r="Y427">
        <v>0</v>
      </c>
    </row>
    <row r="428" spans="1:25" ht="15" x14ac:dyDescent="0.25">
      <c r="A428" t="s">
        <v>22</v>
      </c>
      <c r="B428" t="s">
        <v>1567</v>
      </c>
      <c r="C428"/>
      <c r="D428" t="s">
        <v>961</v>
      </c>
      <c r="E428" t="s">
        <v>14</v>
      </c>
      <c r="F428" t="s">
        <v>1486</v>
      </c>
      <c r="G428" t="s">
        <v>1426</v>
      </c>
      <c r="H428" t="s">
        <v>1</v>
      </c>
      <c r="I428">
        <v>390</v>
      </c>
      <c r="J428" s="41">
        <f>I428/'enter the discount'!$D$7</f>
        <v>91.287861055194057</v>
      </c>
      <c r="K428" s="41">
        <f>J428*(1-IFERROR(VLOOKUP(H428,'enter the discount'!$D$10:$E$40,2,FALSE),0))</f>
        <v>91.287861055194057</v>
      </c>
      <c r="L428" s="43" t="s">
        <v>2542</v>
      </c>
      <c r="M428" t="s">
        <v>1427</v>
      </c>
      <c r="N428" t="s">
        <v>932</v>
      </c>
      <c r="O428" t="s">
        <v>2723</v>
      </c>
      <c r="P428">
        <v>9</v>
      </c>
      <c r="Q428">
        <v>198</v>
      </c>
      <c r="R428" t="s">
        <v>2467</v>
      </c>
      <c r="S428" s="42" t="str">
        <f>HYPERLINK("https://sklep.kobi.pl/produkt/led-koline-k1-40w-4000k-biala-profession")</f>
        <v>https://sklep.kobi.pl/produkt/led-koline-k1-40w-4000k-biala-profession</v>
      </c>
      <c r="T428" s="42" t="str">
        <f>HYPERLINK("https://eprel.ec.europa.eu/qr/1774334        ")</f>
        <v xml:space="preserve">https://eprel.ec.europa.eu/qr/1774334        </v>
      </c>
      <c r="U428">
        <v>1.55</v>
      </c>
      <c r="V428">
        <v>0</v>
      </c>
      <c r="W428">
        <v>0</v>
      </c>
      <c r="X428">
        <v>0</v>
      </c>
      <c r="Y428">
        <v>0</v>
      </c>
    </row>
    <row r="429" spans="1:25" ht="15" x14ac:dyDescent="0.25">
      <c r="A429" t="s">
        <v>22</v>
      </c>
      <c r="B429" t="s">
        <v>1567</v>
      </c>
      <c r="C429"/>
      <c r="D429" t="s">
        <v>961</v>
      </c>
      <c r="E429" t="s">
        <v>14</v>
      </c>
      <c r="F429" t="s">
        <v>2047</v>
      </c>
      <c r="G429" t="s">
        <v>1428</v>
      </c>
      <c r="H429" t="s">
        <v>1</v>
      </c>
      <c r="I429">
        <v>390</v>
      </c>
      <c r="J429" s="41">
        <f>I429/'enter the discount'!$D$7</f>
        <v>91.287861055194057</v>
      </c>
      <c r="K429" s="41">
        <f>J429*(1-IFERROR(VLOOKUP(H429,'enter the discount'!$D$10:$E$40,2,FALSE),0))</f>
        <v>91.287861055194057</v>
      </c>
      <c r="L429" s="43" t="s">
        <v>2542</v>
      </c>
      <c r="M429" t="s">
        <v>1429</v>
      </c>
      <c r="N429" t="s">
        <v>932</v>
      </c>
      <c r="O429" t="s">
        <v>2723</v>
      </c>
      <c r="P429">
        <v>9</v>
      </c>
      <c r="Q429">
        <v>198</v>
      </c>
      <c r="R429" t="s">
        <v>2467</v>
      </c>
      <c r="S429" s="42" t="str">
        <f>HYPERLINK("https://sklep.kobi.pl/produkt/led-koline-k1-40w-4000k-czarna-professio")</f>
        <v>https://sklep.kobi.pl/produkt/led-koline-k1-40w-4000k-czarna-professio</v>
      </c>
      <c r="T429" s="42" t="str">
        <f>HYPERLINK("https://eprel.ec.europa.eu/qr/1774334        ")</f>
        <v xml:space="preserve">https://eprel.ec.europa.eu/qr/1774334        </v>
      </c>
      <c r="U429">
        <v>1.55</v>
      </c>
      <c r="V429">
        <v>0</v>
      </c>
      <c r="W429">
        <v>0</v>
      </c>
      <c r="X429">
        <v>0</v>
      </c>
      <c r="Y429">
        <v>0</v>
      </c>
    </row>
    <row r="430" spans="1:25" ht="15" x14ac:dyDescent="0.25">
      <c r="A430" t="s">
        <v>22</v>
      </c>
      <c r="B430" t="s">
        <v>1567</v>
      </c>
      <c r="C430"/>
      <c r="D430" t="s">
        <v>945</v>
      </c>
      <c r="E430" t="s">
        <v>14</v>
      </c>
      <c r="F430" t="s">
        <v>2048</v>
      </c>
      <c r="G430" t="s">
        <v>1165</v>
      </c>
      <c r="H430" t="s">
        <v>945</v>
      </c>
      <c r="I430">
        <v>954</v>
      </c>
      <c r="J430" s="41">
        <f>I430/'enter the discount'!$D$7</f>
        <v>223.30415242732084</v>
      </c>
      <c r="K430" s="41">
        <f>J430*(1-IFERROR(VLOOKUP(H430,'enter the discount'!$D$10:$E$40,2,FALSE),0))</f>
        <v>223.30415242732084</v>
      </c>
      <c r="L430" s="43" t="s">
        <v>963</v>
      </c>
      <c r="M430" t="s">
        <v>1166</v>
      </c>
      <c r="N430" t="s">
        <v>932</v>
      </c>
      <c r="O430" t="s">
        <v>2723</v>
      </c>
      <c r="P430">
        <v>1</v>
      </c>
      <c r="Q430">
        <v>0</v>
      </c>
      <c r="R430" t="s">
        <v>2467</v>
      </c>
      <c r="S430"/>
      <c r="T430" s="42" t="str">
        <f>HYPERLINK("https://eprel.ec.europa.eu/qr/953680         ")</f>
        <v xml:space="preserve">https://eprel.ec.europa.eu/qr/953680         </v>
      </c>
      <c r="U430">
        <v>3.7</v>
      </c>
      <c r="V430"/>
      <c r="W430"/>
      <c r="X430"/>
      <c r="Y430"/>
    </row>
    <row r="431" spans="1:25" ht="15" x14ac:dyDescent="0.25">
      <c r="A431" t="s">
        <v>22</v>
      </c>
      <c r="B431" t="s">
        <v>1567</v>
      </c>
      <c r="C431"/>
      <c r="D431" t="s">
        <v>945</v>
      </c>
      <c r="E431" t="s">
        <v>14</v>
      </c>
      <c r="F431" t="s">
        <v>2049</v>
      </c>
      <c r="G431" t="s">
        <v>1167</v>
      </c>
      <c r="H431" t="s">
        <v>945</v>
      </c>
      <c r="I431">
        <v>1089</v>
      </c>
      <c r="J431" s="41">
        <f>I431/'enter the discount'!$D$7</f>
        <v>254.90379663873415</v>
      </c>
      <c r="K431" s="41">
        <f>J431*(1-IFERROR(VLOOKUP(H431,'enter the discount'!$D$10:$E$40,2,FALSE),0))</f>
        <v>254.90379663873415</v>
      </c>
      <c r="L431" s="43" t="s">
        <v>963</v>
      </c>
      <c r="M431" t="s">
        <v>1168</v>
      </c>
      <c r="N431" t="s">
        <v>932</v>
      </c>
      <c r="O431" t="s">
        <v>2723</v>
      </c>
      <c r="P431">
        <v>1</v>
      </c>
      <c r="Q431">
        <v>0</v>
      </c>
      <c r="R431" t="s">
        <v>2467</v>
      </c>
      <c r="S431"/>
      <c r="T431" s="42" t="str">
        <f>HYPERLINK("https://eprel.ec.europa.eu/qr/953680         ")</f>
        <v xml:space="preserve">https://eprel.ec.europa.eu/qr/953680         </v>
      </c>
      <c r="U431">
        <v>3.7</v>
      </c>
      <c r="V431">
        <v>0</v>
      </c>
      <c r="W431"/>
      <c r="X431"/>
      <c r="Y431"/>
    </row>
    <row r="432" spans="1:25" ht="15" x14ac:dyDescent="0.25">
      <c r="A432" t="s">
        <v>22</v>
      </c>
      <c r="B432" t="s">
        <v>1567</v>
      </c>
      <c r="C432"/>
      <c r="D432" t="s">
        <v>945</v>
      </c>
      <c r="E432" t="s">
        <v>14</v>
      </c>
      <c r="F432" t="s">
        <v>2050</v>
      </c>
      <c r="G432" t="s">
        <v>1169</v>
      </c>
      <c r="H432" t="s">
        <v>945</v>
      </c>
      <c r="I432">
        <v>1089</v>
      </c>
      <c r="J432" s="41">
        <f>I432/'enter the discount'!$D$7</f>
        <v>254.90379663873415</v>
      </c>
      <c r="K432" s="41">
        <f>J432*(1-IFERROR(VLOOKUP(H432,'enter the discount'!$D$10:$E$40,2,FALSE),0))</f>
        <v>254.90379663873415</v>
      </c>
      <c r="L432" s="43" t="s">
        <v>963</v>
      </c>
      <c r="M432" t="s">
        <v>1170</v>
      </c>
      <c r="N432" t="s">
        <v>932</v>
      </c>
      <c r="O432" t="s">
        <v>2723</v>
      </c>
      <c r="P432">
        <v>1</v>
      </c>
      <c r="Q432">
        <v>40</v>
      </c>
      <c r="R432" t="s">
        <v>2467</v>
      </c>
      <c r="S432"/>
      <c r="T432" s="42" t="str">
        <f>HYPERLINK("https://eprel.ec.europa.eu/qr/953680         ")</f>
        <v xml:space="preserve">https://eprel.ec.europa.eu/qr/953680         </v>
      </c>
      <c r="U432">
        <v>3.7</v>
      </c>
      <c r="V432">
        <v>0</v>
      </c>
      <c r="W432"/>
      <c r="X432"/>
      <c r="Y432"/>
    </row>
    <row r="433" spans="1:25" ht="15" x14ac:dyDescent="0.25">
      <c r="A433" t="s">
        <v>22</v>
      </c>
      <c r="B433" t="s">
        <v>1567</v>
      </c>
      <c r="C433"/>
      <c r="D433" t="s">
        <v>945</v>
      </c>
      <c r="E433" t="s">
        <v>14</v>
      </c>
      <c r="F433" t="s">
        <v>2051</v>
      </c>
      <c r="G433" t="s">
        <v>1171</v>
      </c>
      <c r="H433" t="s">
        <v>945</v>
      </c>
      <c r="I433">
        <v>1725</v>
      </c>
      <c r="J433" s="41">
        <f>I433/'enter the discount'!$D$7</f>
        <v>403.7732315902814</v>
      </c>
      <c r="K433" s="41">
        <f>J433*(1-IFERROR(VLOOKUP(H433,'enter the discount'!$D$10:$E$40,2,FALSE),0))</f>
        <v>403.7732315902814</v>
      </c>
      <c r="L433" s="43" t="s">
        <v>963</v>
      </c>
      <c r="M433" t="s">
        <v>1172</v>
      </c>
      <c r="N433" t="s">
        <v>932</v>
      </c>
      <c r="O433" t="s">
        <v>2723</v>
      </c>
      <c r="P433">
        <v>1</v>
      </c>
      <c r="Q433">
        <v>0</v>
      </c>
      <c r="R433" t="s">
        <v>2467</v>
      </c>
      <c r="S433"/>
      <c r="T433" s="42" t="str">
        <f>HYPERLINK("https://eprel.ec.europa.eu/qr/953694         ")</f>
        <v xml:space="preserve">https://eprel.ec.europa.eu/qr/953694         </v>
      </c>
      <c r="U433">
        <v>7</v>
      </c>
      <c r="V433"/>
      <c r="W433"/>
      <c r="X433"/>
      <c r="Y433"/>
    </row>
    <row r="434" spans="1:25" ht="15" x14ac:dyDescent="0.25">
      <c r="A434" t="s">
        <v>22</v>
      </c>
      <c r="B434" t="s">
        <v>1567</v>
      </c>
      <c r="C434"/>
      <c r="D434" t="s">
        <v>945</v>
      </c>
      <c r="E434" t="s">
        <v>14</v>
      </c>
      <c r="F434" t="s">
        <v>2052</v>
      </c>
      <c r="G434" t="s">
        <v>1173</v>
      </c>
      <c r="H434" t="s">
        <v>945</v>
      </c>
      <c r="I434">
        <v>1817</v>
      </c>
      <c r="J434" s="41">
        <f>I434/'enter the discount'!$D$7</f>
        <v>425.30780394176304</v>
      </c>
      <c r="K434" s="41">
        <f>J434*(1-IFERROR(VLOOKUP(H434,'enter the discount'!$D$10:$E$40,2,FALSE),0))</f>
        <v>425.30780394176304</v>
      </c>
      <c r="L434" s="43" t="s">
        <v>963</v>
      </c>
      <c r="M434" t="s">
        <v>1174</v>
      </c>
      <c r="N434" t="s">
        <v>932</v>
      </c>
      <c r="O434" t="s">
        <v>2723</v>
      </c>
      <c r="P434">
        <v>1</v>
      </c>
      <c r="Q434">
        <v>0</v>
      </c>
      <c r="R434" t="s">
        <v>2467</v>
      </c>
      <c r="S434"/>
      <c r="T434" s="42" t="str">
        <f>HYPERLINK("https://eprel.ec.europa.eu/qr/953694         ")</f>
        <v xml:space="preserve">https://eprel.ec.europa.eu/qr/953694         </v>
      </c>
      <c r="U434">
        <v>7</v>
      </c>
      <c r="V434">
        <v>0</v>
      </c>
      <c r="W434"/>
      <c r="X434"/>
      <c r="Y434"/>
    </row>
    <row r="435" spans="1:25" ht="15" x14ac:dyDescent="0.25">
      <c r="A435" t="s">
        <v>22</v>
      </c>
      <c r="B435" t="s">
        <v>1567</v>
      </c>
      <c r="C435"/>
      <c r="D435" t="s">
        <v>945</v>
      </c>
      <c r="E435" t="s">
        <v>14</v>
      </c>
      <c r="F435" t="s">
        <v>2053</v>
      </c>
      <c r="G435" t="s">
        <v>1175</v>
      </c>
      <c r="H435" t="s">
        <v>945</v>
      </c>
      <c r="I435">
        <v>1661</v>
      </c>
      <c r="J435" s="41">
        <f>I435/'enter the discount'!$D$7</f>
        <v>388.7926595196854</v>
      </c>
      <c r="K435" s="41">
        <f>J435*(1-IFERROR(VLOOKUP(H435,'enter the discount'!$D$10:$E$40,2,FALSE),0))</f>
        <v>388.7926595196854</v>
      </c>
      <c r="L435" s="43" t="s">
        <v>963</v>
      </c>
      <c r="M435" t="s">
        <v>1176</v>
      </c>
      <c r="N435" t="s">
        <v>932</v>
      </c>
      <c r="O435" t="s">
        <v>2723</v>
      </c>
      <c r="P435">
        <v>1</v>
      </c>
      <c r="Q435">
        <v>40</v>
      </c>
      <c r="R435" t="s">
        <v>2467</v>
      </c>
      <c r="S435"/>
      <c r="T435" s="42" t="str">
        <f>HYPERLINK("https://eprel.ec.europa.eu/qr/953694         ")</f>
        <v xml:space="preserve">https://eprel.ec.europa.eu/qr/953694         </v>
      </c>
      <c r="U435">
        <v>7</v>
      </c>
      <c r="V435">
        <v>0</v>
      </c>
      <c r="W435"/>
      <c r="X435"/>
      <c r="Y435"/>
    </row>
    <row r="436" spans="1:25" ht="15" x14ac:dyDescent="0.25">
      <c r="A436" t="s">
        <v>22</v>
      </c>
      <c r="B436" t="s">
        <v>1565</v>
      </c>
      <c r="C436"/>
      <c r="D436" t="s">
        <v>961</v>
      </c>
      <c r="E436" t="s">
        <v>14</v>
      </c>
      <c r="F436" t="s">
        <v>2054</v>
      </c>
      <c r="G436" t="s">
        <v>1442</v>
      </c>
      <c r="H436" t="s">
        <v>1</v>
      </c>
      <c r="I436">
        <v>1524</v>
      </c>
      <c r="J436" s="41">
        <f>I436/'enter the discount'!$D$7</f>
        <v>356.72487243106599</v>
      </c>
      <c r="K436" s="41">
        <f>J436*(1-IFERROR(VLOOKUP(H436,'enter the discount'!$D$10:$E$40,2,FALSE),0))</f>
        <v>356.72487243106599</v>
      </c>
      <c r="L436" s="43" t="s">
        <v>2546</v>
      </c>
      <c r="M436" t="s">
        <v>1443</v>
      </c>
      <c r="N436" t="s">
        <v>932</v>
      </c>
      <c r="O436" t="s">
        <v>2723</v>
      </c>
      <c r="P436">
        <v>1</v>
      </c>
      <c r="Q436">
        <v>0</v>
      </c>
      <c r="R436" t="s">
        <v>2467</v>
      </c>
      <c r="S436" s="42" t="str">
        <f>HYPERLINK("https://sklep.kobi.pl/produkt/master-street-120w-4000k-mb")</f>
        <v>https://sklep.kobi.pl/produkt/master-street-120w-4000k-mb</v>
      </c>
      <c r="T436" s="42" t="str">
        <f>HYPERLINK("https://eprel.ec.europa.eu/qr/1852358        ")</f>
        <v xml:space="preserve">https://eprel.ec.europa.eu/qr/1852358        </v>
      </c>
      <c r="U436">
        <v>4.72</v>
      </c>
      <c r="V436">
        <v>0</v>
      </c>
      <c r="W436">
        <v>0</v>
      </c>
      <c r="X436">
        <v>0</v>
      </c>
      <c r="Y436">
        <v>0</v>
      </c>
    </row>
    <row r="437" spans="1:25" ht="15" x14ac:dyDescent="0.25">
      <c r="A437" t="s">
        <v>22</v>
      </c>
      <c r="B437" t="s">
        <v>1565</v>
      </c>
      <c r="C437"/>
      <c r="D437" t="s">
        <v>961</v>
      </c>
      <c r="E437" t="s">
        <v>14</v>
      </c>
      <c r="F437" t="s">
        <v>2055</v>
      </c>
      <c r="G437" t="s">
        <v>1444</v>
      </c>
      <c r="H437" t="s">
        <v>1</v>
      </c>
      <c r="I437">
        <v>1524</v>
      </c>
      <c r="J437" s="41">
        <f>I437/'enter the discount'!$D$7</f>
        <v>356.72487243106599</v>
      </c>
      <c r="K437" s="41">
        <f>J437*(1-IFERROR(VLOOKUP(H437,'enter the discount'!$D$10:$E$40,2,FALSE),0))</f>
        <v>356.72487243106599</v>
      </c>
      <c r="L437" s="43" t="s">
        <v>2546</v>
      </c>
      <c r="M437" t="s">
        <v>1445</v>
      </c>
      <c r="N437" t="s">
        <v>932</v>
      </c>
      <c r="O437" t="s">
        <v>2723</v>
      </c>
      <c r="P437">
        <v>1</v>
      </c>
      <c r="Q437">
        <v>0</v>
      </c>
      <c r="R437" t="s">
        <v>2467</v>
      </c>
      <c r="S437" s="42" t="str">
        <f>HYPERLINK("https://sklep.kobi.pl/produkt/master-street-120w-4000k-wb")</f>
        <v>https://sklep.kobi.pl/produkt/master-street-120w-4000k-wb</v>
      </c>
      <c r="T437" s="42" t="str">
        <f>HYPERLINK("https://eprel.ec.europa.eu/qr/1852358        ")</f>
        <v xml:space="preserve">https://eprel.ec.europa.eu/qr/1852358        </v>
      </c>
      <c r="U437">
        <v>4.72</v>
      </c>
      <c r="V437">
        <v>0</v>
      </c>
      <c r="W437">
        <v>0</v>
      </c>
      <c r="X437">
        <v>0</v>
      </c>
      <c r="Y437">
        <v>0</v>
      </c>
    </row>
    <row r="438" spans="1:25" ht="15" x14ac:dyDescent="0.25">
      <c r="A438" t="s">
        <v>22</v>
      </c>
      <c r="B438" t="s">
        <v>1565</v>
      </c>
      <c r="C438"/>
      <c r="D438" t="s">
        <v>961</v>
      </c>
      <c r="E438" t="s">
        <v>14</v>
      </c>
      <c r="F438" t="s">
        <v>2056</v>
      </c>
      <c r="G438" t="s">
        <v>1446</v>
      </c>
      <c r="H438" t="s">
        <v>1</v>
      </c>
      <c r="I438">
        <v>980</v>
      </c>
      <c r="J438" s="41">
        <f>I438/'enter the discount'!$D$7</f>
        <v>229.39000983100044</v>
      </c>
      <c r="K438" s="41">
        <f>J438*(1-IFERROR(VLOOKUP(H438,'enter the discount'!$D$10:$E$40,2,FALSE),0))</f>
        <v>229.39000983100044</v>
      </c>
      <c r="L438" s="43" t="s">
        <v>2546</v>
      </c>
      <c r="M438" t="s">
        <v>1447</v>
      </c>
      <c r="N438" t="s">
        <v>932</v>
      </c>
      <c r="O438" t="s">
        <v>2723</v>
      </c>
      <c r="P438">
        <v>1</v>
      </c>
      <c r="Q438">
        <v>0</v>
      </c>
      <c r="R438" t="s">
        <v>2467</v>
      </c>
      <c r="S438" s="42" t="str">
        <f>HYPERLINK("https://sklep.kobi.pl/produkt/master-street-35w-4000k-mb")</f>
        <v>https://sklep.kobi.pl/produkt/master-street-35w-4000k-mb</v>
      </c>
      <c r="T438" s="42" t="str">
        <f>HYPERLINK("https://eprel.ec.europa.eu/qr/1852383        ")</f>
        <v xml:space="preserve">https://eprel.ec.europa.eu/qr/1852383        </v>
      </c>
      <c r="U438">
        <v>3.3</v>
      </c>
      <c r="V438">
        <v>0</v>
      </c>
      <c r="W438">
        <v>0</v>
      </c>
      <c r="X438">
        <v>0</v>
      </c>
      <c r="Y438">
        <v>0</v>
      </c>
    </row>
    <row r="439" spans="1:25" ht="15" x14ac:dyDescent="0.25">
      <c r="A439" t="s">
        <v>22</v>
      </c>
      <c r="B439" t="s">
        <v>1565</v>
      </c>
      <c r="C439"/>
      <c r="D439" t="s">
        <v>961</v>
      </c>
      <c r="E439" t="s">
        <v>14</v>
      </c>
      <c r="F439" t="s">
        <v>2057</v>
      </c>
      <c r="G439" t="s">
        <v>1448</v>
      </c>
      <c r="H439" t="s">
        <v>1</v>
      </c>
      <c r="I439">
        <v>980</v>
      </c>
      <c r="J439" s="41">
        <f>I439/'enter the discount'!$D$7</f>
        <v>229.39000983100044</v>
      </c>
      <c r="K439" s="41">
        <f>J439*(1-IFERROR(VLOOKUP(H439,'enter the discount'!$D$10:$E$40,2,FALSE),0))</f>
        <v>229.39000983100044</v>
      </c>
      <c r="L439" s="43" t="s">
        <v>2546</v>
      </c>
      <c r="M439" t="s">
        <v>1449</v>
      </c>
      <c r="N439" t="s">
        <v>932</v>
      </c>
      <c r="O439" t="s">
        <v>2723</v>
      </c>
      <c r="P439">
        <v>1</v>
      </c>
      <c r="Q439">
        <v>0</v>
      </c>
      <c r="R439" t="s">
        <v>2467</v>
      </c>
      <c r="S439" s="42" t="str">
        <f>HYPERLINK("https://sklep.kobi.pl/produkt/master-street-35w-4000k-wb")</f>
        <v>https://sklep.kobi.pl/produkt/master-street-35w-4000k-wb</v>
      </c>
      <c r="T439" s="42" t="str">
        <f>HYPERLINK("https://eprel.ec.europa.eu/qr/1852383        ")</f>
        <v xml:space="preserve">https://eprel.ec.europa.eu/qr/1852383        </v>
      </c>
      <c r="U439">
        <v>3.3</v>
      </c>
      <c r="V439">
        <v>0</v>
      </c>
      <c r="W439">
        <v>0</v>
      </c>
      <c r="X439">
        <v>0</v>
      </c>
      <c r="Y439">
        <v>0</v>
      </c>
    </row>
    <row r="440" spans="1:25" ht="15" x14ac:dyDescent="0.25">
      <c r="A440" t="s">
        <v>22</v>
      </c>
      <c r="B440" t="s">
        <v>1565</v>
      </c>
      <c r="C440"/>
      <c r="D440" t="s">
        <v>961</v>
      </c>
      <c r="E440" t="s">
        <v>14</v>
      </c>
      <c r="F440" t="s">
        <v>2058</v>
      </c>
      <c r="G440" t="s">
        <v>1450</v>
      </c>
      <c r="H440" t="s">
        <v>1</v>
      </c>
      <c r="I440">
        <v>1200</v>
      </c>
      <c r="J440" s="41">
        <f>I440/'enter the discount'!$D$7</f>
        <v>280.88572632367402</v>
      </c>
      <c r="K440" s="41">
        <f>J440*(1-IFERROR(VLOOKUP(H440,'enter the discount'!$D$10:$E$40,2,FALSE),0))</f>
        <v>280.88572632367402</v>
      </c>
      <c r="L440" s="43" t="s">
        <v>2546</v>
      </c>
      <c r="M440" t="s">
        <v>1451</v>
      </c>
      <c r="N440" t="s">
        <v>932</v>
      </c>
      <c r="O440" t="s">
        <v>2723</v>
      </c>
      <c r="P440">
        <v>1</v>
      </c>
      <c r="Q440">
        <v>0</v>
      </c>
      <c r="R440" t="s">
        <v>2467</v>
      </c>
      <c r="S440" s="42" t="str">
        <f>HYPERLINK("https://sklep.kobi.pl/produkt/master-street-80w-4000k-mb")</f>
        <v>https://sklep.kobi.pl/produkt/master-street-80w-4000k-mb</v>
      </c>
      <c r="T440" s="42" t="str">
        <f>HYPERLINK("https://eprel.ec.europa.eu/qr/1852374        ")</f>
        <v xml:space="preserve">https://eprel.ec.europa.eu/qr/1852374        </v>
      </c>
      <c r="U440">
        <v>4.1500000000000004</v>
      </c>
      <c r="V440">
        <v>0</v>
      </c>
      <c r="W440">
        <v>0</v>
      </c>
      <c r="X440">
        <v>0</v>
      </c>
      <c r="Y440">
        <v>0</v>
      </c>
    </row>
    <row r="441" spans="1:25" ht="15" x14ac:dyDescent="0.25">
      <c r="A441" t="s">
        <v>22</v>
      </c>
      <c r="B441" t="s">
        <v>1565</v>
      </c>
      <c r="C441"/>
      <c r="D441" t="s">
        <v>961</v>
      </c>
      <c r="E441" t="s">
        <v>14</v>
      </c>
      <c r="F441" t="s">
        <v>2059</v>
      </c>
      <c r="G441" t="s">
        <v>1452</v>
      </c>
      <c r="H441" t="s">
        <v>1</v>
      </c>
      <c r="I441">
        <v>1200</v>
      </c>
      <c r="J441" s="41">
        <f>I441/'enter the discount'!$D$7</f>
        <v>280.88572632367402</v>
      </c>
      <c r="K441" s="41">
        <f>J441*(1-IFERROR(VLOOKUP(H441,'enter the discount'!$D$10:$E$40,2,FALSE),0))</f>
        <v>280.88572632367402</v>
      </c>
      <c r="L441" s="43" t="s">
        <v>2546</v>
      </c>
      <c r="M441" t="s">
        <v>1453</v>
      </c>
      <c r="N441" t="s">
        <v>932</v>
      </c>
      <c r="O441" t="s">
        <v>2723</v>
      </c>
      <c r="P441">
        <v>1</v>
      </c>
      <c r="Q441">
        <v>0</v>
      </c>
      <c r="R441" t="s">
        <v>2467</v>
      </c>
      <c r="S441" s="42" t="str">
        <f>HYPERLINK("https://sklep.kobi.pl/produkt/master-street-80w-4000k-wb")</f>
        <v>https://sklep.kobi.pl/produkt/master-street-80w-4000k-wb</v>
      </c>
      <c r="T441" s="42" t="str">
        <f>HYPERLINK("https://eprel.ec.europa.eu/qr/1852374        ")</f>
        <v xml:space="preserve">https://eprel.ec.europa.eu/qr/1852374        </v>
      </c>
      <c r="U441">
        <v>4.1500000000000004</v>
      </c>
      <c r="V441">
        <v>0</v>
      </c>
      <c r="W441">
        <v>0</v>
      </c>
      <c r="X441">
        <v>0</v>
      </c>
      <c r="Y441">
        <v>0</v>
      </c>
    </row>
    <row r="442" spans="1:25" ht="15" x14ac:dyDescent="0.25">
      <c r="A442" t="s">
        <v>22</v>
      </c>
      <c r="B442" t="s">
        <v>1565</v>
      </c>
      <c r="C442"/>
      <c r="D442" t="s">
        <v>113</v>
      </c>
      <c r="E442" t="s">
        <v>2722</v>
      </c>
      <c r="F442" t="s">
        <v>2060</v>
      </c>
      <c r="G442" t="s">
        <v>323</v>
      </c>
      <c r="H442" t="s">
        <v>1</v>
      </c>
      <c r="I442">
        <v>416.52</v>
      </c>
      <c r="J442" s="41">
        <f>I442/'enter the discount'!$D$7</f>
        <v>97.49543560694724</v>
      </c>
      <c r="K442" s="41">
        <f>J442*(1-IFERROR(VLOOKUP(H442,'enter the discount'!$D$10:$E$40,2,FALSE),0))</f>
        <v>97.49543560694724</v>
      </c>
      <c r="L442" s="43" t="s">
        <v>859</v>
      </c>
      <c r="M442" t="s">
        <v>687</v>
      </c>
      <c r="N442" t="s">
        <v>932</v>
      </c>
      <c r="O442" t="s">
        <v>2723</v>
      </c>
      <c r="P442">
        <v>6</v>
      </c>
      <c r="Q442">
        <v>54</v>
      </c>
      <c r="R442" t="s">
        <v>2466</v>
      </c>
      <c r="S442"/>
      <c r="T442" s="42" t="str">
        <f>HYPERLINK("https://eprel.ec.europa.eu/qr/791463         ")</f>
        <v xml:space="preserve">https://eprel.ec.europa.eu/qr/791463         </v>
      </c>
      <c r="U442">
        <v>2.4279999999999999</v>
      </c>
      <c r="V442">
        <v>2.8879999999999999</v>
      </c>
      <c r="W442">
        <v>120</v>
      </c>
      <c r="X442">
        <v>230</v>
      </c>
      <c r="Y442">
        <v>650</v>
      </c>
    </row>
    <row r="443" spans="1:25" ht="15" x14ac:dyDescent="0.25">
      <c r="A443" t="s">
        <v>22</v>
      </c>
      <c r="B443" t="s">
        <v>1565</v>
      </c>
      <c r="C443"/>
      <c r="D443" t="s">
        <v>113</v>
      </c>
      <c r="E443" t="s">
        <v>2722</v>
      </c>
      <c r="F443" t="s">
        <v>2061</v>
      </c>
      <c r="G443" t="s">
        <v>324</v>
      </c>
      <c r="H443" t="s">
        <v>1</v>
      </c>
      <c r="I443">
        <v>618</v>
      </c>
      <c r="J443" s="41">
        <f>I443/'enter the discount'!$D$7</f>
        <v>144.6561490566921</v>
      </c>
      <c r="K443" s="41">
        <f>J443*(1-IFERROR(VLOOKUP(H443,'enter the discount'!$D$10:$E$40,2,FALSE),0))</f>
        <v>144.6561490566921</v>
      </c>
      <c r="L443" s="43" t="s">
        <v>859</v>
      </c>
      <c r="M443" t="s">
        <v>688</v>
      </c>
      <c r="N443" t="s">
        <v>932</v>
      </c>
      <c r="O443" t="s">
        <v>2723</v>
      </c>
      <c r="P443">
        <v>4</v>
      </c>
      <c r="Q443">
        <v>36</v>
      </c>
      <c r="R443" t="s">
        <v>2466</v>
      </c>
      <c r="S443"/>
      <c r="T443" s="42" t="str">
        <f>HYPERLINK("https://eprel.ec.europa.eu/qr/791475         ")</f>
        <v xml:space="preserve">https://eprel.ec.europa.eu/qr/791475         </v>
      </c>
      <c r="U443">
        <v>3.6880000000000002</v>
      </c>
      <c r="V443">
        <v>4.3049999999999997</v>
      </c>
      <c r="W443">
        <v>120</v>
      </c>
      <c r="X443">
        <v>310</v>
      </c>
      <c r="Y443">
        <v>790</v>
      </c>
    </row>
    <row r="444" spans="1:25" ht="15" x14ac:dyDescent="0.25">
      <c r="A444" t="s">
        <v>22</v>
      </c>
      <c r="B444" t="s">
        <v>1565</v>
      </c>
      <c r="C444"/>
      <c r="D444" t="s">
        <v>961</v>
      </c>
      <c r="E444" t="s">
        <v>14</v>
      </c>
      <c r="F444" t="s">
        <v>2062</v>
      </c>
      <c r="G444" t="s">
        <v>1281</v>
      </c>
      <c r="H444" t="s">
        <v>1</v>
      </c>
      <c r="I444">
        <v>273.5</v>
      </c>
      <c r="J444" s="41">
        <f>I444/'enter the discount'!$D$7</f>
        <v>64.018538457937368</v>
      </c>
      <c r="K444" s="41">
        <f>J444*(1-IFERROR(VLOOKUP(H444,'enter the discount'!$D$10:$E$40,2,FALSE),0))</f>
        <v>64.018538457937368</v>
      </c>
      <c r="L444" s="43" t="s">
        <v>963</v>
      </c>
      <c r="M444" t="s">
        <v>1282</v>
      </c>
      <c r="N444" t="s">
        <v>932</v>
      </c>
      <c r="O444" t="s">
        <v>2723</v>
      </c>
      <c r="P444">
        <v>6</v>
      </c>
      <c r="Q444">
        <v>96</v>
      </c>
      <c r="R444" t="s">
        <v>2467</v>
      </c>
      <c r="S444" s="42" t="str">
        <f>HYPERLINK("https://sklep.kobi.pl/produkt/led-vespa-pro-40w-4000k")</f>
        <v>https://sklep.kobi.pl/produkt/led-vespa-pro-40w-4000k</v>
      </c>
      <c r="T444" s="42" t="str">
        <f>HYPERLINK("https://eprel.ec.europa.eu/qr/1410066        ")</f>
        <v xml:space="preserve">https://eprel.ec.europa.eu/qr/1410066        </v>
      </c>
      <c r="U444">
        <v>1.6</v>
      </c>
      <c r="V444">
        <v>0</v>
      </c>
      <c r="W444">
        <v>0</v>
      </c>
      <c r="X444">
        <v>0</v>
      </c>
      <c r="Y444">
        <v>0</v>
      </c>
    </row>
    <row r="445" spans="1:25" ht="15" x14ac:dyDescent="0.25">
      <c r="A445" t="s">
        <v>22</v>
      </c>
      <c r="B445" t="s">
        <v>1565</v>
      </c>
      <c r="C445"/>
      <c r="D445" t="s">
        <v>961</v>
      </c>
      <c r="E445" t="s">
        <v>14</v>
      </c>
      <c r="F445" t="s">
        <v>2063</v>
      </c>
      <c r="G445" t="s">
        <v>1283</v>
      </c>
      <c r="H445" t="s">
        <v>1</v>
      </c>
      <c r="I445">
        <v>334.56</v>
      </c>
      <c r="J445" s="41">
        <f>I445/'enter the discount'!$D$7</f>
        <v>78.310940499040314</v>
      </c>
      <c r="K445" s="41">
        <f>J445*(1-IFERROR(VLOOKUP(H445,'enter the discount'!$D$10:$E$40,2,FALSE),0))</f>
        <v>78.310940499040314</v>
      </c>
      <c r="L445" s="43" t="s">
        <v>963</v>
      </c>
      <c r="M445" t="s">
        <v>1284</v>
      </c>
      <c r="N445" t="s">
        <v>932</v>
      </c>
      <c r="O445" t="s">
        <v>2723</v>
      </c>
      <c r="P445">
        <v>6</v>
      </c>
      <c r="Q445">
        <v>96</v>
      </c>
      <c r="R445" t="s">
        <v>2467</v>
      </c>
      <c r="S445" s="42" t="str">
        <f>HYPERLINK("https://sklep.kobi.pl/produkt/led-vespa-pro-60w-4000k")</f>
        <v>https://sklep.kobi.pl/produkt/led-vespa-pro-60w-4000k</v>
      </c>
      <c r="T445" s="42" t="str">
        <f>HYPERLINK("https://eprel.ec.europa.eu/qr/1410067        ")</f>
        <v xml:space="preserve">https://eprel.ec.europa.eu/qr/1410067        </v>
      </c>
      <c r="U445">
        <v>1.9</v>
      </c>
      <c r="V445">
        <v>0</v>
      </c>
      <c r="W445">
        <v>120</v>
      </c>
      <c r="X445">
        <v>190</v>
      </c>
      <c r="Y445">
        <v>600</v>
      </c>
    </row>
    <row r="446" spans="1:25" ht="15" x14ac:dyDescent="0.25">
      <c r="A446" t="s">
        <v>22</v>
      </c>
      <c r="B446" t="s">
        <v>1565</v>
      </c>
      <c r="C446"/>
      <c r="D446" t="s">
        <v>961</v>
      </c>
      <c r="E446" t="s">
        <v>14</v>
      </c>
      <c r="F446" t="s">
        <v>2064</v>
      </c>
      <c r="G446" t="s">
        <v>1285</v>
      </c>
      <c r="H446" t="s">
        <v>1</v>
      </c>
      <c r="I446">
        <v>505.47</v>
      </c>
      <c r="J446" s="41">
        <f>I446/'enter the discount'!$D$7</f>
        <v>118.31609007068958</v>
      </c>
      <c r="K446" s="41">
        <f>J446*(1-IFERROR(VLOOKUP(H446,'enter the discount'!$D$10:$E$40,2,FALSE),0))</f>
        <v>118.31609007068958</v>
      </c>
      <c r="L446" s="43" t="s">
        <v>963</v>
      </c>
      <c r="M446" t="s">
        <v>1286</v>
      </c>
      <c r="N446" t="s">
        <v>932</v>
      </c>
      <c r="O446" t="s">
        <v>2723</v>
      </c>
      <c r="P446">
        <v>6</v>
      </c>
      <c r="Q446">
        <v>54</v>
      </c>
      <c r="R446" t="s">
        <v>2467</v>
      </c>
      <c r="S446" s="42" t="str">
        <f>HYPERLINK("https://sklep.kobi.pl/produkt/led-vespa-pro-100w-4000k")</f>
        <v>https://sklep.kobi.pl/produkt/led-vespa-pro-100w-4000k</v>
      </c>
      <c r="T446" s="42" t="str">
        <f>HYPERLINK("https://eprel.ec.europa.eu/qr/1410068        ")</f>
        <v xml:space="preserve">https://eprel.ec.europa.eu/qr/1410068        </v>
      </c>
      <c r="U446">
        <v>2.4500000000000002</v>
      </c>
      <c r="V446">
        <v>0</v>
      </c>
      <c r="W446">
        <v>120</v>
      </c>
      <c r="X446">
        <v>230</v>
      </c>
      <c r="Y446">
        <v>650</v>
      </c>
    </row>
    <row r="447" spans="1:25" ht="15" x14ac:dyDescent="0.25">
      <c r="A447" t="s">
        <v>22</v>
      </c>
      <c r="B447" t="s">
        <v>1565</v>
      </c>
      <c r="C447"/>
      <c r="D447" t="s">
        <v>961</v>
      </c>
      <c r="E447" t="s">
        <v>14</v>
      </c>
      <c r="F447" t="s">
        <v>2065</v>
      </c>
      <c r="G447" t="s">
        <v>1287</v>
      </c>
      <c r="H447" t="s">
        <v>1</v>
      </c>
      <c r="I447">
        <v>573.20000000000005</v>
      </c>
      <c r="J447" s="41">
        <f>I447/'enter the discount'!$D$7</f>
        <v>134.16974860727495</v>
      </c>
      <c r="K447" s="41">
        <f>J447*(1-IFERROR(VLOOKUP(H447,'enter the discount'!$D$10:$E$40,2,FALSE),0))</f>
        <v>134.16974860727495</v>
      </c>
      <c r="L447" s="43" t="s">
        <v>963</v>
      </c>
      <c r="M447" t="s">
        <v>1288</v>
      </c>
      <c r="N447" t="s">
        <v>932</v>
      </c>
      <c r="O447" t="s">
        <v>2723</v>
      </c>
      <c r="P447">
        <v>4</v>
      </c>
      <c r="Q447">
        <v>48</v>
      </c>
      <c r="R447" t="s">
        <v>2467</v>
      </c>
      <c r="S447" s="42" t="str">
        <f>HYPERLINK("https://sklep.kobi.pl/produkt/led-vespa-pro-150w-4000k")</f>
        <v>https://sklep.kobi.pl/produkt/led-vespa-pro-150w-4000k</v>
      </c>
      <c r="T447" s="42" t="str">
        <f>HYPERLINK("https://eprel.ec.europa.eu/qr/1410069        ")</f>
        <v xml:space="preserve">https://eprel.ec.europa.eu/qr/1410069        </v>
      </c>
      <c r="U447">
        <v>2.8</v>
      </c>
      <c r="V447">
        <v>0</v>
      </c>
      <c r="W447">
        <v>120</v>
      </c>
      <c r="X447">
        <v>255</v>
      </c>
      <c r="Y447">
        <v>690</v>
      </c>
    </row>
    <row r="448" spans="1:25" ht="15" x14ac:dyDescent="0.25">
      <c r="A448" t="s">
        <v>22</v>
      </c>
      <c r="B448" t="s">
        <v>1565</v>
      </c>
      <c r="C448"/>
      <c r="D448" t="s">
        <v>961</v>
      </c>
      <c r="E448" t="s">
        <v>14</v>
      </c>
      <c r="F448" t="s">
        <v>2066</v>
      </c>
      <c r="G448" t="s">
        <v>1289</v>
      </c>
      <c r="H448" t="s">
        <v>1</v>
      </c>
      <c r="I448">
        <v>732.07</v>
      </c>
      <c r="J448" s="41">
        <f>I448/'enter the discount'!$D$7</f>
        <v>171.35667805814336</v>
      </c>
      <c r="K448" s="41">
        <f>J448*(1-IFERROR(VLOOKUP(H448,'enter the discount'!$D$10:$E$40,2,FALSE),0))</f>
        <v>171.35667805814336</v>
      </c>
      <c r="L448" s="43" t="s">
        <v>963</v>
      </c>
      <c r="M448" t="s">
        <v>1290</v>
      </c>
      <c r="N448" t="s">
        <v>932</v>
      </c>
      <c r="O448" t="s">
        <v>2723</v>
      </c>
      <c r="P448">
        <v>4</v>
      </c>
      <c r="Q448">
        <v>44</v>
      </c>
      <c r="R448" t="s">
        <v>2467</v>
      </c>
      <c r="S448" s="42" t="str">
        <f>HYPERLINK("https://sklep.kobi.pl/produkt/led-vespa-pro-200w-4000k")</f>
        <v>https://sklep.kobi.pl/produkt/led-vespa-pro-200w-4000k</v>
      </c>
      <c r="T448" s="42" t="str">
        <f>HYPERLINK("https://eprel.ec.europa.eu/qr/1410070        ")</f>
        <v xml:space="preserve">https://eprel.ec.europa.eu/qr/1410070        </v>
      </c>
      <c r="U448">
        <v>3.85</v>
      </c>
      <c r="V448">
        <v>0</v>
      </c>
      <c r="W448">
        <v>120</v>
      </c>
      <c r="X448">
        <v>310</v>
      </c>
      <c r="Y448">
        <v>790</v>
      </c>
    </row>
    <row r="449" spans="1:25" ht="15" x14ac:dyDescent="0.25">
      <c r="A449" t="s">
        <v>22</v>
      </c>
      <c r="B449" t="s">
        <v>1565</v>
      </c>
      <c r="C449"/>
      <c r="D449" t="s">
        <v>113</v>
      </c>
      <c r="E449" t="s">
        <v>14</v>
      </c>
      <c r="F449" t="s">
        <v>2067</v>
      </c>
      <c r="G449" t="s">
        <v>1582</v>
      </c>
      <c r="H449" t="s">
        <v>1</v>
      </c>
      <c r="I449">
        <v>123</v>
      </c>
      <c r="J449" s="41">
        <f>I449/'enter the discount'!$D$7</f>
        <v>28.790786948176585</v>
      </c>
      <c r="K449" s="41">
        <f>J449*(1-IFERROR(VLOOKUP(H449,'enter the discount'!$D$10:$E$40,2,FALSE),0))</f>
        <v>28.790786948176585</v>
      </c>
      <c r="L449" s="43" t="s">
        <v>2544</v>
      </c>
      <c r="M449" t="s">
        <v>1583</v>
      </c>
      <c r="N449" t="s">
        <v>932</v>
      </c>
      <c r="O449" t="s">
        <v>2723</v>
      </c>
      <c r="P449">
        <v>20</v>
      </c>
      <c r="Q449">
        <v>0</v>
      </c>
      <c r="R449" t="s">
        <v>2466</v>
      </c>
      <c r="S449" s="42" t="str">
        <f>HYPERLINK("https://sklep.kobi.pl/produkt/led-cyoto-50w-4000k")</f>
        <v>https://sklep.kobi.pl/produkt/led-cyoto-50w-4000k</v>
      </c>
      <c r="T449" s="42" t="str">
        <f>HYPERLINK("https://eprel.ec.europa.eu/qr/1888876        ")</f>
        <v xml:space="preserve">https://eprel.ec.europa.eu/qr/1888876        </v>
      </c>
      <c r="U449">
        <v>0.8</v>
      </c>
      <c r="V449">
        <v>0</v>
      </c>
      <c r="W449">
        <v>0</v>
      </c>
      <c r="X449">
        <v>0</v>
      </c>
      <c r="Y449">
        <v>0</v>
      </c>
    </row>
    <row r="450" spans="1:25" ht="15" x14ac:dyDescent="0.25">
      <c r="A450" t="s">
        <v>22</v>
      </c>
      <c r="B450" t="s">
        <v>1565</v>
      </c>
      <c r="C450"/>
      <c r="D450" t="s">
        <v>113</v>
      </c>
      <c r="E450" t="s">
        <v>2721</v>
      </c>
      <c r="F450" t="s">
        <v>2728</v>
      </c>
      <c r="G450" t="s">
        <v>2729</v>
      </c>
      <c r="H450" t="s">
        <v>1</v>
      </c>
      <c r="I450">
        <v>124</v>
      </c>
      <c r="J450" s="41">
        <f>I450/'enter the discount'!$D$7</f>
        <v>29.024858386779648</v>
      </c>
      <c r="K450" s="41">
        <f>J450*(1-IFERROR(VLOOKUP(H450,'enter the discount'!$D$10:$E$40,2,FALSE),0))</f>
        <v>29.024858386779648</v>
      </c>
      <c r="L450" s="43" t="s">
        <v>2540</v>
      </c>
      <c r="M450" t="s">
        <v>2734</v>
      </c>
      <c r="N450" t="s">
        <v>932</v>
      </c>
      <c r="O450" t="s">
        <v>2723</v>
      </c>
      <c r="P450">
        <v>10</v>
      </c>
      <c r="Q450">
        <v>0</v>
      </c>
      <c r="R450" t="s">
        <v>2466</v>
      </c>
      <c r="S450" s="42" t="str">
        <f>HYPERLINK("https://sklep.kobi.pl/produkt/led-cyoto-lx-50w-4000k")</f>
        <v>https://sklep.kobi.pl/produkt/led-cyoto-lx-50w-4000k</v>
      </c>
      <c r="T450" s="42" t="str">
        <f>HYPERLINK("https://eprel.ec.europa.eu/qr/2075978        ")</f>
        <v xml:space="preserve">https://eprel.ec.europa.eu/qr/2075978        </v>
      </c>
      <c r="U450">
        <v>0.85</v>
      </c>
      <c r="V450">
        <v>0</v>
      </c>
      <c r="W450">
        <v>0</v>
      </c>
      <c r="X450">
        <v>0</v>
      </c>
      <c r="Y450">
        <v>0</v>
      </c>
    </row>
    <row r="451" spans="1:25" ht="15" x14ac:dyDescent="0.25">
      <c r="A451" t="s">
        <v>22</v>
      </c>
      <c r="B451" t="s">
        <v>1565</v>
      </c>
      <c r="C451"/>
      <c r="D451" t="s">
        <v>113</v>
      </c>
      <c r="E451" t="s">
        <v>2721</v>
      </c>
      <c r="F451" t="s">
        <v>2730</v>
      </c>
      <c r="G451" t="s">
        <v>2731</v>
      </c>
      <c r="H451" t="s">
        <v>1</v>
      </c>
      <c r="I451">
        <v>199</v>
      </c>
      <c r="J451" s="41">
        <f>I451/'enter the discount'!$D$7</f>
        <v>46.580216282009275</v>
      </c>
      <c r="K451" s="41">
        <f>J451*(1-IFERROR(VLOOKUP(H451,'enter the discount'!$D$10:$E$40,2,FALSE),0))</f>
        <v>46.580216282009275</v>
      </c>
      <c r="L451" s="43" t="s">
        <v>2540</v>
      </c>
      <c r="M451" t="s">
        <v>2735</v>
      </c>
      <c r="N451" t="s">
        <v>932</v>
      </c>
      <c r="O451" t="s">
        <v>2723</v>
      </c>
      <c r="P451">
        <v>5</v>
      </c>
      <c r="Q451">
        <v>0</v>
      </c>
      <c r="R451" t="s">
        <v>2466</v>
      </c>
      <c r="S451" s="42" t="str">
        <f>HYPERLINK("https://sklep.kobi.pl/produkt/led-cyoto-lx-100w-4000k")</f>
        <v>https://sklep.kobi.pl/produkt/led-cyoto-lx-100w-4000k</v>
      </c>
      <c r="T451" s="42" t="str">
        <f>HYPERLINK("https://eprel.ec.europa.eu/qr/2075604        ")</f>
        <v xml:space="preserve">https://eprel.ec.europa.eu/qr/2075604        </v>
      </c>
      <c r="U451">
        <v>1.18</v>
      </c>
      <c r="V451">
        <v>0</v>
      </c>
      <c r="W451">
        <v>0</v>
      </c>
      <c r="X451">
        <v>0</v>
      </c>
      <c r="Y451">
        <v>0</v>
      </c>
    </row>
    <row r="452" spans="1:25" ht="15" x14ac:dyDescent="0.25">
      <c r="A452" t="s">
        <v>22</v>
      </c>
      <c r="B452" t="s">
        <v>1565</v>
      </c>
      <c r="C452"/>
      <c r="D452" t="s">
        <v>961</v>
      </c>
      <c r="E452" t="s">
        <v>14</v>
      </c>
      <c r="F452" t="s">
        <v>2068</v>
      </c>
      <c r="G452" t="s">
        <v>1637</v>
      </c>
      <c r="H452" t="s">
        <v>1</v>
      </c>
      <c r="I452">
        <v>1350</v>
      </c>
      <c r="J452" s="41">
        <f>I452/'enter the discount'!$D$7</f>
        <v>315.99644211413323</v>
      </c>
      <c r="K452" s="41">
        <f>J452*(1-IFERROR(VLOOKUP(H452,'enter the discount'!$D$10:$E$40,2,FALSE),0))</f>
        <v>315.99644211413323</v>
      </c>
      <c r="L452" s="43" t="s">
        <v>2542</v>
      </c>
      <c r="M452" t="s">
        <v>1638</v>
      </c>
      <c r="N452" t="s">
        <v>932</v>
      </c>
      <c r="O452" t="s">
        <v>2723</v>
      </c>
      <c r="P452">
        <v>4</v>
      </c>
      <c r="Q452">
        <v>0</v>
      </c>
      <c r="R452" t="s">
        <v>2467</v>
      </c>
      <c r="S452" s="42" t="str">
        <f>HYPERLINK("https://sklep.kobi.pl/produkt/hybrid-led-fusion-14w-4000k-ip65")</f>
        <v>https://sklep.kobi.pl/produkt/hybrid-led-fusion-14w-4000k-ip65</v>
      </c>
      <c r="T452" s="42" t="str">
        <f>HYPERLINK("https://eprel.ec.europa.eu/qr/1864776        ")</f>
        <v xml:space="preserve">https://eprel.ec.europa.eu/qr/1864776        </v>
      </c>
      <c r="U452">
        <v>3.85</v>
      </c>
      <c r="V452">
        <v>0</v>
      </c>
      <c r="W452">
        <v>0</v>
      </c>
      <c r="X452">
        <v>0</v>
      </c>
      <c r="Y452">
        <v>0</v>
      </c>
    </row>
    <row r="453" spans="1:25" ht="15" x14ac:dyDescent="0.25">
      <c r="A453" t="s">
        <v>22</v>
      </c>
      <c r="B453" t="s">
        <v>1565</v>
      </c>
      <c r="C453"/>
      <c r="D453" t="s">
        <v>961</v>
      </c>
      <c r="E453" t="s">
        <v>2722</v>
      </c>
      <c r="F453" t="s">
        <v>2069</v>
      </c>
      <c r="G453" t="s">
        <v>1279</v>
      </c>
      <c r="H453" t="s">
        <v>1</v>
      </c>
      <c r="I453">
        <v>734.04</v>
      </c>
      <c r="J453" s="41">
        <f>I453/'enter the discount'!$D$7</f>
        <v>171.81779879219138</v>
      </c>
      <c r="K453" s="41">
        <f>J453*(1-IFERROR(VLOOKUP(H453,'enter the discount'!$D$10:$E$40,2,FALSE),0))</f>
        <v>171.81779879219138</v>
      </c>
      <c r="L453" s="43" t="s">
        <v>967</v>
      </c>
      <c r="M453" t="s">
        <v>1280</v>
      </c>
      <c r="N453" t="s">
        <v>932</v>
      </c>
      <c r="O453" t="s">
        <v>2723</v>
      </c>
      <c r="P453">
        <v>1</v>
      </c>
      <c r="Q453">
        <v>0</v>
      </c>
      <c r="R453" t="s">
        <v>2467</v>
      </c>
      <c r="S453" s="42" t="str">
        <f>HYPERLINK("https://sklep.kobi.pl/produkt/new-street-park-50w-4000k-ip66")</f>
        <v>https://sklep.kobi.pl/produkt/new-street-park-50w-4000k-ip66</v>
      </c>
      <c r="T453" s="42" t="str">
        <f>HYPERLINK("https://eprel.ec.europa.eu/qr/1404487        ")</f>
        <v xml:space="preserve">https://eprel.ec.europa.eu/qr/1404487        </v>
      </c>
      <c r="U453">
        <v>3.1</v>
      </c>
      <c r="V453">
        <v>0</v>
      </c>
      <c r="W453">
        <v>0</v>
      </c>
      <c r="X453">
        <v>0</v>
      </c>
      <c r="Y453">
        <v>0</v>
      </c>
    </row>
    <row r="454" spans="1:25" ht="15" x14ac:dyDescent="0.25">
      <c r="A454" t="s">
        <v>22</v>
      </c>
      <c r="B454" t="s">
        <v>77</v>
      </c>
      <c r="C454" t="s">
        <v>59</v>
      </c>
      <c r="D454" t="s">
        <v>112</v>
      </c>
      <c r="E454" t="s">
        <v>2722</v>
      </c>
      <c r="F454" t="s">
        <v>2070</v>
      </c>
      <c r="G454" t="s">
        <v>325</v>
      </c>
      <c r="H454" t="s">
        <v>1</v>
      </c>
      <c r="I454">
        <v>128.04</v>
      </c>
      <c r="J454" s="41">
        <f>I454/'enter the discount'!$D$7</f>
        <v>29.970506998736013</v>
      </c>
      <c r="K454" s="41">
        <f>J454*(1-IFERROR(VLOOKUP(H454,'enter the discount'!$D$10:$E$40,2,FALSE),0))</f>
        <v>29.970506998736013</v>
      </c>
      <c r="L454" s="43" t="s">
        <v>2544</v>
      </c>
      <c r="M454" t="s">
        <v>689</v>
      </c>
      <c r="N454" t="s">
        <v>932</v>
      </c>
      <c r="O454" t="s">
        <v>2723</v>
      </c>
      <c r="P454">
        <v>6</v>
      </c>
      <c r="Q454">
        <v>66</v>
      </c>
      <c r="R454" t="s">
        <v>2465</v>
      </c>
      <c r="S454" s="42" t="str">
        <f>HYPERLINK("https://sklep.kobi.pl/produkt/led-camaro-40w-60x60-4000k-led2b")</f>
        <v>https://sklep.kobi.pl/produkt/led-camaro-40w-60x60-4000k-led2b</v>
      </c>
      <c r="T454" s="42" t="str">
        <f>HYPERLINK("https://eprel.ec.europa.eu/qr/929373         ")</f>
        <v xml:space="preserve">https://eprel.ec.europa.eu/qr/929373         </v>
      </c>
      <c r="U454">
        <v>0.93799999999999994</v>
      </c>
      <c r="V454">
        <v>1.7</v>
      </c>
      <c r="W454">
        <v>610</v>
      </c>
      <c r="X454">
        <v>610</v>
      </c>
      <c r="Y454">
        <v>35</v>
      </c>
    </row>
    <row r="455" spans="1:25" ht="15" x14ac:dyDescent="0.25">
      <c r="A455" t="s">
        <v>22</v>
      </c>
      <c r="B455" t="s">
        <v>77</v>
      </c>
      <c r="C455" t="s">
        <v>59</v>
      </c>
      <c r="D455" t="s">
        <v>111</v>
      </c>
      <c r="E455" t="s">
        <v>14</v>
      </c>
      <c r="F455" t="s">
        <v>2071</v>
      </c>
      <c r="G455" t="s">
        <v>1323</v>
      </c>
      <c r="H455" t="s">
        <v>1</v>
      </c>
      <c r="I455">
        <v>188.03</v>
      </c>
      <c r="J455" s="41">
        <f>I455/'enter the discount'!$D$7</f>
        <v>44.012452600533685</v>
      </c>
      <c r="K455" s="41">
        <f>J455*(1-IFERROR(VLOOKUP(H455,'enter the discount'!$D$10:$E$40,2,FALSE),0))</f>
        <v>44.012452600533685</v>
      </c>
      <c r="L455" s="43" t="s">
        <v>2544</v>
      </c>
      <c r="M455" t="s">
        <v>1324</v>
      </c>
      <c r="N455" t="s">
        <v>932</v>
      </c>
      <c r="O455" t="s">
        <v>2723</v>
      </c>
      <c r="P455">
        <v>6</v>
      </c>
      <c r="Q455">
        <v>66</v>
      </c>
      <c r="R455" t="s">
        <v>2467</v>
      </c>
      <c r="S455" s="42" t="str">
        <f>HYPERLINK("https://sklep.kobi.pl/produkt/led-capri-professional-40w-60x60-3000k")</f>
        <v>https://sklep.kobi.pl/produkt/led-capri-professional-40w-60x60-3000k</v>
      </c>
      <c r="T455" s="42" t="str">
        <f>HYPERLINK("https://eprel.ec.europa.eu/qr/1939576        ")</f>
        <v xml:space="preserve">https://eprel.ec.europa.eu/qr/1939576        </v>
      </c>
      <c r="U455">
        <v>1.486</v>
      </c>
      <c r="V455">
        <v>1.849</v>
      </c>
      <c r="W455">
        <v>600</v>
      </c>
      <c r="X455">
        <v>600</v>
      </c>
      <c r="Y455">
        <v>35</v>
      </c>
    </row>
    <row r="456" spans="1:25" ht="15" x14ac:dyDescent="0.25">
      <c r="A456" t="s">
        <v>22</v>
      </c>
      <c r="B456" t="s">
        <v>77</v>
      </c>
      <c r="C456" t="s">
        <v>59</v>
      </c>
      <c r="D456" t="s">
        <v>111</v>
      </c>
      <c r="E456" t="s">
        <v>2722</v>
      </c>
      <c r="F456" t="s">
        <v>2072</v>
      </c>
      <c r="G456" t="s">
        <v>955</v>
      </c>
      <c r="H456" t="s">
        <v>1</v>
      </c>
      <c r="I456">
        <v>208.59</v>
      </c>
      <c r="J456" s="41">
        <f>I456/'enter the discount'!$D$7</f>
        <v>48.824961378212635</v>
      </c>
      <c r="K456" s="41">
        <f>J456*(1-IFERROR(VLOOKUP(H456,'enter the discount'!$D$10:$E$40,2,FALSE),0))</f>
        <v>48.824961378212635</v>
      </c>
      <c r="L456" s="43" t="s">
        <v>478</v>
      </c>
      <c r="M456" t="s">
        <v>956</v>
      </c>
      <c r="N456" t="s">
        <v>932</v>
      </c>
      <c r="O456" t="s">
        <v>2723</v>
      </c>
      <c r="P456">
        <v>6</v>
      </c>
      <c r="Q456">
        <v>0</v>
      </c>
      <c r="R456" t="s">
        <v>2467</v>
      </c>
      <c r="S456" s="42" t="str">
        <f>HYPERLINK("https://sklep.kobi.pl/produkt/led-capri-40w-30x120-4000k-premium")</f>
        <v>https://sklep.kobi.pl/produkt/led-capri-40w-30x120-4000k-premium</v>
      </c>
      <c r="T456" t="s">
        <v>14</v>
      </c>
      <c r="U456">
        <v>1.58</v>
      </c>
      <c r="V456">
        <v>0</v>
      </c>
      <c r="W456">
        <v>1200</v>
      </c>
      <c r="X456">
        <v>30</v>
      </c>
      <c r="Y456">
        <v>35</v>
      </c>
    </row>
    <row r="457" spans="1:25" ht="15" x14ac:dyDescent="0.25">
      <c r="A457" t="s">
        <v>22</v>
      </c>
      <c r="B457" t="s">
        <v>77</v>
      </c>
      <c r="C457" t="s">
        <v>59</v>
      </c>
      <c r="D457" t="s">
        <v>111</v>
      </c>
      <c r="E457" t="s">
        <v>2722</v>
      </c>
      <c r="F457" t="s">
        <v>2073</v>
      </c>
      <c r="G457" t="s">
        <v>1325</v>
      </c>
      <c r="H457" t="s">
        <v>1</v>
      </c>
      <c r="I457">
        <v>156</v>
      </c>
      <c r="J457" s="41">
        <f>I457/'enter the discount'!$D$7</f>
        <v>36.515144422077618</v>
      </c>
      <c r="K457" s="41">
        <f>J457*(1-IFERROR(VLOOKUP(H457,'enter the discount'!$D$10:$E$40,2,FALSE),0))</f>
        <v>36.515144422077618</v>
      </c>
      <c r="L457" s="43" t="s">
        <v>2540</v>
      </c>
      <c r="M457" t="s">
        <v>1326</v>
      </c>
      <c r="N457" t="s">
        <v>932</v>
      </c>
      <c r="O457" t="s">
        <v>2723</v>
      </c>
      <c r="P457">
        <v>5</v>
      </c>
      <c r="Q457">
        <v>0</v>
      </c>
      <c r="R457" t="s">
        <v>2466</v>
      </c>
      <c r="S457"/>
      <c r="T457" s="42" t="str">
        <f>HYPERLINK("https://eprel.ec.europa.eu/qr/1509019        ")</f>
        <v xml:space="preserve">https://eprel.ec.europa.eu/qr/1509019        </v>
      </c>
      <c r="U457">
        <v>0.56000000000000005</v>
      </c>
      <c r="V457">
        <v>0</v>
      </c>
      <c r="W457">
        <v>0</v>
      </c>
      <c r="X457">
        <v>0</v>
      </c>
      <c r="Y457">
        <v>0</v>
      </c>
    </row>
    <row r="458" spans="1:25" ht="15" x14ac:dyDescent="0.25">
      <c r="A458" t="s">
        <v>22</v>
      </c>
      <c r="B458" t="s">
        <v>77</v>
      </c>
      <c r="C458" t="s">
        <v>59</v>
      </c>
      <c r="D458" t="s">
        <v>111</v>
      </c>
      <c r="E458" t="s">
        <v>14</v>
      </c>
      <c r="F458" t="s">
        <v>2074</v>
      </c>
      <c r="G458" t="s">
        <v>326</v>
      </c>
      <c r="H458" t="s">
        <v>1</v>
      </c>
      <c r="I458">
        <v>178</v>
      </c>
      <c r="J458" s="41">
        <f>I458/'enter the discount'!$D$7</f>
        <v>41.664716071344976</v>
      </c>
      <c r="K458" s="41">
        <f>J458*(1-IFERROR(VLOOKUP(H458,'enter the discount'!$D$10:$E$40,2,FALSE),0))</f>
        <v>41.664716071344976</v>
      </c>
      <c r="L458" s="43" t="s">
        <v>2542</v>
      </c>
      <c r="M458" t="s">
        <v>690</v>
      </c>
      <c r="N458" t="s">
        <v>932</v>
      </c>
      <c r="O458" t="s">
        <v>2723</v>
      </c>
      <c r="P458">
        <v>10</v>
      </c>
      <c r="Q458">
        <v>120</v>
      </c>
      <c r="R458" t="s">
        <v>2466</v>
      </c>
      <c r="S458" s="42" t="str">
        <f>HYPERLINK("https://sklep.kobi.pl/produkt/led-nelio-28w-60x30-4000k")</f>
        <v>https://sklep.kobi.pl/produkt/led-nelio-28w-60x30-4000k</v>
      </c>
      <c r="T458" t="s">
        <v>14</v>
      </c>
      <c r="U458">
        <v>1.028</v>
      </c>
      <c r="V458">
        <v>1.2569999999999999</v>
      </c>
      <c r="W458">
        <v>230</v>
      </c>
      <c r="X458">
        <v>210</v>
      </c>
      <c r="Y458">
        <v>10</v>
      </c>
    </row>
    <row r="459" spans="1:25" ht="15" x14ac:dyDescent="0.25">
      <c r="A459" t="s">
        <v>22</v>
      </c>
      <c r="B459" t="s">
        <v>77</v>
      </c>
      <c r="C459" t="s">
        <v>59</v>
      </c>
      <c r="D459" t="s">
        <v>111</v>
      </c>
      <c r="E459" t="s">
        <v>14</v>
      </c>
      <c r="F459" t="s">
        <v>2075</v>
      </c>
      <c r="G459" t="s">
        <v>327</v>
      </c>
      <c r="H459" t="s">
        <v>1</v>
      </c>
      <c r="I459">
        <v>256.52999999999997</v>
      </c>
      <c r="J459" s="41">
        <f>I459/'enter the discount'!$D$7</f>
        <v>60.046346144843405</v>
      </c>
      <c r="K459" s="41">
        <f>J459*(1-IFERROR(VLOOKUP(H459,'enter the discount'!$D$10:$E$40,2,FALSE),0))</f>
        <v>60.046346144843405</v>
      </c>
      <c r="L459" s="43" t="s">
        <v>2540</v>
      </c>
      <c r="M459" t="s">
        <v>691</v>
      </c>
      <c r="N459" t="s">
        <v>932</v>
      </c>
      <c r="O459" t="s">
        <v>2723</v>
      </c>
      <c r="P459">
        <v>5</v>
      </c>
      <c r="Q459">
        <v>75</v>
      </c>
      <c r="R459" t="s">
        <v>2466</v>
      </c>
      <c r="S459" s="42" t="str">
        <f>HYPERLINK("https://sklep.kobi.pl/produkt/oprawa-led-nelio2-pt-40w-3200lm-4000k")</f>
        <v>https://sklep.kobi.pl/produkt/oprawa-led-nelio2-pt-40w-3200lm-4000k</v>
      </c>
      <c r="T459" s="42" t="str">
        <f>HYPERLINK("https://eprel.ec.europa.eu/qr/1716547        ")</f>
        <v xml:space="preserve">https://eprel.ec.europa.eu/qr/1716547        </v>
      </c>
      <c r="U459">
        <v>1.8260000000000001</v>
      </c>
      <c r="V459">
        <v>2.2789999999999999</v>
      </c>
      <c r="W459">
        <v>600</v>
      </c>
      <c r="X459">
        <v>600</v>
      </c>
      <c r="Y459">
        <v>35</v>
      </c>
    </row>
    <row r="460" spans="1:25" ht="15" x14ac:dyDescent="0.25">
      <c r="A460" t="s">
        <v>22</v>
      </c>
      <c r="B460" t="s">
        <v>77</v>
      </c>
      <c r="C460" t="s">
        <v>59</v>
      </c>
      <c r="D460" t="s">
        <v>113</v>
      </c>
      <c r="E460" t="s">
        <v>14</v>
      </c>
      <c r="F460" t="s">
        <v>2076</v>
      </c>
      <c r="G460" t="s">
        <v>922</v>
      </c>
      <c r="H460" t="s">
        <v>1</v>
      </c>
      <c r="I460">
        <v>310</v>
      </c>
      <c r="J460" s="41">
        <f>I460/'enter the discount'!$D$7</f>
        <v>72.562145966949117</v>
      </c>
      <c r="K460" s="41">
        <f>J460*(1-IFERROR(VLOOKUP(H460,'enter the discount'!$D$10:$E$40,2,FALSE),0))</f>
        <v>72.562145966949117</v>
      </c>
      <c r="L460" s="43" t="s">
        <v>2542</v>
      </c>
      <c r="M460" t="s">
        <v>923</v>
      </c>
      <c r="N460" t="s">
        <v>932</v>
      </c>
      <c r="O460" t="s">
        <v>2723</v>
      </c>
      <c r="P460">
        <v>5</v>
      </c>
      <c r="Q460">
        <v>75</v>
      </c>
      <c r="R460" t="s">
        <v>2467</v>
      </c>
      <c r="S460" s="42" t="str">
        <f>HYPERLINK("https://sklep.kobi.pl/produkt/led-nelio-premium-40w-60x60-4400lm-4000k")</f>
        <v>https://sklep.kobi.pl/produkt/led-nelio-premium-40w-60x60-4400lm-4000k</v>
      </c>
      <c r="T460" s="42" t="str">
        <f>HYPERLINK("https://eprel.ec.europa.eu/qr/1716547        ")</f>
        <v xml:space="preserve">https://eprel.ec.europa.eu/qr/1716547        </v>
      </c>
      <c r="U460">
        <v>2.44</v>
      </c>
      <c r="V460">
        <v>2.6150000000000002</v>
      </c>
      <c r="W460">
        <v>600</v>
      </c>
      <c r="X460">
        <v>600</v>
      </c>
      <c r="Y460">
        <v>35</v>
      </c>
    </row>
    <row r="461" spans="1:25" ht="15" x14ac:dyDescent="0.25">
      <c r="A461" t="s">
        <v>22</v>
      </c>
      <c r="B461" t="s">
        <v>77</v>
      </c>
      <c r="C461" t="s">
        <v>59</v>
      </c>
      <c r="D461" t="s">
        <v>111</v>
      </c>
      <c r="E461" t="s">
        <v>2722</v>
      </c>
      <c r="F461" t="s">
        <v>2077</v>
      </c>
      <c r="G461" t="s">
        <v>328</v>
      </c>
      <c r="H461" t="s">
        <v>1</v>
      </c>
      <c r="I461">
        <v>382</v>
      </c>
      <c r="J461" s="41">
        <f>I461/'enter the discount'!$D$7</f>
        <v>89.41528954636955</v>
      </c>
      <c r="K461" s="41">
        <f>J461*(1-IFERROR(VLOOKUP(H461,'enter the discount'!$D$10:$E$40,2,FALSE),0))</f>
        <v>89.41528954636955</v>
      </c>
      <c r="L461" s="43" t="s">
        <v>2542</v>
      </c>
      <c r="M461" t="s">
        <v>692</v>
      </c>
      <c r="N461" t="s">
        <v>932</v>
      </c>
      <c r="O461" t="s">
        <v>2723</v>
      </c>
      <c r="P461">
        <v>5</v>
      </c>
      <c r="Q461">
        <v>75</v>
      </c>
      <c r="R461" t="s">
        <v>2467</v>
      </c>
      <c r="S461" s="42" t="str">
        <f>HYPERLINK("https://sklep.kobi.pl/produkt/led-nelio-48w-60x60-4000k")</f>
        <v>https://sklep.kobi.pl/produkt/led-nelio-48w-60x60-4000k</v>
      </c>
      <c r="T461" t="s">
        <v>14</v>
      </c>
      <c r="U461">
        <v>2.58</v>
      </c>
      <c r="V461">
        <v>2.6059999999999999</v>
      </c>
      <c r="W461">
        <v>230</v>
      </c>
      <c r="X461">
        <v>210</v>
      </c>
      <c r="Y461">
        <v>10</v>
      </c>
    </row>
    <row r="462" spans="1:25" ht="15" x14ac:dyDescent="0.25">
      <c r="A462" t="s">
        <v>22</v>
      </c>
      <c r="B462" t="s">
        <v>77</v>
      </c>
      <c r="C462" t="s">
        <v>59</v>
      </c>
      <c r="D462" t="s">
        <v>111</v>
      </c>
      <c r="E462" t="s">
        <v>14</v>
      </c>
      <c r="F462" t="s">
        <v>2078</v>
      </c>
      <c r="G462" t="s">
        <v>1226</v>
      </c>
      <c r="H462" t="s">
        <v>1</v>
      </c>
      <c r="I462">
        <v>222</v>
      </c>
      <c r="J462" s="41">
        <f>I462/'enter the discount'!$D$7</f>
        <v>51.963859369879692</v>
      </c>
      <c r="K462" s="41">
        <f>J462*(1-IFERROR(VLOOKUP(H462,'enter the discount'!$D$10:$E$40,2,FALSE),0))</f>
        <v>51.963859369879692</v>
      </c>
      <c r="L462" s="43" t="s">
        <v>2542</v>
      </c>
      <c r="M462" t="s">
        <v>1227</v>
      </c>
      <c r="N462" t="s">
        <v>932</v>
      </c>
      <c r="O462" t="s">
        <v>2723</v>
      </c>
      <c r="P462">
        <v>5</v>
      </c>
      <c r="Q462">
        <v>90</v>
      </c>
      <c r="R462" t="s">
        <v>2466</v>
      </c>
      <c r="S462" s="42" t="str">
        <f>HYPERLINK("https://sklep.kobi.pl/produkt/oprawa-led-nelio2-pt-40w-4000k-30x120")</f>
        <v>https://sklep.kobi.pl/produkt/oprawa-led-nelio2-pt-40w-4000k-30x120</v>
      </c>
      <c r="T462" s="42" t="str">
        <f>HYPERLINK("https://eprel.ec.europa.eu/qr/1716639        ")</f>
        <v xml:space="preserve">https://eprel.ec.europa.eu/qr/1716639        </v>
      </c>
      <c r="U462">
        <v>2.1</v>
      </c>
      <c r="V462">
        <v>2.407</v>
      </c>
      <c r="W462">
        <v>30</v>
      </c>
      <c r="X462">
        <v>1280</v>
      </c>
      <c r="Y462">
        <v>341</v>
      </c>
    </row>
    <row r="463" spans="1:25" ht="15" x14ac:dyDescent="0.25">
      <c r="A463" t="s">
        <v>22</v>
      </c>
      <c r="B463" t="s">
        <v>77</v>
      </c>
      <c r="C463" t="s">
        <v>59</v>
      </c>
      <c r="D463" t="s">
        <v>113</v>
      </c>
      <c r="E463" t="s">
        <v>14</v>
      </c>
      <c r="F463" t="s">
        <v>2079</v>
      </c>
      <c r="G463" t="s">
        <v>329</v>
      </c>
      <c r="H463" t="s">
        <v>1</v>
      </c>
      <c r="I463">
        <v>340</v>
      </c>
      <c r="J463" s="41">
        <f>I463/'enter the discount'!$D$7</f>
        <v>79.584289125040968</v>
      </c>
      <c r="K463" s="41">
        <f>J463*(1-IFERROR(VLOOKUP(H463,'enter the discount'!$D$10:$E$40,2,FALSE),0))</f>
        <v>79.584289125040968</v>
      </c>
      <c r="L463" s="43" t="s">
        <v>2542</v>
      </c>
      <c r="M463" t="s">
        <v>693</v>
      </c>
      <c r="N463" t="s">
        <v>932</v>
      </c>
      <c r="O463" t="s">
        <v>2723</v>
      </c>
      <c r="P463">
        <v>5</v>
      </c>
      <c r="Q463">
        <v>90</v>
      </c>
      <c r="R463" t="s">
        <v>2467</v>
      </c>
      <c r="S463" s="42" t="str">
        <f>HYPERLINK("https://sklep.kobi.pl/produkt/led-nelio-premium-40w-120x30-4400lm-4000")</f>
        <v>https://sklep.kobi.pl/produkt/led-nelio-premium-40w-120x30-4400lm-4000</v>
      </c>
      <c r="T463" s="42" t="str">
        <f>HYPERLINK("https://eprel.ec.europa.eu/qr/1716547        ")</f>
        <v xml:space="preserve">https://eprel.ec.europa.eu/qr/1716547        </v>
      </c>
      <c r="U463">
        <v>2.4700000000000002</v>
      </c>
      <c r="V463">
        <v>2.58</v>
      </c>
      <c r="W463">
        <v>600</v>
      </c>
      <c r="X463">
        <v>600</v>
      </c>
      <c r="Y463">
        <v>35</v>
      </c>
    </row>
    <row r="464" spans="1:25" ht="15" x14ac:dyDescent="0.25">
      <c r="A464" t="s">
        <v>22</v>
      </c>
      <c r="B464" t="s">
        <v>71</v>
      </c>
      <c r="C464" t="s">
        <v>59</v>
      </c>
      <c r="D464" t="s">
        <v>961</v>
      </c>
      <c r="E464" t="s">
        <v>14</v>
      </c>
      <c r="F464" t="s">
        <v>2080</v>
      </c>
      <c r="G464" t="s">
        <v>1406</v>
      </c>
      <c r="H464" t="s">
        <v>1</v>
      </c>
      <c r="I464">
        <v>380</v>
      </c>
      <c r="J464" s="41">
        <f>I464/'enter the discount'!$D$7</f>
        <v>88.94714666916343</v>
      </c>
      <c r="K464" s="41">
        <f>J464*(1-IFERROR(VLOOKUP(H464,'enter the discount'!$D$10:$E$40,2,FALSE),0))</f>
        <v>88.94714666916343</v>
      </c>
      <c r="L464" s="43" t="s">
        <v>2547</v>
      </c>
      <c r="M464" t="s">
        <v>1407</v>
      </c>
      <c r="N464" t="s">
        <v>931</v>
      </c>
      <c r="O464" t="s">
        <v>2723</v>
      </c>
      <c r="P464">
        <v>8</v>
      </c>
      <c r="Q464">
        <v>72</v>
      </c>
      <c r="R464" t="s">
        <v>2467</v>
      </c>
      <c r="S464" s="42" t="str">
        <f>HYPERLINK("https://sklep.kobi.pl/produkt/led-nexforce1-80w-4000k")</f>
        <v>https://sklep.kobi.pl/produkt/led-nexforce1-80w-4000k</v>
      </c>
      <c r="T464" t="s">
        <v>14</v>
      </c>
      <c r="U464">
        <v>1.84</v>
      </c>
      <c r="V464">
        <v>0</v>
      </c>
      <c r="W464">
        <v>0</v>
      </c>
      <c r="X464">
        <v>0</v>
      </c>
      <c r="Y464">
        <v>0</v>
      </c>
    </row>
    <row r="465" spans="1:25" ht="15" x14ac:dyDescent="0.25">
      <c r="A465" t="s">
        <v>22</v>
      </c>
      <c r="B465" t="s">
        <v>71</v>
      </c>
      <c r="C465" t="s">
        <v>59</v>
      </c>
      <c r="D465" t="s">
        <v>961</v>
      </c>
      <c r="E465" t="s">
        <v>2721</v>
      </c>
      <c r="F465" t="s">
        <v>2746</v>
      </c>
      <c r="G465" t="s">
        <v>2736</v>
      </c>
      <c r="H465" t="s">
        <v>1</v>
      </c>
      <c r="I465">
        <v>255</v>
      </c>
      <c r="J465" s="41">
        <f>I465/'enter the discount'!$D$7</f>
        <v>59.688216843780722</v>
      </c>
      <c r="K465" s="41">
        <f>J465*(1-IFERROR(VLOOKUP(H465,'enter the discount'!$D$10:$E$40,2,FALSE),0))</f>
        <v>59.688216843780722</v>
      </c>
      <c r="L465" s="43" t="s">
        <v>2546</v>
      </c>
      <c r="M465" t="s">
        <v>2740</v>
      </c>
      <c r="N465" t="s">
        <v>931</v>
      </c>
      <c r="O465" t="s">
        <v>2723</v>
      </c>
      <c r="P465">
        <v>9</v>
      </c>
      <c r="Q465">
        <v>0</v>
      </c>
      <c r="R465" t="s">
        <v>2467</v>
      </c>
      <c r="S465" s="42" t="str">
        <f>HYPERLINK("https://sklep.kobi.pl/produkt/nexforce-n2-36w-4000k")</f>
        <v>https://sklep.kobi.pl/produkt/nexforce-n2-36w-4000k</v>
      </c>
      <c r="T465" s="42" t="str">
        <f>HYPERLINK("https://eprel.ec.europa.eu/qr/2082349        ")</f>
        <v xml:space="preserve">https://eprel.ec.europa.eu/qr/2082349        </v>
      </c>
      <c r="U465">
        <v>1.29</v>
      </c>
      <c r="V465">
        <v>0</v>
      </c>
      <c r="W465">
        <v>0</v>
      </c>
      <c r="X465">
        <v>0</v>
      </c>
      <c r="Y465">
        <v>0</v>
      </c>
    </row>
    <row r="466" spans="1:25" ht="15" x14ac:dyDescent="0.25">
      <c r="A466" t="s">
        <v>22</v>
      </c>
      <c r="B466" t="s">
        <v>71</v>
      </c>
      <c r="C466" t="s">
        <v>59</v>
      </c>
      <c r="D466" t="s">
        <v>961</v>
      </c>
      <c r="E466" t="s">
        <v>2721</v>
      </c>
      <c r="F466" t="s">
        <v>2747</v>
      </c>
      <c r="G466" t="s">
        <v>2737</v>
      </c>
      <c r="H466" t="s">
        <v>1</v>
      </c>
      <c r="I466">
        <v>320</v>
      </c>
      <c r="J466" s="41">
        <f>I466/'enter the discount'!$D$7</f>
        <v>74.902860352979729</v>
      </c>
      <c r="K466" s="41">
        <f>J466*(1-IFERROR(VLOOKUP(H466,'enter the discount'!$D$10:$E$40,2,FALSE),0))</f>
        <v>74.902860352979729</v>
      </c>
      <c r="L466" s="43" t="s">
        <v>2546</v>
      </c>
      <c r="M466" t="s">
        <v>2741</v>
      </c>
      <c r="N466" t="s">
        <v>931</v>
      </c>
      <c r="O466" t="s">
        <v>2723</v>
      </c>
      <c r="P466">
        <v>9</v>
      </c>
      <c r="Q466">
        <v>0</v>
      </c>
      <c r="R466" t="s">
        <v>2467</v>
      </c>
      <c r="S466" s="42" t="str">
        <f>HYPERLINK("https://sklep.kobi.pl/produkt/nexforce-n2-52w-4000k")</f>
        <v>https://sklep.kobi.pl/produkt/nexforce-n2-52w-4000k</v>
      </c>
      <c r="T466" s="42" t="str">
        <f>HYPERLINK("https://eprel.ec.europa.eu/qr/2082480        ")</f>
        <v xml:space="preserve">https://eprel.ec.europa.eu/qr/2082480        </v>
      </c>
      <c r="U466">
        <v>1.63</v>
      </c>
      <c r="V466">
        <v>0</v>
      </c>
      <c r="W466">
        <v>0</v>
      </c>
      <c r="X466">
        <v>0</v>
      </c>
      <c r="Y466">
        <v>0</v>
      </c>
    </row>
    <row r="467" spans="1:25" ht="15" x14ac:dyDescent="0.25">
      <c r="A467" t="s">
        <v>22</v>
      </c>
      <c r="B467" t="s">
        <v>71</v>
      </c>
      <c r="C467" t="s">
        <v>59</v>
      </c>
      <c r="D467" t="s">
        <v>961</v>
      </c>
      <c r="E467" t="s">
        <v>2721</v>
      </c>
      <c r="F467" t="s">
        <v>2748</v>
      </c>
      <c r="G467" t="s">
        <v>2738</v>
      </c>
      <c r="H467" t="s">
        <v>1</v>
      </c>
      <c r="I467">
        <v>370</v>
      </c>
      <c r="J467" s="41">
        <f>I467/'enter the discount'!$D$7</f>
        <v>86.606432283132818</v>
      </c>
      <c r="K467" s="41">
        <f>J467*(1-IFERROR(VLOOKUP(H467,'enter the discount'!$D$10:$E$40,2,FALSE),0))</f>
        <v>86.606432283132818</v>
      </c>
      <c r="L467" s="43" t="s">
        <v>2546</v>
      </c>
      <c r="M467" t="s">
        <v>2742</v>
      </c>
      <c r="N467" t="s">
        <v>931</v>
      </c>
      <c r="O467" t="s">
        <v>2723</v>
      </c>
      <c r="P467">
        <v>9</v>
      </c>
      <c r="Q467">
        <v>0</v>
      </c>
      <c r="R467" t="s">
        <v>2467</v>
      </c>
      <c r="S467"/>
      <c r="T467" s="42" t="str">
        <f>HYPERLINK("https://eprel.ec.europa.eu/qr/2082512        ")</f>
        <v xml:space="preserve">https://eprel.ec.europa.eu/qr/2082512        </v>
      </c>
      <c r="U467">
        <v>1.63</v>
      </c>
      <c r="V467">
        <v>0</v>
      </c>
      <c r="W467">
        <v>0</v>
      </c>
      <c r="X467">
        <v>0</v>
      </c>
      <c r="Y467">
        <v>0</v>
      </c>
    </row>
    <row r="468" spans="1:25" ht="15" x14ac:dyDescent="0.25">
      <c r="A468" t="s">
        <v>22</v>
      </c>
      <c r="B468" t="s">
        <v>77</v>
      </c>
      <c r="C468" t="s">
        <v>59</v>
      </c>
      <c r="D468" t="s">
        <v>111</v>
      </c>
      <c r="E468" t="s">
        <v>14</v>
      </c>
      <c r="F468" t="s">
        <v>2081</v>
      </c>
      <c r="G468" t="s">
        <v>1390</v>
      </c>
      <c r="H468" t="s">
        <v>1</v>
      </c>
      <c r="I468">
        <v>174.74</v>
      </c>
      <c r="J468" s="41">
        <f>I468/'enter the discount'!$D$7</f>
        <v>40.901643181498997</v>
      </c>
      <c r="K468" s="41">
        <f>J468*(1-IFERROR(VLOOKUP(H468,'enter the discount'!$D$10:$E$40,2,FALSE),0))</f>
        <v>40.901643181498997</v>
      </c>
      <c r="L468" s="43" t="s">
        <v>2542</v>
      </c>
      <c r="M468" t="s">
        <v>1391</v>
      </c>
      <c r="N468" t="s">
        <v>932</v>
      </c>
      <c r="O468" t="s">
        <v>2723</v>
      </c>
      <c r="P468">
        <v>6</v>
      </c>
      <c r="Q468">
        <v>66</v>
      </c>
      <c r="R468" t="s">
        <v>2467</v>
      </c>
      <c r="S468" s="42" t="str">
        <f>HYPERLINK("https://sklep.kobi.pl/produkt/led-capri-pro-28w-60x60-ip44-4000k")</f>
        <v>https://sklep.kobi.pl/produkt/led-capri-pro-28w-60x60-ip44-4000k</v>
      </c>
      <c r="T468" s="42" t="str">
        <f>HYPERLINK("https://eprel.ec.europa.eu/qr/1668674        ")</f>
        <v xml:space="preserve">https://eprel.ec.europa.eu/qr/1668674        </v>
      </c>
      <c r="U468">
        <v>1.486</v>
      </c>
      <c r="V468">
        <v>0</v>
      </c>
      <c r="W468">
        <v>600</v>
      </c>
      <c r="X468">
        <v>600</v>
      </c>
      <c r="Y468">
        <v>35</v>
      </c>
    </row>
    <row r="469" spans="1:25" ht="15" x14ac:dyDescent="0.25">
      <c r="A469" t="s">
        <v>22</v>
      </c>
      <c r="B469" t="s">
        <v>77</v>
      </c>
      <c r="C469" t="s">
        <v>59</v>
      </c>
      <c r="D469" t="s">
        <v>111</v>
      </c>
      <c r="E469" t="s">
        <v>14</v>
      </c>
      <c r="F469" t="s">
        <v>2082</v>
      </c>
      <c r="G469" t="s">
        <v>1392</v>
      </c>
      <c r="H469" t="s">
        <v>1</v>
      </c>
      <c r="I469">
        <v>269.52999999999997</v>
      </c>
      <c r="J469" s="41">
        <f>I469/'enter the discount'!$D$7</f>
        <v>63.089274846683203</v>
      </c>
      <c r="K469" s="41">
        <f>J469*(1-IFERROR(VLOOKUP(H469,'enter the discount'!$D$10:$E$40,2,FALSE),0))</f>
        <v>63.089274846683203</v>
      </c>
      <c r="L469" s="43" t="s">
        <v>2542</v>
      </c>
      <c r="M469" t="s">
        <v>1393</v>
      </c>
      <c r="N469" t="s">
        <v>932</v>
      </c>
      <c r="O469" t="s">
        <v>2723</v>
      </c>
      <c r="P469">
        <v>6</v>
      </c>
      <c r="Q469">
        <v>66</v>
      </c>
      <c r="R469" t="s">
        <v>2467</v>
      </c>
      <c r="S469" s="42" t="str">
        <f>HYPERLINK("https://sklep.kobi.pl/produkt/led-capri-pro-36w-30x120-4000k-ugr19")</f>
        <v>https://sklep.kobi.pl/produkt/led-capri-pro-36w-30x120-4000k-ugr19</v>
      </c>
      <c r="T469" s="42" t="str">
        <f>HYPERLINK("https://eprel.ec.europa.eu/qr/1668645        ")</f>
        <v xml:space="preserve">https://eprel.ec.europa.eu/qr/1668645        </v>
      </c>
      <c r="U469">
        <v>1.58</v>
      </c>
      <c r="V469">
        <v>0</v>
      </c>
      <c r="W469">
        <v>600</v>
      </c>
      <c r="X469">
        <v>600</v>
      </c>
      <c r="Y469">
        <v>35</v>
      </c>
    </row>
    <row r="470" spans="1:25" ht="15" x14ac:dyDescent="0.25">
      <c r="A470" t="s">
        <v>22</v>
      </c>
      <c r="B470" t="s">
        <v>77</v>
      </c>
      <c r="C470" t="s">
        <v>59</v>
      </c>
      <c r="D470" t="s">
        <v>111</v>
      </c>
      <c r="E470" t="s">
        <v>14</v>
      </c>
      <c r="F470" t="s">
        <v>2083</v>
      </c>
      <c r="G470" t="s">
        <v>1394</v>
      </c>
      <c r="H470" t="s">
        <v>1</v>
      </c>
      <c r="I470">
        <v>188.03</v>
      </c>
      <c r="J470" s="41">
        <f>I470/'enter the discount'!$D$7</f>
        <v>44.012452600533685</v>
      </c>
      <c r="K470" s="41">
        <f>J470*(1-IFERROR(VLOOKUP(H470,'enter the discount'!$D$10:$E$40,2,FALSE),0))</f>
        <v>44.012452600533685</v>
      </c>
      <c r="L470" s="43" t="s">
        <v>2542</v>
      </c>
      <c r="M470" t="s">
        <v>1395</v>
      </c>
      <c r="N470" t="s">
        <v>932</v>
      </c>
      <c r="O470" t="s">
        <v>2723</v>
      </c>
      <c r="P470">
        <v>6</v>
      </c>
      <c r="Q470">
        <v>66</v>
      </c>
      <c r="R470" t="s">
        <v>2467</v>
      </c>
      <c r="S470" s="42" t="str">
        <f>HYPERLINK("https://sklep.kobi.pl/produkt/led-capri-pro-36w-60x60-4000k")</f>
        <v>https://sklep.kobi.pl/produkt/led-capri-pro-36w-60x60-4000k</v>
      </c>
      <c r="T470" s="42" t="str">
        <f>HYPERLINK("https://eprel.ec.europa.eu/qr/1668687        ")</f>
        <v xml:space="preserve">https://eprel.ec.europa.eu/qr/1668687        </v>
      </c>
      <c r="U470">
        <v>1.486</v>
      </c>
      <c r="V470">
        <v>0</v>
      </c>
      <c r="W470">
        <v>600</v>
      </c>
      <c r="X470">
        <v>600</v>
      </c>
      <c r="Y470">
        <v>35</v>
      </c>
    </row>
    <row r="471" spans="1:25" ht="15" x14ac:dyDescent="0.25">
      <c r="A471" t="s">
        <v>22</v>
      </c>
      <c r="B471" t="s">
        <v>77</v>
      </c>
      <c r="C471" t="s">
        <v>59</v>
      </c>
      <c r="D471" t="s">
        <v>111</v>
      </c>
      <c r="E471" t="s">
        <v>14</v>
      </c>
      <c r="F471" t="s">
        <v>2084</v>
      </c>
      <c r="G471" t="s">
        <v>1396</v>
      </c>
      <c r="H471" t="s">
        <v>1</v>
      </c>
      <c r="I471">
        <v>204.49</v>
      </c>
      <c r="J471" s="41">
        <f>I471/'enter the discount'!$D$7</f>
        <v>47.865268479940084</v>
      </c>
      <c r="K471" s="41">
        <f>J471*(1-IFERROR(VLOOKUP(H471,'enter the discount'!$D$10:$E$40,2,FALSE),0))</f>
        <v>47.865268479940084</v>
      </c>
      <c r="L471" s="43" t="s">
        <v>2542</v>
      </c>
      <c r="M471" t="s">
        <v>1397</v>
      </c>
      <c r="N471" t="s">
        <v>932</v>
      </c>
      <c r="O471" t="s">
        <v>2723</v>
      </c>
      <c r="P471">
        <v>6</v>
      </c>
      <c r="Q471">
        <v>66</v>
      </c>
      <c r="R471" t="s">
        <v>2467</v>
      </c>
      <c r="S471" s="42" t="str">
        <f>HYPERLINK("https://sklep.kobi.pl/produkt/led-capri-pro-36w-60x60-4000k-ugr19")</f>
        <v>https://sklep.kobi.pl/produkt/led-capri-pro-36w-60x60-4000k-ugr19</v>
      </c>
      <c r="T471" s="42" t="str">
        <f>HYPERLINK("https://eprel.ec.europa.eu/qr/1669412        ")</f>
        <v xml:space="preserve">https://eprel.ec.europa.eu/qr/1669412        </v>
      </c>
      <c r="U471">
        <v>1.58</v>
      </c>
      <c r="V471">
        <v>0</v>
      </c>
      <c r="W471">
        <v>600</v>
      </c>
      <c r="X471">
        <v>600</v>
      </c>
      <c r="Y471">
        <v>35</v>
      </c>
    </row>
    <row r="472" spans="1:25" ht="15" x14ac:dyDescent="0.25">
      <c r="A472" t="s">
        <v>22</v>
      </c>
      <c r="B472" t="s">
        <v>77</v>
      </c>
      <c r="C472" t="s">
        <v>59</v>
      </c>
      <c r="D472" t="s">
        <v>111</v>
      </c>
      <c r="E472" t="s">
        <v>14</v>
      </c>
      <c r="F472" t="s">
        <v>2085</v>
      </c>
      <c r="G472" t="s">
        <v>1398</v>
      </c>
      <c r="H472" t="s">
        <v>1</v>
      </c>
      <c r="I472">
        <v>345</v>
      </c>
      <c r="J472" s="41">
        <f>I472/'enter the discount'!$D$7</f>
        <v>80.754646318056274</v>
      </c>
      <c r="K472" s="41">
        <f>J472*(1-IFERROR(VLOOKUP(H472,'enter the discount'!$D$10:$E$40,2,FALSE),0))</f>
        <v>80.754646318056274</v>
      </c>
      <c r="L472" s="43" t="s">
        <v>2544</v>
      </c>
      <c r="M472" t="s">
        <v>1399</v>
      </c>
      <c r="N472" t="s">
        <v>932</v>
      </c>
      <c r="O472" t="s">
        <v>2723</v>
      </c>
      <c r="P472">
        <v>6</v>
      </c>
      <c r="Q472">
        <v>66</v>
      </c>
      <c r="R472" t="s">
        <v>2467</v>
      </c>
      <c r="S472" s="42" t="str">
        <f>HYPERLINK("https://sklep.kobi.pl/produkt/led-capri-pro-40w-60x60-ip65-4000k")</f>
        <v>https://sklep.kobi.pl/produkt/led-capri-pro-40w-60x60-ip65-4000k</v>
      </c>
      <c r="T472" s="42" t="str">
        <f>HYPERLINK("https://eprel.ec.europa.eu/qr/2049249        ")</f>
        <v xml:space="preserve">https://eprel.ec.europa.eu/qr/2049249        </v>
      </c>
      <c r="U472">
        <v>1.486</v>
      </c>
      <c r="V472">
        <v>0</v>
      </c>
      <c r="W472">
        <v>600</v>
      </c>
      <c r="X472">
        <v>600</v>
      </c>
      <c r="Y472">
        <v>35</v>
      </c>
    </row>
    <row r="473" spans="1:25" ht="15" x14ac:dyDescent="0.25">
      <c r="A473" t="s">
        <v>22</v>
      </c>
      <c r="B473" t="s">
        <v>77</v>
      </c>
      <c r="C473" t="s">
        <v>59</v>
      </c>
      <c r="D473" t="s">
        <v>111</v>
      </c>
      <c r="E473" t="s">
        <v>14</v>
      </c>
      <c r="F473" t="s">
        <v>2086</v>
      </c>
      <c r="G473" t="s">
        <v>1400</v>
      </c>
      <c r="H473" t="s">
        <v>1</v>
      </c>
      <c r="I473">
        <v>225.63</v>
      </c>
      <c r="J473" s="41">
        <f>I473/'enter the discount'!$D$7</f>
        <v>52.813538692008805</v>
      </c>
      <c r="K473" s="41">
        <f>J473*(1-IFERROR(VLOOKUP(H473,'enter the discount'!$D$10:$E$40,2,FALSE),0))</f>
        <v>52.813538692008805</v>
      </c>
      <c r="L473" s="43" t="s">
        <v>2542</v>
      </c>
      <c r="M473" t="s">
        <v>1401</v>
      </c>
      <c r="N473" t="s">
        <v>932</v>
      </c>
      <c r="O473" t="s">
        <v>2723</v>
      </c>
      <c r="P473">
        <v>6</v>
      </c>
      <c r="Q473">
        <v>66</v>
      </c>
      <c r="R473" t="s">
        <v>2467</v>
      </c>
      <c r="S473" s="42" t="str">
        <f>HYPERLINK("https://sklep.kobi.pl/produkt/led-capri-professional-50w-60x60-4000k")</f>
        <v>https://sklep.kobi.pl/produkt/led-capri-professional-50w-60x60-4000k</v>
      </c>
      <c r="T473" s="42" t="str">
        <f>HYPERLINK("https://eprel.ec.europa.eu/qr/1668538        ")</f>
        <v xml:space="preserve">https://eprel.ec.europa.eu/qr/1668538        </v>
      </c>
      <c r="U473">
        <v>1.486</v>
      </c>
      <c r="V473">
        <v>0</v>
      </c>
      <c r="W473">
        <v>600</v>
      </c>
      <c r="X473">
        <v>600</v>
      </c>
      <c r="Y473">
        <v>35</v>
      </c>
    </row>
    <row r="474" spans="1:25" ht="15" x14ac:dyDescent="0.25">
      <c r="A474" t="s">
        <v>22</v>
      </c>
      <c r="B474" t="s">
        <v>77</v>
      </c>
      <c r="C474" t="s">
        <v>59</v>
      </c>
      <c r="D474" t="s">
        <v>113</v>
      </c>
      <c r="E474" t="s">
        <v>14</v>
      </c>
      <c r="F474" t="s">
        <v>1639</v>
      </c>
      <c r="G474" t="s">
        <v>1640</v>
      </c>
      <c r="H474" t="s">
        <v>1</v>
      </c>
      <c r="I474">
        <v>181.04</v>
      </c>
      <c r="J474" s="41">
        <f>I474/'enter the discount'!$D$7</f>
        <v>42.376293244698282</v>
      </c>
      <c r="K474" s="41">
        <f>J474*(1-IFERROR(VLOOKUP(H474,'enter the discount'!$D$10:$E$40,2,FALSE),0))</f>
        <v>42.376293244698282</v>
      </c>
      <c r="L474" s="43" t="s">
        <v>2542</v>
      </c>
      <c r="M474" t="s">
        <v>1641</v>
      </c>
      <c r="N474" t="s">
        <v>932</v>
      </c>
      <c r="O474" t="s">
        <v>2723</v>
      </c>
      <c r="P474">
        <v>6</v>
      </c>
      <c r="Q474">
        <v>72</v>
      </c>
      <c r="R474" t="s">
        <v>2466</v>
      </c>
      <c r="S474" s="42" t="str">
        <f>HYPERLINK("https://sklep.kobi.pl/produkt/led-brisbane-36w-30x120-4000k-black-prem")</f>
        <v>https://sklep.kobi.pl/produkt/led-brisbane-36w-30x120-4000k-black-prem</v>
      </c>
      <c r="T474" s="42" t="str">
        <f>HYPERLINK("https://eprel.ec.europa.eu/qr/1974462        ")</f>
        <v xml:space="preserve">https://eprel.ec.europa.eu/qr/1974462        </v>
      </c>
      <c r="U474">
        <v>1.42</v>
      </c>
      <c r="V474">
        <v>0</v>
      </c>
      <c r="W474">
        <v>0</v>
      </c>
      <c r="X474">
        <v>0</v>
      </c>
      <c r="Y474">
        <v>0</v>
      </c>
    </row>
    <row r="475" spans="1:25" ht="15" x14ac:dyDescent="0.25">
      <c r="A475" t="s">
        <v>22</v>
      </c>
      <c r="B475" t="s">
        <v>77</v>
      </c>
      <c r="C475" t="s">
        <v>59</v>
      </c>
      <c r="D475" t="s">
        <v>113</v>
      </c>
      <c r="E475" t="s">
        <v>14</v>
      </c>
      <c r="F475" t="s">
        <v>1642</v>
      </c>
      <c r="G475" t="s">
        <v>1643</v>
      </c>
      <c r="H475" t="s">
        <v>1</v>
      </c>
      <c r="I475">
        <v>181.04</v>
      </c>
      <c r="J475" s="41">
        <f>I475/'enter the discount'!$D$7</f>
        <v>42.376293244698282</v>
      </c>
      <c r="K475" s="41">
        <f>J475*(1-IFERROR(VLOOKUP(H475,'enter the discount'!$D$10:$E$40,2,FALSE),0))</f>
        <v>42.376293244698282</v>
      </c>
      <c r="L475" s="43" t="s">
        <v>2542</v>
      </c>
      <c r="M475" t="s">
        <v>1644</v>
      </c>
      <c r="N475" t="s">
        <v>932</v>
      </c>
      <c r="O475" t="s">
        <v>2723</v>
      </c>
      <c r="P475">
        <v>6</v>
      </c>
      <c r="Q475">
        <v>72</v>
      </c>
      <c r="R475" t="s">
        <v>2466</v>
      </c>
      <c r="S475" s="42" t="str">
        <f>HYPERLINK("https://sklep.kobi.pl/produkt/led-brisbane-36w-30x120-4000k-white-prem")</f>
        <v>https://sklep.kobi.pl/produkt/led-brisbane-36w-30x120-4000k-white-prem</v>
      </c>
      <c r="T475" s="42" t="str">
        <f>HYPERLINK("https://eprel.ec.europa.eu/qr/1974462        ")</f>
        <v xml:space="preserve">https://eprel.ec.europa.eu/qr/1974462        </v>
      </c>
      <c r="U475">
        <v>1.42</v>
      </c>
      <c r="V475">
        <v>0</v>
      </c>
      <c r="W475">
        <v>0</v>
      </c>
      <c r="X475">
        <v>0</v>
      </c>
      <c r="Y475">
        <v>0</v>
      </c>
    </row>
    <row r="476" spans="1:25" ht="15" x14ac:dyDescent="0.25">
      <c r="A476" t="s">
        <v>22</v>
      </c>
      <c r="B476" t="s">
        <v>77</v>
      </c>
      <c r="C476" t="s">
        <v>59</v>
      </c>
      <c r="D476" t="s">
        <v>113</v>
      </c>
      <c r="E476" t="s">
        <v>14</v>
      </c>
      <c r="F476" t="s">
        <v>1645</v>
      </c>
      <c r="G476" t="s">
        <v>1646</v>
      </c>
      <c r="H476" t="s">
        <v>1</v>
      </c>
      <c r="I476">
        <v>155.24</v>
      </c>
      <c r="J476" s="41">
        <f>I476/'enter the discount'!$D$7</f>
        <v>36.337250128739292</v>
      </c>
      <c r="K476" s="41">
        <f>J476*(1-IFERROR(VLOOKUP(H476,'enter the discount'!$D$10:$E$40,2,FALSE),0))</f>
        <v>36.337250128739292</v>
      </c>
      <c r="L476" s="43" t="s">
        <v>2542</v>
      </c>
      <c r="M476" t="s">
        <v>1647</v>
      </c>
      <c r="N476" t="s">
        <v>932</v>
      </c>
      <c r="O476" t="s">
        <v>2723</v>
      </c>
      <c r="P476">
        <v>6</v>
      </c>
      <c r="Q476">
        <v>72</v>
      </c>
      <c r="R476" t="s">
        <v>2466</v>
      </c>
      <c r="S476" s="42" t="str">
        <f>HYPERLINK("https://sklep.kobi.pl/produkt/led-brisbane-36w-60x60-4000k-black-premi")</f>
        <v>https://sklep.kobi.pl/produkt/led-brisbane-36w-60x60-4000k-black-premi</v>
      </c>
      <c r="T476" s="42" t="str">
        <f>HYPERLINK("https://eprel.ec.europa.eu/qr/1974395        ")</f>
        <v xml:space="preserve">https://eprel.ec.europa.eu/qr/1974395        </v>
      </c>
      <c r="U476">
        <v>1.35</v>
      </c>
      <c r="V476">
        <v>0</v>
      </c>
      <c r="W476">
        <v>0</v>
      </c>
      <c r="X476">
        <v>0</v>
      </c>
      <c r="Y476">
        <v>0</v>
      </c>
    </row>
    <row r="477" spans="1:25" ht="15" x14ac:dyDescent="0.25">
      <c r="A477" t="s">
        <v>22</v>
      </c>
      <c r="B477" t="s">
        <v>77</v>
      </c>
      <c r="C477" t="s">
        <v>59</v>
      </c>
      <c r="D477" t="s">
        <v>113</v>
      </c>
      <c r="E477" t="s">
        <v>14</v>
      </c>
      <c r="F477" t="s">
        <v>1648</v>
      </c>
      <c r="G477" t="s">
        <v>1649</v>
      </c>
      <c r="H477" t="s">
        <v>1</v>
      </c>
      <c r="I477">
        <v>155.24</v>
      </c>
      <c r="J477" s="41">
        <f>I477/'enter the discount'!$D$7</f>
        <v>36.337250128739292</v>
      </c>
      <c r="K477" s="41">
        <f>J477*(1-IFERROR(VLOOKUP(H477,'enter the discount'!$D$10:$E$40,2,FALSE),0))</f>
        <v>36.337250128739292</v>
      </c>
      <c r="L477" s="43" t="s">
        <v>2542</v>
      </c>
      <c r="M477" t="s">
        <v>1650</v>
      </c>
      <c r="N477" t="s">
        <v>932</v>
      </c>
      <c r="O477" t="s">
        <v>2723</v>
      </c>
      <c r="P477">
        <v>6</v>
      </c>
      <c r="Q477">
        <v>72</v>
      </c>
      <c r="R477" t="s">
        <v>2466</v>
      </c>
      <c r="S477" s="42" t="str">
        <f>HYPERLINK("https://sklep.kobi.pl/produkt/led-brisbane-36w-60x60-4000k-white-premi")</f>
        <v>https://sklep.kobi.pl/produkt/led-brisbane-36w-60x60-4000k-white-premi</v>
      </c>
      <c r="T477" s="42" t="str">
        <f>HYPERLINK("https://eprel.ec.europa.eu/qr/1974395        ")</f>
        <v xml:space="preserve">https://eprel.ec.europa.eu/qr/1974395        </v>
      </c>
      <c r="U477">
        <v>1.35</v>
      </c>
      <c r="V477">
        <v>0</v>
      </c>
      <c r="W477">
        <v>0</v>
      </c>
      <c r="X477">
        <v>0</v>
      </c>
      <c r="Y477">
        <v>0</v>
      </c>
    </row>
    <row r="478" spans="1:25" ht="15" x14ac:dyDescent="0.25">
      <c r="A478" t="s">
        <v>22</v>
      </c>
      <c r="B478" t="s">
        <v>101</v>
      </c>
      <c r="C478" t="s">
        <v>59</v>
      </c>
      <c r="D478" t="s">
        <v>111</v>
      </c>
      <c r="E478" t="s">
        <v>2722</v>
      </c>
      <c r="F478" t="s">
        <v>330</v>
      </c>
      <c r="G478" t="s">
        <v>331</v>
      </c>
      <c r="H478" t="s">
        <v>1</v>
      </c>
      <c r="I478">
        <v>269.52999999999997</v>
      </c>
      <c r="J478" s="41">
        <f>I478/'enter the discount'!$D$7</f>
        <v>63.089274846683203</v>
      </c>
      <c r="K478" s="41">
        <f>J478*(1-IFERROR(VLOOKUP(H478,'enter the discount'!$D$10:$E$40,2,FALSE),0))</f>
        <v>63.089274846683203</v>
      </c>
      <c r="L478" s="43" t="s">
        <v>478</v>
      </c>
      <c r="M478" t="s">
        <v>694</v>
      </c>
      <c r="N478" t="s">
        <v>932</v>
      </c>
      <c r="O478" t="s">
        <v>2723</v>
      </c>
      <c r="P478">
        <v>6</v>
      </c>
      <c r="Q478">
        <v>72</v>
      </c>
      <c r="R478" t="s">
        <v>2467</v>
      </c>
      <c r="S478" s="42" t="str">
        <f>HYPERLINK("https://sklep.kobi.pl/produkt/led-capri-premium-40w120x30-4000k-ugr19")</f>
        <v>https://sklep.kobi.pl/produkt/led-capri-premium-40w120x30-4000k-ugr19</v>
      </c>
      <c r="T478" t="s">
        <v>14</v>
      </c>
      <c r="U478">
        <v>1.58</v>
      </c>
      <c r="V478">
        <v>1.7</v>
      </c>
      <c r="W478">
        <v>1200</v>
      </c>
      <c r="X478">
        <v>300</v>
      </c>
      <c r="Y478">
        <v>35</v>
      </c>
    </row>
    <row r="479" spans="1:25" ht="15" x14ac:dyDescent="0.25">
      <c r="A479" t="s">
        <v>22</v>
      </c>
      <c r="B479" t="s">
        <v>58</v>
      </c>
      <c r="C479" t="s">
        <v>59</v>
      </c>
      <c r="D479" t="s">
        <v>113</v>
      </c>
      <c r="E479" t="s">
        <v>14</v>
      </c>
      <c r="F479" t="s">
        <v>2087</v>
      </c>
      <c r="G479" t="s">
        <v>332</v>
      </c>
      <c r="H479" t="s">
        <v>1</v>
      </c>
      <c r="I479">
        <v>62.94</v>
      </c>
      <c r="J479" s="41">
        <f>I479/'enter the discount'!$D$7</f>
        <v>14.732456345676701</v>
      </c>
      <c r="K479" s="41">
        <f>J479*(1-IFERROR(VLOOKUP(H479,'enter the discount'!$D$10:$E$40,2,FALSE),0))</f>
        <v>14.732456345676701</v>
      </c>
      <c r="L479" s="43" t="s">
        <v>858</v>
      </c>
      <c r="M479" t="s">
        <v>695</v>
      </c>
      <c r="N479" t="s">
        <v>936</v>
      </c>
      <c r="O479" t="s">
        <v>2723</v>
      </c>
      <c r="P479">
        <v>20</v>
      </c>
      <c r="Q479">
        <v>520</v>
      </c>
      <c r="R479" t="s">
        <v>2466</v>
      </c>
      <c r="S479" s="42" t="str">
        <f>HYPERLINK("https://sklep.kobi.pl/produkt/led-sigaro-circle-18w-4000k-premium")</f>
        <v>https://sklep.kobi.pl/produkt/led-sigaro-circle-18w-4000k-premium</v>
      </c>
      <c r="T479" s="42" t="str">
        <f>HYPERLINK("https://eprel.ec.europa.eu/qr/850585         ")</f>
        <v xml:space="preserve">https://eprel.ec.europa.eu/qr/850585         </v>
      </c>
      <c r="U479">
        <v>0.26500000000000001</v>
      </c>
      <c r="V479">
        <v>0.93300000000000005</v>
      </c>
      <c r="W479">
        <v>230</v>
      </c>
      <c r="X479">
        <v>230</v>
      </c>
      <c r="Y479">
        <v>35</v>
      </c>
    </row>
    <row r="480" spans="1:25" ht="15" x14ac:dyDescent="0.25">
      <c r="A480" t="s">
        <v>22</v>
      </c>
      <c r="B480" t="s">
        <v>58</v>
      </c>
      <c r="C480" t="s">
        <v>59</v>
      </c>
      <c r="D480" t="s">
        <v>113</v>
      </c>
      <c r="E480" t="s">
        <v>14</v>
      </c>
      <c r="F480" t="s">
        <v>2088</v>
      </c>
      <c r="G480" t="s">
        <v>333</v>
      </c>
      <c r="H480" t="s">
        <v>1</v>
      </c>
      <c r="I480">
        <v>76.25</v>
      </c>
      <c r="J480" s="41">
        <f>I480/'enter the discount'!$D$7</f>
        <v>17.847947193483453</v>
      </c>
      <c r="K480" s="41">
        <f>J480*(1-IFERROR(VLOOKUP(H480,'enter the discount'!$D$10:$E$40,2,FALSE),0))</f>
        <v>17.847947193483453</v>
      </c>
      <c r="L480" s="43" t="s">
        <v>858</v>
      </c>
      <c r="M480" t="s">
        <v>696</v>
      </c>
      <c r="N480" t="s">
        <v>936</v>
      </c>
      <c r="O480" t="s">
        <v>2723</v>
      </c>
      <c r="P480">
        <v>20</v>
      </c>
      <c r="Q480">
        <v>520</v>
      </c>
      <c r="R480" t="s">
        <v>2466</v>
      </c>
      <c r="S480" s="42" t="str">
        <f>HYPERLINK("https://sklep.kobi.pl/produkt/led-sigaro-circle-24w-4000k-premium")</f>
        <v>https://sklep.kobi.pl/produkt/led-sigaro-circle-24w-4000k-premium</v>
      </c>
      <c r="T480" s="42" t="str">
        <f>HYPERLINK("https://eprel.ec.europa.eu/qr/850598         ")</f>
        <v xml:space="preserve">https://eprel.ec.europa.eu/qr/850598         </v>
      </c>
      <c r="U480">
        <v>0.3</v>
      </c>
      <c r="V480">
        <v>0.374</v>
      </c>
      <c r="W480">
        <v>230</v>
      </c>
      <c r="X480">
        <v>230</v>
      </c>
      <c r="Y480">
        <v>35</v>
      </c>
    </row>
    <row r="481" spans="1:25" ht="15" x14ac:dyDescent="0.25">
      <c r="A481" t="s">
        <v>22</v>
      </c>
      <c r="B481" t="s">
        <v>58</v>
      </c>
      <c r="C481" t="s">
        <v>59</v>
      </c>
      <c r="D481" t="s">
        <v>113</v>
      </c>
      <c r="E481" t="s">
        <v>14</v>
      </c>
      <c r="F481" t="s">
        <v>2089</v>
      </c>
      <c r="G481" t="s">
        <v>334</v>
      </c>
      <c r="H481" t="s">
        <v>1</v>
      </c>
      <c r="I481">
        <v>67.75</v>
      </c>
      <c r="J481" s="41">
        <f>I481/'enter the discount'!$D$7</f>
        <v>15.858339965357429</v>
      </c>
      <c r="K481" s="41">
        <f>J481*(1-IFERROR(VLOOKUP(H481,'enter the discount'!$D$10:$E$40,2,FALSE),0))</f>
        <v>15.858339965357429</v>
      </c>
      <c r="L481" s="43" t="s">
        <v>858</v>
      </c>
      <c r="M481" t="s">
        <v>697</v>
      </c>
      <c r="N481" t="s">
        <v>936</v>
      </c>
      <c r="O481" t="s">
        <v>2723</v>
      </c>
      <c r="P481">
        <v>20</v>
      </c>
      <c r="Q481">
        <v>520</v>
      </c>
      <c r="R481" t="s">
        <v>2466</v>
      </c>
      <c r="S481" s="42" t="str">
        <f>HYPERLINK("https://sklep.kobi.pl/produkt/led-sigaro-square-18w-4000k-premium")</f>
        <v>https://sklep.kobi.pl/produkt/led-sigaro-square-18w-4000k-premium</v>
      </c>
      <c r="T481" s="42" t="str">
        <f>HYPERLINK("https://eprel.ec.europa.eu/qr/850607         ")</f>
        <v xml:space="preserve">https://eprel.ec.europa.eu/qr/850607         </v>
      </c>
      <c r="U481">
        <v>0.28699999999999998</v>
      </c>
      <c r="V481">
        <v>0.37</v>
      </c>
      <c r="W481">
        <v>230</v>
      </c>
      <c r="X481">
        <v>230</v>
      </c>
      <c r="Y481">
        <v>35</v>
      </c>
    </row>
    <row r="482" spans="1:25" ht="15" x14ac:dyDescent="0.25">
      <c r="A482" t="s">
        <v>22</v>
      </c>
      <c r="B482" t="s">
        <v>58</v>
      </c>
      <c r="C482" t="s">
        <v>59</v>
      </c>
      <c r="D482" t="s">
        <v>113</v>
      </c>
      <c r="E482" t="s">
        <v>14</v>
      </c>
      <c r="F482" t="s">
        <v>2090</v>
      </c>
      <c r="G482" t="s">
        <v>335</v>
      </c>
      <c r="H482" t="s">
        <v>1</v>
      </c>
      <c r="I482">
        <v>83.11</v>
      </c>
      <c r="J482" s="41">
        <f>I482/'enter the discount'!$D$7</f>
        <v>19.453677262300456</v>
      </c>
      <c r="K482" s="41">
        <f>J482*(1-IFERROR(VLOOKUP(H482,'enter the discount'!$D$10:$E$40,2,FALSE),0))</f>
        <v>19.453677262300456</v>
      </c>
      <c r="L482" s="43" t="s">
        <v>858</v>
      </c>
      <c r="M482" t="s">
        <v>698</v>
      </c>
      <c r="N482" t="s">
        <v>936</v>
      </c>
      <c r="O482" t="s">
        <v>2723</v>
      </c>
      <c r="P482">
        <v>20</v>
      </c>
      <c r="Q482">
        <v>520</v>
      </c>
      <c r="R482" t="s">
        <v>2466</v>
      </c>
      <c r="S482" s="42" t="str">
        <f>HYPERLINK("https://sklep.kobi.pl/produkt/led-sigaro-square-24w-4000k-premium")</f>
        <v>https://sklep.kobi.pl/produkt/led-sigaro-square-24w-4000k-premium</v>
      </c>
      <c r="T482" s="42" t="str">
        <f>HYPERLINK("https://eprel.ec.europa.eu/qr/850609         ")</f>
        <v xml:space="preserve">https://eprel.ec.europa.eu/qr/850609         </v>
      </c>
      <c r="U482">
        <v>0.32400000000000001</v>
      </c>
      <c r="V482">
        <v>0.40200000000000002</v>
      </c>
      <c r="W482">
        <v>230</v>
      </c>
      <c r="X482">
        <v>230</v>
      </c>
      <c r="Y482">
        <v>30</v>
      </c>
    </row>
    <row r="483" spans="1:25" ht="15" x14ac:dyDescent="0.25">
      <c r="A483" t="s">
        <v>22</v>
      </c>
      <c r="B483" t="s">
        <v>58</v>
      </c>
      <c r="C483" t="s">
        <v>59</v>
      </c>
      <c r="D483" t="s">
        <v>113</v>
      </c>
      <c r="E483" t="s">
        <v>2722</v>
      </c>
      <c r="F483" t="s">
        <v>2091</v>
      </c>
      <c r="G483" t="s">
        <v>336</v>
      </c>
      <c r="H483" t="s">
        <v>1</v>
      </c>
      <c r="I483">
        <v>135</v>
      </c>
      <c r="J483" s="41">
        <f>I483/'enter the discount'!$D$7</f>
        <v>31.599644211413324</v>
      </c>
      <c r="K483" s="41">
        <f>J483*(1-IFERROR(VLOOKUP(H483,'enter the discount'!$D$10:$E$40,2,FALSE),0))</f>
        <v>31.599644211413324</v>
      </c>
      <c r="L483" s="43" t="s">
        <v>2540</v>
      </c>
      <c r="M483" t="s">
        <v>700</v>
      </c>
      <c r="N483" t="s">
        <v>931</v>
      </c>
      <c r="O483" t="s">
        <v>2723</v>
      </c>
      <c r="P483">
        <v>5</v>
      </c>
      <c r="Q483">
        <v>125</v>
      </c>
      <c r="R483" t="s">
        <v>2466</v>
      </c>
      <c r="S483"/>
      <c r="T483" s="42" t="str">
        <f>HYPERLINK("https://eprel.ec.europa.eu/qr/862777         ")</f>
        <v xml:space="preserve">https://eprel.ec.europa.eu/qr/862777         </v>
      </c>
      <c r="U483">
        <v>0.44700000000000001</v>
      </c>
      <c r="V483">
        <v>0.69499999999999995</v>
      </c>
      <c r="W483">
        <v>310</v>
      </c>
      <c r="X483">
        <v>310</v>
      </c>
      <c r="Y483">
        <v>90</v>
      </c>
    </row>
    <row r="484" spans="1:25" ht="15" x14ac:dyDescent="0.25">
      <c r="A484" t="s">
        <v>22</v>
      </c>
      <c r="B484" t="s">
        <v>58</v>
      </c>
      <c r="C484" t="s">
        <v>59</v>
      </c>
      <c r="D484" t="s">
        <v>113</v>
      </c>
      <c r="E484" t="s">
        <v>2722</v>
      </c>
      <c r="F484" t="s">
        <v>2092</v>
      </c>
      <c r="G484" t="s">
        <v>337</v>
      </c>
      <c r="H484" t="s">
        <v>1</v>
      </c>
      <c r="I484">
        <v>181</v>
      </c>
      <c r="J484" s="41">
        <f>I484/'enter the discount'!$D$7</f>
        <v>42.366930387154163</v>
      </c>
      <c r="K484" s="41">
        <f>J484*(1-IFERROR(VLOOKUP(H484,'enter the discount'!$D$10:$E$40,2,FALSE),0))</f>
        <v>42.366930387154163</v>
      </c>
      <c r="L484" s="43" t="s">
        <v>2540</v>
      </c>
      <c r="M484" t="s">
        <v>701</v>
      </c>
      <c r="N484" t="s">
        <v>931</v>
      </c>
      <c r="O484" t="s">
        <v>2723</v>
      </c>
      <c r="P484">
        <v>5</v>
      </c>
      <c r="Q484">
        <v>80</v>
      </c>
      <c r="R484" t="s">
        <v>2466</v>
      </c>
      <c r="S484"/>
      <c r="T484" s="42" t="str">
        <f>HYPERLINK("https://eprel.ec.europa.eu/qr/862783         ")</f>
        <v xml:space="preserve">https://eprel.ec.europa.eu/qr/862783         </v>
      </c>
      <c r="U484">
        <v>0.621</v>
      </c>
      <c r="V484">
        <v>0.94499999999999995</v>
      </c>
      <c r="W484">
        <v>360</v>
      </c>
      <c r="X484">
        <v>360</v>
      </c>
      <c r="Y484">
        <v>90</v>
      </c>
    </row>
    <row r="485" spans="1:25" ht="15" x14ac:dyDescent="0.25">
      <c r="A485" t="s">
        <v>22</v>
      </c>
      <c r="B485" t="s">
        <v>58</v>
      </c>
      <c r="C485" t="s">
        <v>59</v>
      </c>
      <c r="D485" t="s">
        <v>113</v>
      </c>
      <c r="E485" t="s">
        <v>14</v>
      </c>
      <c r="F485" t="s">
        <v>2093</v>
      </c>
      <c r="G485" t="s">
        <v>1457</v>
      </c>
      <c r="H485" t="s">
        <v>1</v>
      </c>
      <c r="I485">
        <v>70</v>
      </c>
      <c r="J485" s="41">
        <f>I485/'enter the discount'!$D$7</f>
        <v>16.385000702214317</v>
      </c>
      <c r="K485" s="41">
        <f>J485*(1-IFERROR(VLOOKUP(H485,'enter the discount'!$D$10:$E$40,2,FALSE),0))</f>
        <v>16.385000702214317</v>
      </c>
      <c r="L485" s="43" t="s">
        <v>858</v>
      </c>
      <c r="M485" t="s">
        <v>1458</v>
      </c>
      <c r="N485" t="s">
        <v>931</v>
      </c>
      <c r="O485" t="s">
        <v>2723</v>
      </c>
      <c r="P485">
        <v>20</v>
      </c>
      <c r="Q485">
        <v>0</v>
      </c>
      <c r="R485" t="s">
        <v>2466</v>
      </c>
      <c r="S485" s="42" t="str">
        <f>HYPERLINK("https://sklep.kobi.pl/produkt/led-nairos-12w-cct-bialy-premium")</f>
        <v>https://sklep.kobi.pl/produkt/led-nairos-12w-cct-bialy-premium</v>
      </c>
      <c r="T485" s="42" t="str">
        <f>HYPERLINK("https://eprel.ec.europa.eu/qr/1787573        ")</f>
        <v xml:space="preserve">https://eprel.ec.europa.eu/qr/1787573        </v>
      </c>
      <c r="U485">
        <v>0.4</v>
      </c>
      <c r="V485">
        <v>0</v>
      </c>
      <c r="W485">
        <v>0</v>
      </c>
      <c r="X485">
        <v>0</v>
      </c>
      <c r="Y485">
        <v>0</v>
      </c>
    </row>
    <row r="486" spans="1:25" ht="15" x14ac:dyDescent="0.25">
      <c r="A486" t="s">
        <v>22</v>
      </c>
      <c r="B486" t="s">
        <v>58</v>
      </c>
      <c r="C486" t="s">
        <v>59</v>
      </c>
      <c r="D486" t="s">
        <v>113</v>
      </c>
      <c r="E486" t="s">
        <v>14</v>
      </c>
      <c r="F486" t="s">
        <v>2094</v>
      </c>
      <c r="G486" t="s">
        <v>1459</v>
      </c>
      <c r="H486" t="s">
        <v>1</v>
      </c>
      <c r="I486">
        <v>70</v>
      </c>
      <c r="J486" s="41">
        <f>I486/'enter the discount'!$D$7</f>
        <v>16.385000702214317</v>
      </c>
      <c r="K486" s="41">
        <f>J486*(1-IFERROR(VLOOKUP(H486,'enter the discount'!$D$10:$E$40,2,FALSE),0))</f>
        <v>16.385000702214317</v>
      </c>
      <c r="L486" s="43" t="s">
        <v>858</v>
      </c>
      <c r="M486" t="s">
        <v>1460</v>
      </c>
      <c r="N486" t="s">
        <v>931</v>
      </c>
      <c r="O486" t="s">
        <v>2723</v>
      </c>
      <c r="P486">
        <v>20</v>
      </c>
      <c r="Q486">
        <v>0</v>
      </c>
      <c r="R486" t="s">
        <v>2466</v>
      </c>
      <c r="S486"/>
      <c r="T486" s="42" t="str">
        <f>HYPERLINK("https://eprel.ec.europa.eu/qr/1787673        ")</f>
        <v xml:space="preserve">https://eprel.ec.europa.eu/qr/1787673        </v>
      </c>
      <c r="U486">
        <v>0.4</v>
      </c>
      <c r="V486">
        <v>0</v>
      </c>
      <c r="W486">
        <v>0</v>
      </c>
      <c r="X486">
        <v>0</v>
      </c>
      <c r="Y486">
        <v>0</v>
      </c>
    </row>
    <row r="487" spans="1:25" ht="15" x14ac:dyDescent="0.25">
      <c r="A487" t="s">
        <v>22</v>
      </c>
      <c r="B487" t="s">
        <v>58</v>
      </c>
      <c r="C487" t="s">
        <v>59</v>
      </c>
      <c r="D487" t="s">
        <v>113</v>
      </c>
      <c r="E487" t="s">
        <v>14</v>
      </c>
      <c r="F487" t="s">
        <v>2095</v>
      </c>
      <c r="G487" t="s">
        <v>1461</v>
      </c>
      <c r="H487" t="s">
        <v>1</v>
      </c>
      <c r="I487">
        <v>115</v>
      </c>
      <c r="J487" s="41">
        <f>I487/'enter the discount'!$D$7</f>
        <v>26.918215439352092</v>
      </c>
      <c r="K487" s="41">
        <f>J487*(1-IFERROR(VLOOKUP(H487,'enter the discount'!$D$10:$E$40,2,FALSE),0))</f>
        <v>26.918215439352092</v>
      </c>
      <c r="L487" s="43" t="s">
        <v>858</v>
      </c>
      <c r="M487" t="s">
        <v>1462</v>
      </c>
      <c r="N487" t="s">
        <v>931</v>
      </c>
      <c r="O487" t="s">
        <v>2723</v>
      </c>
      <c r="P487">
        <v>10</v>
      </c>
      <c r="Q487">
        <v>0</v>
      </c>
      <c r="R487" t="s">
        <v>2466</v>
      </c>
      <c r="S487" s="42" t="str">
        <f>HYPERLINK("https://sklep.kobi.pl/produkt/led-nairos-18w-cct-bialy-premium")</f>
        <v>https://sklep.kobi.pl/produkt/led-nairos-18w-cct-bialy-premium</v>
      </c>
      <c r="T487" s="42" t="str">
        <f>HYPERLINK("https://eprel.ec.europa.eu/qr/1787682        ")</f>
        <v xml:space="preserve">https://eprel.ec.europa.eu/qr/1787682        </v>
      </c>
      <c r="U487">
        <v>0.7</v>
      </c>
      <c r="V487">
        <v>0</v>
      </c>
      <c r="W487">
        <v>0</v>
      </c>
      <c r="X487">
        <v>0</v>
      </c>
      <c r="Y487">
        <v>0</v>
      </c>
    </row>
    <row r="488" spans="1:25" ht="15" x14ac:dyDescent="0.25">
      <c r="A488" t="s">
        <v>22</v>
      </c>
      <c r="B488" t="s">
        <v>58</v>
      </c>
      <c r="C488" t="s">
        <v>59</v>
      </c>
      <c r="D488" t="s">
        <v>113</v>
      </c>
      <c r="E488" t="s">
        <v>14</v>
      </c>
      <c r="F488" t="s">
        <v>2096</v>
      </c>
      <c r="G488" t="s">
        <v>1463</v>
      </c>
      <c r="H488" t="s">
        <v>1</v>
      </c>
      <c r="I488">
        <v>115</v>
      </c>
      <c r="J488" s="41">
        <f>I488/'enter the discount'!$D$7</f>
        <v>26.918215439352092</v>
      </c>
      <c r="K488" s="41">
        <f>J488*(1-IFERROR(VLOOKUP(H488,'enter the discount'!$D$10:$E$40,2,FALSE),0))</f>
        <v>26.918215439352092</v>
      </c>
      <c r="L488" s="43" t="s">
        <v>858</v>
      </c>
      <c r="M488" t="s">
        <v>1464</v>
      </c>
      <c r="N488" t="s">
        <v>931</v>
      </c>
      <c r="O488" t="s">
        <v>2723</v>
      </c>
      <c r="P488">
        <v>10</v>
      </c>
      <c r="Q488">
        <v>0</v>
      </c>
      <c r="R488" t="s">
        <v>2466</v>
      </c>
      <c r="S488"/>
      <c r="T488" s="42" t="str">
        <f>HYPERLINK("https://eprel.ec.europa.eu/qr/1787685        ")</f>
        <v xml:space="preserve">https://eprel.ec.europa.eu/qr/1787685        </v>
      </c>
      <c r="U488">
        <v>0.7</v>
      </c>
      <c r="V488">
        <v>0</v>
      </c>
      <c r="W488">
        <v>0</v>
      </c>
      <c r="X488">
        <v>0</v>
      </c>
      <c r="Y488">
        <v>0</v>
      </c>
    </row>
    <row r="489" spans="1:25" ht="15" x14ac:dyDescent="0.25">
      <c r="A489" t="s">
        <v>22</v>
      </c>
      <c r="B489" t="s">
        <v>58</v>
      </c>
      <c r="C489" t="s">
        <v>59</v>
      </c>
      <c r="D489" t="s">
        <v>113</v>
      </c>
      <c r="E489" t="s">
        <v>14</v>
      </c>
      <c r="F489" t="s">
        <v>2097</v>
      </c>
      <c r="G489" t="s">
        <v>1465</v>
      </c>
      <c r="H489" t="s">
        <v>1</v>
      </c>
      <c r="I489">
        <v>134</v>
      </c>
      <c r="J489" s="41">
        <f>I489/'enter the discount'!$D$7</f>
        <v>31.365572772810264</v>
      </c>
      <c r="K489" s="41">
        <f>J489*(1-IFERROR(VLOOKUP(H489,'enter the discount'!$D$10:$E$40,2,FALSE),0))</f>
        <v>31.365572772810264</v>
      </c>
      <c r="L489" s="43" t="s">
        <v>858</v>
      </c>
      <c r="M489" t="s">
        <v>1466</v>
      </c>
      <c r="N489" t="s">
        <v>931</v>
      </c>
      <c r="O489" t="s">
        <v>2723</v>
      </c>
      <c r="P489">
        <v>10</v>
      </c>
      <c r="Q489">
        <v>0</v>
      </c>
      <c r="R489" t="s">
        <v>2466</v>
      </c>
      <c r="S489"/>
      <c r="T489" s="42" t="str">
        <f>HYPERLINK("https://eprel.ec.europa.eu/qr/1787703        ")</f>
        <v xml:space="preserve">https://eprel.ec.europa.eu/qr/1787703        </v>
      </c>
      <c r="U489">
        <v>0.7</v>
      </c>
      <c r="V489">
        <v>0</v>
      </c>
      <c r="W489">
        <v>0</v>
      </c>
      <c r="X489">
        <v>0</v>
      </c>
      <c r="Y489">
        <v>0</v>
      </c>
    </row>
    <row r="490" spans="1:25" ht="15" x14ac:dyDescent="0.25">
      <c r="A490" t="s">
        <v>22</v>
      </c>
      <c r="B490" t="s">
        <v>58</v>
      </c>
      <c r="C490" t="s">
        <v>59</v>
      </c>
      <c r="D490" t="s">
        <v>113</v>
      </c>
      <c r="E490" t="s">
        <v>14</v>
      </c>
      <c r="F490" t="s">
        <v>2098</v>
      </c>
      <c r="G490" t="s">
        <v>1467</v>
      </c>
      <c r="H490" t="s">
        <v>1</v>
      </c>
      <c r="I490">
        <v>214</v>
      </c>
      <c r="J490" s="41">
        <f>I490/'enter the discount'!$D$7</f>
        <v>50.0912878610552</v>
      </c>
      <c r="K490" s="41">
        <f>J490*(1-IFERROR(VLOOKUP(H490,'enter the discount'!$D$10:$E$40,2,FALSE),0))</f>
        <v>50.0912878610552</v>
      </c>
      <c r="L490" s="43" t="s">
        <v>858</v>
      </c>
      <c r="M490" t="s">
        <v>1468</v>
      </c>
      <c r="N490" t="s">
        <v>931</v>
      </c>
      <c r="O490" t="s">
        <v>2723</v>
      </c>
      <c r="P490">
        <v>10</v>
      </c>
      <c r="Q490">
        <v>0</v>
      </c>
      <c r="R490" t="s">
        <v>2466</v>
      </c>
      <c r="S490"/>
      <c r="T490" s="42" t="str">
        <f>HYPERLINK("https://eprel.ec.europa.eu/qr/1787728        ")</f>
        <v xml:space="preserve">https://eprel.ec.europa.eu/qr/1787728        </v>
      </c>
      <c r="U490">
        <v>1.2</v>
      </c>
      <c r="V490">
        <v>0</v>
      </c>
      <c r="W490">
        <v>0</v>
      </c>
      <c r="X490">
        <v>0</v>
      </c>
      <c r="Y490">
        <v>0</v>
      </c>
    </row>
    <row r="491" spans="1:25" ht="15" x14ac:dyDescent="0.25">
      <c r="A491" t="s">
        <v>22</v>
      </c>
      <c r="B491" t="s">
        <v>58</v>
      </c>
      <c r="C491" t="s">
        <v>59</v>
      </c>
      <c r="D491" t="s">
        <v>113</v>
      </c>
      <c r="E491" t="s">
        <v>2721</v>
      </c>
      <c r="F491" t="s">
        <v>2553</v>
      </c>
      <c r="G491" t="s">
        <v>2554</v>
      </c>
      <c r="H491" t="s">
        <v>1</v>
      </c>
      <c r="I491">
        <v>80</v>
      </c>
      <c r="J491" s="41">
        <f>I491/'enter the discount'!$D$7</f>
        <v>18.725715088244932</v>
      </c>
      <c r="K491" s="41">
        <f>J491*(1-IFERROR(VLOOKUP(H491,'enter the discount'!$D$10:$E$40,2,FALSE),0))</f>
        <v>18.725715088244932</v>
      </c>
      <c r="L491" s="43" t="s">
        <v>2542</v>
      </c>
      <c r="M491" t="s">
        <v>2635</v>
      </c>
      <c r="N491" t="s">
        <v>931</v>
      </c>
      <c r="O491" t="s">
        <v>2723</v>
      </c>
      <c r="P491">
        <v>20</v>
      </c>
      <c r="Q491">
        <v>0</v>
      </c>
      <c r="R491" t="s">
        <v>2466</v>
      </c>
      <c r="S491" s="42" t="str">
        <f>HYPERLINK("https://sklep.kobi.pl/produkt/led-nairos-g2-12w-3cct-bialy-premium")</f>
        <v>https://sklep.kobi.pl/produkt/led-nairos-g2-12w-3cct-bialy-premium</v>
      </c>
      <c r="T491" s="42" t="str">
        <f>HYPERLINK("https://eprel.ec.europa.eu/qr/2056899        ")</f>
        <v xml:space="preserve">https://eprel.ec.europa.eu/qr/2056899        </v>
      </c>
      <c r="U491">
        <v>0.4</v>
      </c>
      <c r="V491">
        <v>0</v>
      </c>
      <c r="W491">
        <v>0</v>
      </c>
      <c r="X491">
        <v>0</v>
      </c>
      <c r="Y491">
        <v>0</v>
      </c>
    </row>
    <row r="492" spans="1:25" ht="15" x14ac:dyDescent="0.25">
      <c r="A492" t="s">
        <v>22</v>
      </c>
      <c r="B492" t="s">
        <v>58</v>
      </c>
      <c r="C492" t="s">
        <v>59</v>
      </c>
      <c r="D492" t="s">
        <v>113</v>
      </c>
      <c r="E492" t="s">
        <v>2721</v>
      </c>
      <c r="F492" t="s">
        <v>2555</v>
      </c>
      <c r="G492" t="s">
        <v>2556</v>
      </c>
      <c r="H492" t="s">
        <v>1</v>
      </c>
      <c r="I492">
        <v>80</v>
      </c>
      <c r="J492" s="41">
        <f>I492/'enter the discount'!$D$7</f>
        <v>18.725715088244932</v>
      </c>
      <c r="K492" s="41">
        <f>J492*(1-IFERROR(VLOOKUP(H492,'enter the discount'!$D$10:$E$40,2,FALSE),0))</f>
        <v>18.725715088244932</v>
      </c>
      <c r="L492" s="43" t="s">
        <v>2542</v>
      </c>
      <c r="M492" t="s">
        <v>2636</v>
      </c>
      <c r="N492" t="s">
        <v>931</v>
      </c>
      <c r="O492" t="s">
        <v>2723</v>
      </c>
      <c r="P492">
        <v>20</v>
      </c>
      <c r="Q492">
        <v>0</v>
      </c>
      <c r="R492" t="s">
        <v>2466</v>
      </c>
      <c r="S492" s="42" t="str">
        <f>HYPERLINK("https://sklep.kobi.pl/produkt/led-nairos-g2-12w-3cct-czarny-premium")</f>
        <v>https://sklep.kobi.pl/produkt/led-nairos-g2-12w-3cct-czarny-premium</v>
      </c>
      <c r="T492" s="42" t="str">
        <f>HYPERLINK("https://eprel.ec.europa.eu/qr/2056899        ")</f>
        <v xml:space="preserve">https://eprel.ec.europa.eu/qr/2056899        </v>
      </c>
      <c r="U492">
        <v>0.4</v>
      </c>
      <c r="V492">
        <v>0</v>
      </c>
      <c r="W492">
        <v>0</v>
      </c>
      <c r="X492">
        <v>0</v>
      </c>
      <c r="Y492">
        <v>0</v>
      </c>
    </row>
    <row r="493" spans="1:25" ht="15" x14ac:dyDescent="0.25">
      <c r="A493" t="s">
        <v>22</v>
      </c>
      <c r="B493" t="s">
        <v>58</v>
      </c>
      <c r="C493" t="s">
        <v>59</v>
      </c>
      <c r="D493" t="s">
        <v>113</v>
      </c>
      <c r="E493" t="s">
        <v>2721</v>
      </c>
      <c r="F493" t="s">
        <v>2557</v>
      </c>
      <c r="G493" t="s">
        <v>2558</v>
      </c>
      <c r="H493" t="s">
        <v>1</v>
      </c>
      <c r="I493">
        <v>125</v>
      </c>
      <c r="J493" s="41">
        <f>I493/'enter the discount'!$D$7</f>
        <v>29.258929825382708</v>
      </c>
      <c r="K493" s="41">
        <f>J493*(1-IFERROR(VLOOKUP(H493,'enter the discount'!$D$10:$E$40,2,FALSE),0))</f>
        <v>29.258929825382708</v>
      </c>
      <c r="L493" s="43" t="s">
        <v>2542</v>
      </c>
      <c r="M493" t="s">
        <v>2637</v>
      </c>
      <c r="N493" t="s">
        <v>931</v>
      </c>
      <c r="O493" t="s">
        <v>2723</v>
      </c>
      <c r="P493">
        <v>10</v>
      </c>
      <c r="Q493">
        <v>0</v>
      </c>
      <c r="R493" t="s">
        <v>2466</v>
      </c>
      <c r="S493" s="42" t="str">
        <f>HYPERLINK("https://sklep.kobi.pl/produkt/led-nairos-g2-18w-3cct-bialy-premium")</f>
        <v>https://sklep.kobi.pl/produkt/led-nairos-g2-18w-3cct-bialy-premium</v>
      </c>
      <c r="T493" s="42" t="str">
        <f>HYPERLINK("https://eprel.ec.europa.eu/qr/2058716        ")</f>
        <v xml:space="preserve">https://eprel.ec.europa.eu/qr/2058716        </v>
      </c>
      <c r="U493">
        <v>0.7</v>
      </c>
      <c r="V493">
        <v>0</v>
      </c>
      <c r="W493">
        <v>0</v>
      </c>
      <c r="X493">
        <v>0</v>
      </c>
      <c r="Y493">
        <v>0</v>
      </c>
    </row>
    <row r="494" spans="1:25" ht="15" x14ac:dyDescent="0.25">
      <c r="A494" t="s">
        <v>22</v>
      </c>
      <c r="B494" t="s">
        <v>58</v>
      </c>
      <c r="C494" t="s">
        <v>59</v>
      </c>
      <c r="D494" t="s">
        <v>113</v>
      </c>
      <c r="E494" t="s">
        <v>2721</v>
      </c>
      <c r="F494" t="s">
        <v>2559</v>
      </c>
      <c r="G494" t="s">
        <v>2560</v>
      </c>
      <c r="H494" t="s">
        <v>1</v>
      </c>
      <c r="I494">
        <v>125</v>
      </c>
      <c r="J494" s="41">
        <f>I494/'enter the discount'!$D$7</f>
        <v>29.258929825382708</v>
      </c>
      <c r="K494" s="41">
        <f>J494*(1-IFERROR(VLOOKUP(H494,'enter the discount'!$D$10:$E$40,2,FALSE),0))</f>
        <v>29.258929825382708</v>
      </c>
      <c r="L494" s="43" t="s">
        <v>2542</v>
      </c>
      <c r="M494" t="s">
        <v>2638</v>
      </c>
      <c r="N494" t="s">
        <v>931</v>
      </c>
      <c r="O494" t="s">
        <v>2723</v>
      </c>
      <c r="P494">
        <v>10</v>
      </c>
      <c r="Q494">
        <v>0</v>
      </c>
      <c r="R494" t="s">
        <v>2466</v>
      </c>
      <c r="S494" s="42" t="str">
        <f>HYPERLINK("https://sklep.kobi.pl/produkt/led-nairos-g2-18w-3cct-czarny-premium")</f>
        <v>https://sklep.kobi.pl/produkt/led-nairos-g2-18w-3cct-czarny-premium</v>
      </c>
      <c r="T494" s="42" t="str">
        <f>HYPERLINK("https://eprel.ec.europa.eu/qr/2058716        ")</f>
        <v xml:space="preserve">https://eprel.ec.europa.eu/qr/2058716        </v>
      </c>
      <c r="U494">
        <v>0.7</v>
      </c>
      <c r="V494">
        <v>0</v>
      </c>
      <c r="W494">
        <v>0</v>
      </c>
      <c r="X494">
        <v>0</v>
      </c>
      <c r="Y494">
        <v>0</v>
      </c>
    </row>
    <row r="495" spans="1:25" ht="15" x14ac:dyDescent="0.25">
      <c r="A495" t="s">
        <v>22</v>
      </c>
      <c r="B495" t="s">
        <v>58</v>
      </c>
      <c r="C495" t="s">
        <v>59</v>
      </c>
      <c r="D495" t="s">
        <v>113</v>
      </c>
      <c r="E495" t="s">
        <v>2721</v>
      </c>
      <c r="F495" t="s">
        <v>2561</v>
      </c>
      <c r="G495" t="s">
        <v>2562</v>
      </c>
      <c r="H495" t="s">
        <v>1</v>
      </c>
      <c r="I495">
        <v>135</v>
      </c>
      <c r="J495" s="41">
        <f>I495/'enter the discount'!$D$7</f>
        <v>31.599644211413324</v>
      </c>
      <c r="K495" s="41">
        <f>J495*(1-IFERROR(VLOOKUP(H495,'enter the discount'!$D$10:$E$40,2,FALSE),0))</f>
        <v>31.599644211413324</v>
      </c>
      <c r="L495" s="43" t="s">
        <v>2542</v>
      </c>
      <c r="M495" t="s">
        <v>2639</v>
      </c>
      <c r="N495" t="s">
        <v>931</v>
      </c>
      <c r="O495" t="s">
        <v>2723</v>
      </c>
      <c r="P495">
        <v>10</v>
      </c>
      <c r="Q495">
        <v>0</v>
      </c>
      <c r="R495" t="s">
        <v>2466</v>
      </c>
      <c r="S495" s="42" t="str">
        <f>HYPERLINK("https://sklep.kobi.pl/produkt/led-nairos-g2-24w-3cct-bialy-premium")</f>
        <v>https://sklep.kobi.pl/produkt/led-nairos-g2-24w-3cct-bialy-premium</v>
      </c>
      <c r="T495" s="42" t="str">
        <f>HYPERLINK("https://eprel.ec.europa.eu/qr/2058756        ")</f>
        <v xml:space="preserve">https://eprel.ec.europa.eu/qr/2058756        </v>
      </c>
      <c r="U495">
        <v>0.7</v>
      </c>
      <c r="V495">
        <v>0</v>
      </c>
      <c r="W495">
        <v>0</v>
      </c>
      <c r="X495">
        <v>0</v>
      </c>
      <c r="Y495">
        <v>0</v>
      </c>
    </row>
    <row r="496" spans="1:25" ht="15" x14ac:dyDescent="0.25">
      <c r="A496" t="s">
        <v>22</v>
      </c>
      <c r="B496" t="s">
        <v>58</v>
      </c>
      <c r="C496" t="s">
        <v>59</v>
      </c>
      <c r="D496" t="s">
        <v>113</v>
      </c>
      <c r="E496" t="s">
        <v>2721</v>
      </c>
      <c r="F496" t="s">
        <v>2563</v>
      </c>
      <c r="G496" t="s">
        <v>2564</v>
      </c>
      <c r="H496" t="s">
        <v>1</v>
      </c>
      <c r="I496">
        <v>135</v>
      </c>
      <c r="J496" s="41">
        <f>I496/'enter the discount'!$D$7</f>
        <v>31.599644211413324</v>
      </c>
      <c r="K496" s="41">
        <f>J496*(1-IFERROR(VLOOKUP(H496,'enter the discount'!$D$10:$E$40,2,FALSE),0))</f>
        <v>31.599644211413324</v>
      </c>
      <c r="L496" s="43" t="s">
        <v>2542</v>
      </c>
      <c r="M496" t="s">
        <v>2640</v>
      </c>
      <c r="N496" t="s">
        <v>931</v>
      </c>
      <c r="O496" t="s">
        <v>2723</v>
      </c>
      <c r="P496">
        <v>10</v>
      </c>
      <c r="Q496">
        <v>0</v>
      </c>
      <c r="R496" t="s">
        <v>2466</v>
      </c>
      <c r="S496" s="42" t="str">
        <f>HYPERLINK("https://sklep.kobi.pl/produkt/led-nairos-g2-24w-3cct-czarny-premium")</f>
        <v>https://sklep.kobi.pl/produkt/led-nairos-g2-24w-3cct-czarny-premium</v>
      </c>
      <c r="T496" s="42" t="str">
        <f>HYPERLINK("https://eprel.ec.europa.eu/qr/2058756        ")</f>
        <v xml:space="preserve">https://eprel.ec.europa.eu/qr/2058756        </v>
      </c>
      <c r="U496">
        <v>0.7</v>
      </c>
      <c r="V496">
        <v>0</v>
      </c>
      <c r="W496">
        <v>0</v>
      </c>
      <c r="X496">
        <v>0</v>
      </c>
      <c r="Y496">
        <v>0</v>
      </c>
    </row>
    <row r="497" spans="1:25" ht="15" x14ac:dyDescent="0.25">
      <c r="A497" t="s">
        <v>22</v>
      </c>
      <c r="B497" t="s">
        <v>58</v>
      </c>
      <c r="C497" t="s">
        <v>59</v>
      </c>
      <c r="D497" t="s">
        <v>113</v>
      </c>
      <c r="E497" t="s">
        <v>2721</v>
      </c>
      <c r="F497" t="s">
        <v>2565</v>
      </c>
      <c r="G497" t="s">
        <v>2566</v>
      </c>
      <c r="H497" t="s">
        <v>1</v>
      </c>
      <c r="I497">
        <v>224</v>
      </c>
      <c r="J497" s="41">
        <f>I497/'enter the discount'!$D$7</f>
        <v>52.432002247085812</v>
      </c>
      <c r="K497" s="41">
        <f>J497*(1-IFERROR(VLOOKUP(H497,'enter the discount'!$D$10:$E$40,2,FALSE),0))</f>
        <v>52.432002247085812</v>
      </c>
      <c r="L497" s="43" t="s">
        <v>2542</v>
      </c>
      <c r="M497" t="s">
        <v>2641</v>
      </c>
      <c r="N497" t="s">
        <v>931</v>
      </c>
      <c r="O497" t="s">
        <v>2723</v>
      </c>
      <c r="P497">
        <v>10</v>
      </c>
      <c r="Q497">
        <v>0</v>
      </c>
      <c r="R497" t="s">
        <v>2466</v>
      </c>
      <c r="S497" s="42" t="str">
        <f>HYPERLINK("https://sklep.kobi.pl/produkt/led-nairos-g2-36w-3cct-bialy-premium")</f>
        <v>https://sklep.kobi.pl/produkt/led-nairos-g2-36w-3cct-bialy-premium</v>
      </c>
      <c r="T497" s="42" t="str">
        <f>HYPERLINK("https://eprel.ec.europa.eu/qr/2058805        ")</f>
        <v xml:space="preserve">https://eprel.ec.europa.eu/qr/2058805        </v>
      </c>
      <c r="U497">
        <v>1.2</v>
      </c>
      <c r="V497">
        <v>0</v>
      </c>
      <c r="W497">
        <v>0</v>
      </c>
      <c r="X497">
        <v>0</v>
      </c>
      <c r="Y497">
        <v>0</v>
      </c>
    </row>
    <row r="498" spans="1:25" ht="15" x14ac:dyDescent="0.25">
      <c r="A498" t="s">
        <v>22</v>
      </c>
      <c r="B498" t="s">
        <v>58</v>
      </c>
      <c r="C498" t="s">
        <v>59</v>
      </c>
      <c r="D498" t="s">
        <v>113</v>
      </c>
      <c r="E498" t="s">
        <v>2721</v>
      </c>
      <c r="F498" t="s">
        <v>2567</v>
      </c>
      <c r="G498" t="s">
        <v>2568</v>
      </c>
      <c r="H498" t="s">
        <v>1</v>
      </c>
      <c r="I498">
        <v>160</v>
      </c>
      <c r="J498" s="41">
        <f>I498/'enter the discount'!$D$7</f>
        <v>37.451430176489865</v>
      </c>
      <c r="K498" s="41">
        <f>J498*(1-IFERROR(VLOOKUP(H498,'enter the discount'!$D$10:$E$40,2,FALSE),0))</f>
        <v>37.451430176489865</v>
      </c>
      <c r="L498" s="43" t="s">
        <v>2542</v>
      </c>
      <c r="M498" t="s">
        <v>2642</v>
      </c>
      <c r="N498" t="s">
        <v>931</v>
      </c>
      <c r="O498" t="s">
        <v>2723</v>
      </c>
      <c r="P498">
        <v>20</v>
      </c>
      <c r="Q498">
        <v>0</v>
      </c>
      <c r="R498" t="s">
        <v>2466</v>
      </c>
      <c r="S498" s="42" t="str">
        <f>HYPERLINK("https://sklep.kobi.pl/produkt/led-nairos-g2-lx-12w-3cct-bialy-premium")</f>
        <v>https://sklep.kobi.pl/produkt/led-nairos-g2-lx-12w-3cct-bialy-premium</v>
      </c>
      <c r="T498" s="42" t="str">
        <f>HYPERLINK("https://eprel.ec.europa.eu/qr/2056899        ")</f>
        <v xml:space="preserve">https://eprel.ec.europa.eu/qr/2056899        </v>
      </c>
      <c r="U498">
        <v>0.49</v>
      </c>
      <c r="V498">
        <v>0</v>
      </c>
      <c r="W498">
        <v>0</v>
      </c>
      <c r="X498">
        <v>0</v>
      </c>
      <c r="Y498">
        <v>0</v>
      </c>
    </row>
    <row r="499" spans="1:25" ht="15" x14ac:dyDescent="0.25">
      <c r="A499" t="s">
        <v>22</v>
      </c>
      <c r="B499" t="s">
        <v>58</v>
      </c>
      <c r="C499" t="s">
        <v>59</v>
      </c>
      <c r="D499" t="s">
        <v>113</v>
      </c>
      <c r="E499" t="s">
        <v>2721</v>
      </c>
      <c r="F499" t="s">
        <v>2569</v>
      </c>
      <c r="G499" t="s">
        <v>2570</v>
      </c>
      <c r="H499" t="s">
        <v>1</v>
      </c>
      <c r="I499">
        <v>160</v>
      </c>
      <c r="J499" s="41">
        <f>I499/'enter the discount'!$D$7</f>
        <v>37.451430176489865</v>
      </c>
      <c r="K499" s="41">
        <f>J499*(1-IFERROR(VLOOKUP(H499,'enter the discount'!$D$10:$E$40,2,FALSE),0))</f>
        <v>37.451430176489865</v>
      </c>
      <c r="L499" s="43" t="s">
        <v>2542</v>
      </c>
      <c r="M499" t="s">
        <v>2643</v>
      </c>
      <c r="N499" t="s">
        <v>931</v>
      </c>
      <c r="O499" t="s">
        <v>2723</v>
      </c>
      <c r="P499">
        <v>20</v>
      </c>
      <c r="Q499">
        <v>0</v>
      </c>
      <c r="R499" t="s">
        <v>2466</v>
      </c>
      <c r="S499" s="42" t="str">
        <f>HYPERLINK("https://sklep.kobi.pl/produkt/led-nairos-g2-lx-12w-3cct-czarny-premium")</f>
        <v>https://sklep.kobi.pl/produkt/led-nairos-g2-lx-12w-3cct-czarny-premium</v>
      </c>
      <c r="T499" s="42" t="str">
        <f>HYPERLINK("https://eprel.ec.europa.eu/qr/2056899        ")</f>
        <v xml:space="preserve">https://eprel.ec.europa.eu/qr/2056899        </v>
      </c>
      <c r="U499">
        <v>0.49</v>
      </c>
      <c r="V499">
        <v>0</v>
      </c>
      <c r="W499">
        <v>0</v>
      </c>
      <c r="X499">
        <v>0</v>
      </c>
      <c r="Y499">
        <v>0</v>
      </c>
    </row>
    <row r="500" spans="1:25" ht="15" x14ac:dyDescent="0.25">
      <c r="A500" t="s">
        <v>22</v>
      </c>
      <c r="B500" t="s">
        <v>58</v>
      </c>
      <c r="C500" t="s">
        <v>59</v>
      </c>
      <c r="D500" t="s">
        <v>113</v>
      </c>
      <c r="E500" t="s">
        <v>2721</v>
      </c>
      <c r="F500" t="s">
        <v>2571</v>
      </c>
      <c r="G500" t="s">
        <v>2572</v>
      </c>
      <c r="H500" t="s">
        <v>1</v>
      </c>
      <c r="I500">
        <v>209</v>
      </c>
      <c r="J500" s="41">
        <f>I500/'enter the discount'!$D$7</f>
        <v>48.920930668039887</v>
      </c>
      <c r="K500" s="41">
        <f>J500*(1-IFERROR(VLOOKUP(H500,'enter the discount'!$D$10:$E$40,2,FALSE),0))</f>
        <v>48.920930668039887</v>
      </c>
      <c r="L500" s="43" t="s">
        <v>2542</v>
      </c>
      <c r="M500" t="s">
        <v>2644</v>
      </c>
      <c r="N500" t="s">
        <v>931</v>
      </c>
      <c r="O500" t="s">
        <v>2723</v>
      </c>
      <c r="P500">
        <v>10</v>
      </c>
      <c r="Q500">
        <v>0</v>
      </c>
      <c r="R500" t="s">
        <v>2466</v>
      </c>
      <c r="S500" s="42" t="str">
        <f>HYPERLINK("https://sklep.kobi.pl/produkt/led-nairos-g2-lx-18w-3cct-bialy-premium")</f>
        <v>https://sklep.kobi.pl/produkt/led-nairos-g2-lx-18w-3cct-bialy-premium</v>
      </c>
      <c r="T500" s="42" t="str">
        <f>HYPERLINK("https://eprel.ec.europa.eu/qr/2058716        ")</f>
        <v xml:space="preserve">https://eprel.ec.europa.eu/qr/2058716        </v>
      </c>
      <c r="U500">
        <v>0.79</v>
      </c>
      <c r="V500">
        <v>0</v>
      </c>
      <c r="W500">
        <v>0</v>
      </c>
      <c r="X500">
        <v>0</v>
      </c>
      <c r="Y500">
        <v>0</v>
      </c>
    </row>
    <row r="501" spans="1:25" ht="15" x14ac:dyDescent="0.25">
      <c r="A501" t="s">
        <v>22</v>
      </c>
      <c r="B501" t="s">
        <v>58</v>
      </c>
      <c r="C501" t="s">
        <v>59</v>
      </c>
      <c r="D501" t="s">
        <v>113</v>
      </c>
      <c r="E501" t="s">
        <v>2721</v>
      </c>
      <c r="F501" t="s">
        <v>2573</v>
      </c>
      <c r="G501" t="s">
        <v>2574</v>
      </c>
      <c r="H501" t="s">
        <v>1</v>
      </c>
      <c r="I501">
        <v>209</v>
      </c>
      <c r="J501" s="41">
        <f>I501/'enter the discount'!$D$7</f>
        <v>48.920930668039887</v>
      </c>
      <c r="K501" s="41">
        <f>J501*(1-IFERROR(VLOOKUP(H501,'enter the discount'!$D$10:$E$40,2,FALSE),0))</f>
        <v>48.920930668039887</v>
      </c>
      <c r="L501" s="43" t="s">
        <v>2542</v>
      </c>
      <c r="M501" t="s">
        <v>2645</v>
      </c>
      <c r="N501" t="s">
        <v>931</v>
      </c>
      <c r="O501" t="s">
        <v>2723</v>
      </c>
      <c r="P501">
        <v>10</v>
      </c>
      <c r="Q501">
        <v>0</v>
      </c>
      <c r="R501" t="s">
        <v>2466</v>
      </c>
      <c r="S501" s="42" t="str">
        <f>HYPERLINK("https://sklep.kobi.pl/produkt/led-nairos-g2-lx-18w-3cct-czarny-premium")</f>
        <v>https://sklep.kobi.pl/produkt/led-nairos-g2-lx-18w-3cct-czarny-premium</v>
      </c>
      <c r="T501" s="42" t="str">
        <f>HYPERLINK("https://eprel.ec.europa.eu/qr/2058716        ")</f>
        <v xml:space="preserve">https://eprel.ec.europa.eu/qr/2058716        </v>
      </c>
      <c r="U501">
        <v>0.79</v>
      </c>
      <c r="V501">
        <v>0</v>
      </c>
      <c r="W501">
        <v>0</v>
      </c>
      <c r="X501">
        <v>0</v>
      </c>
      <c r="Y501">
        <v>0</v>
      </c>
    </row>
    <row r="502" spans="1:25" ht="15" x14ac:dyDescent="0.25">
      <c r="A502" t="s">
        <v>22</v>
      </c>
      <c r="B502" t="s">
        <v>58</v>
      </c>
      <c r="C502" t="s">
        <v>59</v>
      </c>
      <c r="D502" t="s">
        <v>113</v>
      </c>
      <c r="E502" t="s">
        <v>2721</v>
      </c>
      <c r="F502" t="s">
        <v>2575</v>
      </c>
      <c r="G502" t="s">
        <v>2576</v>
      </c>
      <c r="H502" t="s">
        <v>1</v>
      </c>
      <c r="I502">
        <v>230</v>
      </c>
      <c r="J502" s="41">
        <f>I502/'enter the discount'!$D$7</f>
        <v>53.836430878704185</v>
      </c>
      <c r="K502" s="41">
        <f>J502*(1-IFERROR(VLOOKUP(H502,'enter the discount'!$D$10:$E$40,2,FALSE),0))</f>
        <v>53.836430878704185</v>
      </c>
      <c r="L502" s="43" t="s">
        <v>2542</v>
      </c>
      <c r="M502" t="s">
        <v>2646</v>
      </c>
      <c r="N502" t="s">
        <v>931</v>
      </c>
      <c r="O502" t="s">
        <v>2723</v>
      </c>
      <c r="P502">
        <v>10</v>
      </c>
      <c r="Q502">
        <v>0</v>
      </c>
      <c r="R502" t="s">
        <v>2466</v>
      </c>
      <c r="S502" s="42" t="str">
        <f>HYPERLINK("https://sklep.kobi.pl/produkt/led-nairos-g2-lx-24w-3cct-bialy-premium")</f>
        <v>https://sklep.kobi.pl/produkt/led-nairos-g2-lx-24w-3cct-bialy-premium</v>
      </c>
      <c r="T502" s="42" t="str">
        <f>HYPERLINK("https://eprel.ec.europa.eu/qr/2058756        ")</f>
        <v xml:space="preserve">https://eprel.ec.europa.eu/qr/2058756        </v>
      </c>
      <c r="U502">
        <v>0.79</v>
      </c>
      <c r="V502">
        <v>0</v>
      </c>
      <c r="W502">
        <v>0</v>
      </c>
      <c r="X502">
        <v>0</v>
      </c>
      <c r="Y502">
        <v>0</v>
      </c>
    </row>
    <row r="503" spans="1:25" ht="15" x14ac:dyDescent="0.25">
      <c r="A503" t="s">
        <v>22</v>
      </c>
      <c r="B503" t="s">
        <v>58</v>
      </c>
      <c r="C503" t="s">
        <v>59</v>
      </c>
      <c r="D503" t="s">
        <v>113</v>
      </c>
      <c r="E503" t="s">
        <v>2721</v>
      </c>
      <c r="F503" t="s">
        <v>2577</v>
      </c>
      <c r="G503" t="s">
        <v>2578</v>
      </c>
      <c r="H503" t="s">
        <v>1</v>
      </c>
      <c r="I503">
        <v>230</v>
      </c>
      <c r="J503" s="41">
        <f>I503/'enter the discount'!$D$7</f>
        <v>53.836430878704185</v>
      </c>
      <c r="K503" s="41">
        <f>J503*(1-IFERROR(VLOOKUP(H503,'enter the discount'!$D$10:$E$40,2,FALSE),0))</f>
        <v>53.836430878704185</v>
      </c>
      <c r="L503" s="43" t="s">
        <v>2542</v>
      </c>
      <c r="M503" t="s">
        <v>2647</v>
      </c>
      <c r="N503" t="s">
        <v>931</v>
      </c>
      <c r="O503" t="s">
        <v>2723</v>
      </c>
      <c r="P503">
        <v>10</v>
      </c>
      <c r="Q503">
        <v>0</v>
      </c>
      <c r="R503" t="s">
        <v>2466</v>
      </c>
      <c r="S503" s="42" t="str">
        <f>HYPERLINK("https://sklep.kobi.pl/produkt/led-nairos-g2-lx-24w-3cct-czarny-premium")</f>
        <v>https://sklep.kobi.pl/produkt/led-nairos-g2-lx-24w-3cct-czarny-premium</v>
      </c>
      <c r="T503" s="42" t="str">
        <f>HYPERLINK("https://eprel.ec.europa.eu/qr/2058756        ")</f>
        <v xml:space="preserve">https://eprel.ec.europa.eu/qr/2058756        </v>
      </c>
      <c r="U503">
        <v>0.79</v>
      </c>
      <c r="V503">
        <v>0</v>
      </c>
      <c r="W503">
        <v>0</v>
      </c>
      <c r="X503">
        <v>0</v>
      </c>
      <c r="Y503">
        <v>0</v>
      </c>
    </row>
    <row r="504" spans="1:25" ht="15" x14ac:dyDescent="0.25">
      <c r="A504" t="s">
        <v>22</v>
      </c>
      <c r="B504" t="s">
        <v>58</v>
      </c>
      <c r="C504" t="s">
        <v>59</v>
      </c>
      <c r="D504" t="s">
        <v>113</v>
      </c>
      <c r="E504" t="s">
        <v>2721</v>
      </c>
      <c r="F504" t="s">
        <v>2579</v>
      </c>
      <c r="G504" t="s">
        <v>2580</v>
      </c>
      <c r="H504" t="s">
        <v>1</v>
      </c>
      <c r="I504">
        <v>295</v>
      </c>
      <c r="J504" s="41">
        <f>I504/'enter the discount'!$D$7</f>
        <v>69.051074387903185</v>
      </c>
      <c r="K504" s="41">
        <f>J504*(1-IFERROR(VLOOKUP(H504,'enter the discount'!$D$10:$E$40,2,FALSE),0))</f>
        <v>69.051074387903185</v>
      </c>
      <c r="L504" s="43" t="s">
        <v>2542</v>
      </c>
      <c r="M504" t="s">
        <v>2648</v>
      </c>
      <c r="N504" t="s">
        <v>931</v>
      </c>
      <c r="O504" t="s">
        <v>2723</v>
      </c>
      <c r="P504">
        <v>10</v>
      </c>
      <c r="Q504">
        <v>0</v>
      </c>
      <c r="R504" t="s">
        <v>2466</v>
      </c>
      <c r="S504" s="42" t="str">
        <f>HYPERLINK("https://sklep.kobi.pl/produkt/led-nairos-g2-lx-36w-3cct-bialy-premium")</f>
        <v>https://sklep.kobi.pl/produkt/led-nairos-g2-lx-36w-3cct-bialy-premium</v>
      </c>
      <c r="T504" s="42" t="str">
        <f>HYPERLINK("https://eprel.ec.europa.eu/qr/2058805        ")</f>
        <v xml:space="preserve">https://eprel.ec.europa.eu/qr/2058805        </v>
      </c>
      <c r="U504">
        <v>1.29</v>
      </c>
      <c r="V504">
        <v>0</v>
      </c>
      <c r="W504">
        <v>0</v>
      </c>
      <c r="X504">
        <v>0</v>
      </c>
      <c r="Y504">
        <v>0</v>
      </c>
    </row>
    <row r="505" spans="1:25" ht="15" x14ac:dyDescent="0.25">
      <c r="A505" t="s">
        <v>22</v>
      </c>
      <c r="B505" t="s">
        <v>58</v>
      </c>
      <c r="C505" t="s">
        <v>59</v>
      </c>
      <c r="D505" t="s">
        <v>113</v>
      </c>
      <c r="E505" t="s">
        <v>14</v>
      </c>
      <c r="F505" t="s">
        <v>2099</v>
      </c>
      <c r="G505" t="s">
        <v>1469</v>
      </c>
      <c r="H505" t="s">
        <v>1</v>
      </c>
      <c r="I505">
        <v>148</v>
      </c>
      <c r="J505" s="41">
        <f>I505/'enter the discount'!$D$7</f>
        <v>34.642572913253126</v>
      </c>
      <c r="K505" s="41">
        <f>J505*(1-IFERROR(VLOOKUP(H505,'enter the discount'!$D$10:$E$40,2,FALSE),0))</f>
        <v>34.642572913253126</v>
      </c>
      <c r="L505" s="43" t="s">
        <v>858</v>
      </c>
      <c r="M505" t="s">
        <v>1470</v>
      </c>
      <c r="N505" t="s">
        <v>931</v>
      </c>
      <c r="O505" t="s">
        <v>2723</v>
      </c>
      <c r="P505">
        <v>20</v>
      </c>
      <c r="Q505">
        <v>0</v>
      </c>
      <c r="R505" t="s">
        <v>2466</v>
      </c>
      <c r="S505"/>
      <c r="T505" s="42" t="str">
        <f>HYPERLINK("https://eprel.ec.europa.eu/qr/1787573        ")</f>
        <v xml:space="preserve">https://eprel.ec.europa.eu/qr/1787573        </v>
      </c>
      <c r="U505">
        <v>0.49</v>
      </c>
      <c r="V505">
        <v>0</v>
      </c>
      <c r="W505">
        <v>0</v>
      </c>
      <c r="X505">
        <v>0</v>
      </c>
      <c r="Y505">
        <v>0</v>
      </c>
    </row>
    <row r="506" spans="1:25" ht="15" x14ac:dyDescent="0.25">
      <c r="A506" t="s">
        <v>22</v>
      </c>
      <c r="B506" t="s">
        <v>58</v>
      </c>
      <c r="C506" t="s">
        <v>59</v>
      </c>
      <c r="D506" t="s">
        <v>113</v>
      </c>
      <c r="E506" t="s">
        <v>14</v>
      </c>
      <c r="F506" t="s">
        <v>2100</v>
      </c>
      <c r="G506" t="s">
        <v>1471</v>
      </c>
      <c r="H506" t="s">
        <v>1</v>
      </c>
      <c r="I506">
        <v>148</v>
      </c>
      <c r="J506" s="41">
        <f>I506/'enter the discount'!$D$7</f>
        <v>34.642572913253126</v>
      </c>
      <c r="K506" s="41">
        <f>J506*(1-IFERROR(VLOOKUP(H506,'enter the discount'!$D$10:$E$40,2,FALSE),0))</f>
        <v>34.642572913253126</v>
      </c>
      <c r="L506" s="43" t="s">
        <v>858</v>
      </c>
      <c r="M506" t="s">
        <v>1472</v>
      </c>
      <c r="N506" t="s">
        <v>931</v>
      </c>
      <c r="O506" t="s">
        <v>2723</v>
      </c>
      <c r="P506">
        <v>20</v>
      </c>
      <c r="Q506">
        <v>0</v>
      </c>
      <c r="R506" t="s">
        <v>2466</v>
      </c>
      <c r="S506"/>
      <c r="T506" s="42" t="str">
        <f>HYPERLINK("https://eprel.ec.europa.eu/qr/1787673        ")</f>
        <v xml:space="preserve">https://eprel.ec.europa.eu/qr/1787673        </v>
      </c>
      <c r="U506">
        <v>0.49</v>
      </c>
      <c r="V506">
        <v>0</v>
      </c>
      <c r="W506">
        <v>0</v>
      </c>
      <c r="X506">
        <v>0</v>
      </c>
      <c r="Y506">
        <v>0</v>
      </c>
    </row>
    <row r="507" spans="1:25" ht="15" x14ac:dyDescent="0.25">
      <c r="A507" t="s">
        <v>22</v>
      </c>
      <c r="B507" t="s">
        <v>108</v>
      </c>
      <c r="C507" t="s">
        <v>59</v>
      </c>
      <c r="D507" t="s">
        <v>113</v>
      </c>
      <c r="E507" t="s">
        <v>14</v>
      </c>
      <c r="F507" t="s">
        <v>2101</v>
      </c>
      <c r="G507" t="s">
        <v>338</v>
      </c>
      <c r="H507" t="s">
        <v>1</v>
      </c>
      <c r="I507">
        <v>23.96</v>
      </c>
      <c r="J507" s="41">
        <f>I507/'enter the discount'!$D$7</f>
        <v>5.608351668929358</v>
      </c>
      <c r="K507" s="41">
        <f>J507*(1-IFERROR(VLOOKUP(H507,'enter the discount'!$D$10:$E$40,2,FALSE),0))</f>
        <v>5.608351668929358</v>
      </c>
      <c r="L507" s="43" t="s">
        <v>858</v>
      </c>
      <c r="M507" t="s">
        <v>702</v>
      </c>
      <c r="N507" t="s">
        <v>936</v>
      </c>
      <c r="O507" t="s">
        <v>2723</v>
      </c>
      <c r="P507">
        <v>40</v>
      </c>
      <c r="Q507">
        <v>1000</v>
      </c>
      <c r="R507" t="s">
        <v>2466</v>
      </c>
      <c r="S507" s="42" t="str">
        <f>HYPERLINK("https://sklep.kobi.pl/produkt/led-sigaro-circle-pt-6w-4000k-premium")</f>
        <v>https://sklep.kobi.pl/produkt/led-sigaro-circle-pt-6w-4000k-premium</v>
      </c>
      <c r="T507" s="42" t="str">
        <f>HYPERLINK("https://eprel.ec.europa.eu/qr/850354         ")</f>
        <v xml:space="preserve">https://eprel.ec.europa.eu/qr/850354         </v>
      </c>
      <c r="U507">
        <v>7.9000000000000001E-2</v>
      </c>
      <c r="V507">
        <v>0.113</v>
      </c>
      <c r="W507">
        <v>130</v>
      </c>
      <c r="X507">
        <v>130</v>
      </c>
      <c r="Y507">
        <v>35</v>
      </c>
    </row>
    <row r="508" spans="1:25" ht="15" x14ac:dyDescent="0.25">
      <c r="A508" t="s">
        <v>22</v>
      </c>
      <c r="B508" t="s">
        <v>108</v>
      </c>
      <c r="C508" t="s">
        <v>59</v>
      </c>
      <c r="D508" t="s">
        <v>113</v>
      </c>
      <c r="E508" t="s">
        <v>14</v>
      </c>
      <c r="F508" t="s">
        <v>2102</v>
      </c>
      <c r="G508" t="s">
        <v>339</v>
      </c>
      <c r="H508" t="s">
        <v>1</v>
      </c>
      <c r="I508">
        <v>39.799999999999997</v>
      </c>
      <c r="J508" s="41">
        <f>I508/'enter the discount'!$D$7</f>
        <v>9.3160432564018532</v>
      </c>
      <c r="K508" s="41">
        <f>J508*(1-IFERROR(VLOOKUP(H508,'enter the discount'!$D$10:$E$40,2,FALSE),0))</f>
        <v>9.3160432564018532</v>
      </c>
      <c r="L508" s="43" t="s">
        <v>858</v>
      </c>
      <c r="M508" t="s">
        <v>703</v>
      </c>
      <c r="N508" t="s">
        <v>936</v>
      </c>
      <c r="O508" t="s">
        <v>2723</v>
      </c>
      <c r="P508">
        <v>20</v>
      </c>
      <c r="Q508">
        <v>960</v>
      </c>
      <c r="R508" t="s">
        <v>2466</v>
      </c>
      <c r="S508" s="42" t="str">
        <f>HYPERLINK("https://sklep.kobi.pl/produkt/led-sigaro-circle-pt-12w-4000k-premium")</f>
        <v>https://sklep.kobi.pl/produkt/led-sigaro-circle-pt-12w-4000k-premium</v>
      </c>
      <c r="T508" s="42" t="str">
        <f>HYPERLINK("https://eprel.ec.europa.eu/qr/850485         ")</f>
        <v xml:space="preserve">https://eprel.ec.europa.eu/qr/850485         </v>
      </c>
      <c r="U508">
        <v>0.14199999999999999</v>
      </c>
      <c r="V508">
        <v>0.187</v>
      </c>
      <c r="W508">
        <v>170</v>
      </c>
      <c r="X508">
        <v>170</v>
      </c>
      <c r="Y508">
        <v>40</v>
      </c>
    </row>
    <row r="509" spans="1:25" ht="15" x14ac:dyDescent="0.25">
      <c r="A509" t="s">
        <v>22</v>
      </c>
      <c r="B509" t="s">
        <v>108</v>
      </c>
      <c r="C509" t="s">
        <v>59</v>
      </c>
      <c r="D509" t="s">
        <v>113</v>
      </c>
      <c r="E509" t="s">
        <v>14</v>
      </c>
      <c r="F509" t="s">
        <v>2103</v>
      </c>
      <c r="G509" t="s">
        <v>340</v>
      </c>
      <c r="H509" t="s">
        <v>1</v>
      </c>
      <c r="I509">
        <v>54.33</v>
      </c>
      <c r="J509" s="41">
        <f>I509/'enter the discount'!$D$7</f>
        <v>12.717101259304339</v>
      </c>
      <c r="K509" s="41">
        <f>J509*(1-IFERROR(VLOOKUP(H509,'enter the discount'!$D$10:$E$40,2,FALSE),0))</f>
        <v>12.717101259304339</v>
      </c>
      <c r="L509" s="43" t="s">
        <v>858</v>
      </c>
      <c r="M509" t="s">
        <v>704</v>
      </c>
      <c r="N509" t="s">
        <v>936</v>
      </c>
      <c r="O509" t="s">
        <v>2723</v>
      </c>
      <c r="P509">
        <v>20</v>
      </c>
      <c r="Q509">
        <v>520</v>
      </c>
      <c r="R509" t="s">
        <v>2466</v>
      </c>
      <c r="S509" s="42" t="str">
        <f>HYPERLINK("https://sklep.kobi.pl/produkt/led-sigaro-circle-pt-18w-4000k-premium")</f>
        <v>https://sklep.kobi.pl/produkt/led-sigaro-circle-pt-18w-4000k-premium</v>
      </c>
      <c r="T509" s="42" t="str">
        <f>HYPERLINK("https://eprel.ec.europa.eu/qr/850526         ")</f>
        <v xml:space="preserve">https://eprel.ec.europa.eu/qr/850526         </v>
      </c>
      <c r="U509">
        <v>0.219</v>
      </c>
      <c r="V509">
        <v>0.29399999999999998</v>
      </c>
      <c r="W509">
        <v>240</v>
      </c>
      <c r="X509">
        <v>225</v>
      </c>
      <c r="Y509">
        <v>35</v>
      </c>
    </row>
    <row r="510" spans="1:25" ht="15" x14ac:dyDescent="0.25">
      <c r="A510" t="s">
        <v>22</v>
      </c>
      <c r="B510" t="s">
        <v>108</v>
      </c>
      <c r="C510" t="s">
        <v>59</v>
      </c>
      <c r="D510" t="s">
        <v>113</v>
      </c>
      <c r="E510" t="s">
        <v>14</v>
      </c>
      <c r="F510" t="s">
        <v>2104</v>
      </c>
      <c r="G510" t="s">
        <v>341</v>
      </c>
      <c r="H510" t="s">
        <v>1</v>
      </c>
      <c r="I510">
        <v>67.540000000000006</v>
      </c>
      <c r="J510" s="41">
        <f>I510/'enter the discount'!$D$7</f>
        <v>15.809184963250786</v>
      </c>
      <c r="K510" s="41">
        <f>J510*(1-IFERROR(VLOOKUP(H510,'enter the discount'!$D$10:$E$40,2,FALSE),0))</f>
        <v>15.809184963250786</v>
      </c>
      <c r="L510" s="43" t="s">
        <v>858</v>
      </c>
      <c r="M510" t="s">
        <v>705</v>
      </c>
      <c r="N510" t="s">
        <v>936</v>
      </c>
      <c r="O510" t="s">
        <v>2723</v>
      </c>
      <c r="P510">
        <v>20</v>
      </c>
      <c r="Q510">
        <v>520</v>
      </c>
      <c r="R510" t="s">
        <v>2466</v>
      </c>
      <c r="S510" s="42" t="str">
        <f>HYPERLINK("https://sklep.kobi.pl/produkt/led-sigaro-circle-pt-24w-4000k-premium")</f>
        <v>https://sklep.kobi.pl/produkt/led-sigaro-circle-pt-24w-4000k-premium</v>
      </c>
      <c r="T510" s="42" t="str">
        <f>HYPERLINK("https://eprel.ec.europa.eu/qr/850541         ")</f>
        <v xml:space="preserve">https://eprel.ec.europa.eu/qr/850541         </v>
      </c>
      <c r="U510">
        <v>0.251</v>
      </c>
      <c r="V510">
        <v>0.33</v>
      </c>
      <c r="W510">
        <v>230</v>
      </c>
      <c r="X510">
        <v>230</v>
      </c>
      <c r="Y510">
        <v>35</v>
      </c>
    </row>
    <row r="511" spans="1:25" ht="15" x14ac:dyDescent="0.25">
      <c r="A511" t="s">
        <v>22</v>
      </c>
      <c r="B511" t="s">
        <v>60</v>
      </c>
      <c r="C511" t="s">
        <v>59</v>
      </c>
      <c r="D511" t="s">
        <v>961</v>
      </c>
      <c r="E511" t="s">
        <v>14</v>
      </c>
      <c r="F511" t="s">
        <v>2105</v>
      </c>
      <c r="G511" t="s">
        <v>944</v>
      </c>
      <c r="H511" t="s">
        <v>1</v>
      </c>
      <c r="I511">
        <v>185</v>
      </c>
      <c r="J511" s="41">
        <f>I511/'enter the discount'!$D$7</f>
        <v>43.303216141566409</v>
      </c>
      <c r="K511" s="41">
        <f>J511*(1-IFERROR(VLOOKUP(H511,'enter the discount'!$D$10:$E$40,2,FALSE),0))</f>
        <v>43.303216141566409</v>
      </c>
      <c r="L511" s="43" t="s">
        <v>858</v>
      </c>
      <c r="M511" t="s">
        <v>946</v>
      </c>
      <c r="N511" t="s">
        <v>931</v>
      </c>
      <c r="O511" t="s">
        <v>2723</v>
      </c>
      <c r="P511">
        <v>10</v>
      </c>
      <c r="Q511">
        <v>0</v>
      </c>
      <c r="R511" t="s">
        <v>2467</v>
      </c>
      <c r="S511" s="42" t="str">
        <f>HYPERLINK("https://sklep.kobi.pl/produkt/led-numos-lx-7w-4000k")</f>
        <v>https://sklep.kobi.pl/produkt/led-numos-lx-7w-4000k</v>
      </c>
      <c r="T511" s="42" t="str">
        <f>HYPERLINK("https://eprel.ec.europa.eu/qr/1057273        ")</f>
        <v xml:space="preserve">https://eprel.ec.europa.eu/qr/1057273        </v>
      </c>
      <c r="U511">
        <v>0.70099999999999996</v>
      </c>
      <c r="V511">
        <v>0.86199999999999999</v>
      </c>
      <c r="W511">
        <v>305</v>
      </c>
      <c r="X511">
        <v>210</v>
      </c>
      <c r="Y511">
        <v>65</v>
      </c>
    </row>
    <row r="512" spans="1:25" ht="15" x14ac:dyDescent="0.25">
      <c r="A512" t="s">
        <v>22</v>
      </c>
      <c r="B512" t="s">
        <v>60</v>
      </c>
      <c r="C512" t="s">
        <v>59</v>
      </c>
      <c r="D512" t="s">
        <v>961</v>
      </c>
      <c r="E512" t="s">
        <v>14</v>
      </c>
      <c r="F512" t="s">
        <v>2106</v>
      </c>
      <c r="G512" t="s">
        <v>947</v>
      </c>
      <c r="H512" t="s">
        <v>1</v>
      </c>
      <c r="I512">
        <v>120</v>
      </c>
      <c r="J512" s="41">
        <f>I512/'enter the discount'!$D$7</f>
        <v>28.088572632367399</v>
      </c>
      <c r="K512" s="41">
        <f>J512*(1-IFERROR(VLOOKUP(H512,'enter the discount'!$D$10:$E$40,2,FALSE),0))</f>
        <v>28.088572632367399</v>
      </c>
      <c r="L512" s="43" t="s">
        <v>858</v>
      </c>
      <c r="M512" t="s">
        <v>948</v>
      </c>
      <c r="N512" t="s">
        <v>931</v>
      </c>
      <c r="O512" t="s">
        <v>2723</v>
      </c>
      <c r="P512">
        <v>5</v>
      </c>
      <c r="Q512">
        <v>0</v>
      </c>
      <c r="R512" t="s">
        <v>2467</v>
      </c>
      <c r="S512" s="42" t="str">
        <f>HYPERLINK("https://sklep.kobi.pl/produkt/led-orbis-lx-10w-4000k")</f>
        <v>https://sklep.kobi.pl/produkt/led-orbis-lx-10w-4000k</v>
      </c>
      <c r="T512" s="42" t="str">
        <f>HYPERLINK("https://eprel.ec.europa.eu/qr/1057303        ")</f>
        <v xml:space="preserve">https://eprel.ec.europa.eu/qr/1057303        </v>
      </c>
      <c r="U512">
        <v>0.51800000000000002</v>
      </c>
      <c r="V512">
        <v>0.63500000000000001</v>
      </c>
      <c r="W512">
        <v>260</v>
      </c>
      <c r="X512">
        <v>255</v>
      </c>
      <c r="Y512">
        <v>60</v>
      </c>
    </row>
    <row r="513" spans="1:25" ht="15" x14ac:dyDescent="0.25">
      <c r="A513" t="s">
        <v>22</v>
      </c>
      <c r="B513" t="s">
        <v>60</v>
      </c>
      <c r="C513" t="s">
        <v>59</v>
      </c>
      <c r="D513" t="s">
        <v>113</v>
      </c>
      <c r="E513" t="s">
        <v>14</v>
      </c>
      <c r="F513" t="s">
        <v>2107</v>
      </c>
      <c r="G513" t="s">
        <v>1250</v>
      </c>
      <c r="H513" t="s">
        <v>1</v>
      </c>
      <c r="I513">
        <v>105.37</v>
      </c>
      <c r="J513" s="41">
        <f>I513/'enter the discount'!$D$7</f>
        <v>24.66410748560461</v>
      </c>
      <c r="K513" s="41">
        <f>J513*(1-IFERROR(VLOOKUP(H513,'enter the discount'!$D$10:$E$40,2,FALSE),0))</f>
        <v>24.66410748560461</v>
      </c>
      <c r="L513" s="43" t="s">
        <v>2548</v>
      </c>
      <c r="M513" t="s">
        <v>1251</v>
      </c>
      <c r="N513" t="s">
        <v>931</v>
      </c>
      <c r="O513" t="s">
        <v>2723</v>
      </c>
      <c r="P513">
        <v>5</v>
      </c>
      <c r="Q513">
        <v>120</v>
      </c>
      <c r="R513" t="s">
        <v>2466</v>
      </c>
      <c r="S513" s="42" t="str">
        <f>HYPERLINK("https://sklep.kobi.pl/produkt/led-sofi-lx-13w-4000k-premium")</f>
        <v>https://sklep.kobi.pl/produkt/led-sofi-lx-13w-4000k-premium</v>
      </c>
      <c r="T513" t="s">
        <v>14</v>
      </c>
      <c r="U513">
        <v>0.39</v>
      </c>
      <c r="V513">
        <v>0</v>
      </c>
      <c r="W513">
        <v>0</v>
      </c>
      <c r="X513">
        <v>0</v>
      </c>
      <c r="Y513">
        <v>0</v>
      </c>
    </row>
    <row r="514" spans="1:25" ht="15" x14ac:dyDescent="0.25">
      <c r="A514" t="s">
        <v>22</v>
      </c>
      <c r="B514" t="s">
        <v>60</v>
      </c>
      <c r="C514" t="s">
        <v>59</v>
      </c>
      <c r="D514" t="s">
        <v>113</v>
      </c>
      <c r="E514" t="s">
        <v>2722</v>
      </c>
      <c r="F514" t="s">
        <v>2108</v>
      </c>
      <c r="G514" t="s">
        <v>342</v>
      </c>
      <c r="H514" t="s">
        <v>1</v>
      </c>
      <c r="I514">
        <v>291.22000000000003</v>
      </c>
      <c r="J514" s="41">
        <f>I514/'enter the discount'!$D$7</f>
        <v>68.166284349983627</v>
      </c>
      <c r="K514" s="41">
        <f>J514*(1-IFERROR(VLOOKUP(H514,'enter the discount'!$D$10:$E$40,2,FALSE),0))</f>
        <v>68.166284349983627</v>
      </c>
      <c r="L514" s="43" t="s">
        <v>2540</v>
      </c>
      <c r="M514" t="s">
        <v>706</v>
      </c>
      <c r="N514" t="s">
        <v>931</v>
      </c>
      <c r="O514" t="s">
        <v>2723</v>
      </c>
      <c r="P514">
        <v>5</v>
      </c>
      <c r="Q514">
        <v>80</v>
      </c>
      <c r="R514" t="s">
        <v>2466</v>
      </c>
      <c r="S514" s="42" t="str">
        <f>HYPERLINK("https://sklep.kobi.pl/produkt/led-zoe-lx-24w-4000k-black")</f>
        <v>https://sklep.kobi.pl/produkt/led-zoe-lx-24w-4000k-black</v>
      </c>
      <c r="T514" s="42" t="str">
        <f>HYPERLINK("https://eprel.ec.europa.eu/qr/862783         ")</f>
        <v xml:space="preserve">https://eprel.ec.europa.eu/qr/862783         </v>
      </c>
      <c r="U514">
        <v>0.67300000000000004</v>
      </c>
      <c r="V514">
        <v>0.89700000000000002</v>
      </c>
      <c r="W514">
        <v>360</v>
      </c>
      <c r="X514">
        <v>360</v>
      </c>
      <c r="Y514">
        <v>90</v>
      </c>
    </row>
    <row r="515" spans="1:25" ht="15" x14ac:dyDescent="0.25">
      <c r="A515" t="s">
        <v>22</v>
      </c>
      <c r="B515" t="s">
        <v>92</v>
      </c>
      <c r="C515" t="s">
        <v>59</v>
      </c>
      <c r="D515" t="s">
        <v>111</v>
      </c>
      <c r="E515" t="s">
        <v>2721</v>
      </c>
      <c r="F515" t="s">
        <v>2492</v>
      </c>
      <c r="G515" t="s">
        <v>2493</v>
      </c>
      <c r="H515" t="s">
        <v>1</v>
      </c>
      <c r="I515">
        <v>219.12</v>
      </c>
      <c r="J515" s="41">
        <f>I515/'enter the discount'!$D$7</f>
        <v>51.289733626702876</v>
      </c>
      <c r="K515" s="41">
        <f>J515*(1-IFERROR(VLOOKUP(H515,'enter the discount'!$D$10:$E$40,2,FALSE),0))</f>
        <v>51.289733626702876</v>
      </c>
      <c r="L515" s="43" t="s">
        <v>478</v>
      </c>
      <c r="M515" t="s">
        <v>2494</v>
      </c>
      <c r="N515" t="s">
        <v>933</v>
      </c>
      <c r="O515" t="s">
        <v>2723</v>
      </c>
      <c r="P515">
        <v>8</v>
      </c>
      <c r="Q515">
        <v>0</v>
      </c>
      <c r="R515" t="s">
        <v>2465</v>
      </c>
      <c r="S515" s="42" t="str">
        <f>HYPERLINK("https://sklep.kobi.pl/produkt/solar-led-kobi-new-phoenix-13w-4000k")</f>
        <v>https://sklep.kobi.pl/produkt/solar-led-kobi-new-phoenix-13w-4000k</v>
      </c>
      <c r="T515" t="s">
        <v>14</v>
      </c>
      <c r="U515">
        <v>0.59</v>
      </c>
      <c r="V515">
        <v>0</v>
      </c>
      <c r="W515">
        <v>0</v>
      </c>
      <c r="X515">
        <v>0</v>
      </c>
      <c r="Y515">
        <v>0</v>
      </c>
    </row>
    <row r="516" spans="1:25" ht="15" x14ac:dyDescent="0.25">
      <c r="A516" t="s">
        <v>22</v>
      </c>
      <c r="B516" t="s">
        <v>1568</v>
      </c>
      <c r="C516"/>
      <c r="D516" t="s">
        <v>111</v>
      </c>
      <c r="E516" t="s">
        <v>14</v>
      </c>
      <c r="F516" t="s">
        <v>2109</v>
      </c>
      <c r="G516" t="s">
        <v>1291</v>
      </c>
      <c r="H516" t="s">
        <v>3</v>
      </c>
      <c r="I516">
        <v>33.5</v>
      </c>
      <c r="J516" s="41">
        <f>I516/'enter the discount'!$D$7</f>
        <v>7.841393193202566</v>
      </c>
      <c r="K516" s="41">
        <f>J516*(1-IFERROR(VLOOKUP(H516,'enter the discount'!$D$10:$E$40,2,FALSE),0))</f>
        <v>7.841393193202566</v>
      </c>
      <c r="L516" s="43" t="s">
        <v>2549</v>
      </c>
      <c r="M516" t="s">
        <v>1292</v>
      </c>
      <c r="N516" t="s">
        <v>928</v>
      </c>
      <c r="O516" t="s">
        <v>2723</v>
      </c>
      <c r="P516">
        <v>10</v>
      </c>
      <c r="Q516">
        <v>0</v>
      </c>
      <c r="R516" t="s">
        <v>2465</v>
      </c>
      <c r="S516" s="42" t="str">
        <f>HYPERLINK("https://sklep.kobi.pl/produkt/soma-pc-100-siatka-plastik")</f>
        <v>https://sklep.kobi.pl/produkt/soma-pc-100-siatka-plastik</v>
      </c>
      <c r="T516" s="42" t="str">
        <f>HYPERLINK("https://eprel.ec.europa.eu/qr/NIE DOTYCZY    ")</f>
        <v xml:space="preserve">https://eprel.ec.europa.eu/qr/NIE DOTYCZY    </v>
      </c>
      <c r="U516">
        <v>0.21</v>
      </c>
      <c r="V516">
        <v>0</v>
      </c>
      <c r="W516">
        <v>0</v>
      </c>
      <c r="X516">
        <v>0</v>
      </c>
      <c r="Y516">
        <v>0</v>
      </c>
    </row>
    <row r="517" spans="1:25" ht="15" x14ac:dyDescent="0.25">
      <c r="A517" t="s">
        <v>22</v>
      </c>
      <c r="B517" t="s">
        <v>1568</v>
      </c>
      <c r="C517"/>
      <c r="D517" t="s">
        <v>111</v>
      </c>
      <c r="E517" t="s">
        <v>14</v>
      </c>
      <c r="F517" t="s">
        <v>2110</v>
      </c>
      <c r="G517" t="s">
        <v>1303</v>
      </c>
      <c r="H517" t="s">
        <v>3</v>
      </c>
      <c r="I517">
        <v>39.5</v>
      </c>
      <c r="J517" s="41">
        <f>I517/'enter the discount'!$D$7</f>
        <v>9.2458218248209363</v>
      </c>
      <c r="K517" s="41">
        <f>J517*(1-IFERROR(VLOOKUP(H517,'enter the discount'!$D$10:$E$40,2,FALSE),0))</f>
        <v>9.2458218248209363</v>
      </c>
      <c r="L517" s="43" t="s">
        <v>2549</v>
      </c>
      <c r="M517" t="s">
        <v>1304</v>
      </c>
      <c r="N517" t="s">
        <v>928</v>
      </c>
      <c r="O517" t="s">
        <v>2723</v>
      </c>
      <c r="P517">
        <v>10</v>
      </c>
      <c r="Q517">
        <v>0</v>
      </c>
      <c r="R517" t="s">
        <v>2465</v>
      </c>
      <c r="S517" s="42" t="str">
        <f>HYPERLINK("https://sklep.kobi.pl/produkt/soma-pc-100-siatka-metal")</f>
        <v>https://sklep.kobi.pl/produkt/soma-pc-100-siatka-metal</v>
      </c>
      <c r="T517" s="42" t="str">
        <f>HYPERLINK("https://eprel.ec.europa.eu/qr/NIE DOTYCZY    ")</f>
        <v xml:space="preserve">https://eprel.ec.europa.eu/qr/NIE DOTYCZY    </v>
      </c>
      <c r="U517">
        <v>0.22</v>
      </c>
      <c r="V517">
        <v>0</v>
      </c>
      <c r="W517">
        <v>0</v>
      </c>
      <c r="X517">
        <v>0</v>
      </c>
      <c r="Y517">
        <v>0</v>
      </c>
    </row>
    <row r="518" spans="1:25" ht="15" x14ac:dyDescent="0.25">
      <c r="A518" t="s">
        <v>22</v>
      </c>
      <c r="B518" t="s">
        <v>1568</v>
      </c>
      <c r="C518"/>
      <c r="D518" t="s">
        <v>111</v>
      </c>
      <c r="E518" t="s">
        <v>14</v>
      </c>
      <c r="F518" t="s">
        <v>2111</v>
      </c>
      <c r="G518" t="s">
        <v>1305</v>
      </c>
      <c r="H518" t="s">
        <v>3</v>
      </c>
      <c r="I518">
        <v>32</v>
      </c>
      <c r="J518" s="41">
        <f>I518/'enter the discount'!$D$7</f>
        <v>7.4902860352979737</v>
      </c>
      <c r="K518" s="41">
        <f>J518*(1-IFERROR(VLOOKUP(H518,'enter the discount'!$D$10:$E$40,2,FALSE),0))</f>
        <v>7.4902860352979737</v>
      </c>
      <c r="L518" s="43" t="s">
        <v>2549</v>
      </c>
      <c r="M518" t="s">
        <v>1306</v>
      </c>
      <c r="N518" t="s">
        <v>928</v>
      </c>
      <c r="O518" t="s">
        <v>2723</v>
      </c>
      <c r="P518">
        <v>12</v>
      </c>
      <c r="Q518">
        <v>0</v>
      </c>
      <c r="R518" t="s">
        <v>2465</v>
      </c>
      <c r="S518" s="42" t="str">
        <f>HYPERLINK("https://sklep.kobi.pl/produkt/soma-pc-60-siatka-metal")</f>
        <v>https://sklep.kobi.pl/produkt/soma-pc-60-siatka-metal</v>
      </c>
      <c r="T518" s="42" t="str">
        <f>HYPERLINK("https://eprel.ec.europa.eu/qr/NIE DOTYCZY    ")</f>
        <v xml:space="preserve">https://eprel.ec.europa.eu/qr/NIE DOTYCZY    </v>
      </c>
      <c r="U518">
        <v>0.2</v>
      </c>
      <c r="V518">
        <v>0</v>
      </c>
      <c r="W518">
        <v>0</v>
      </c>
      <c r="X518">
        <v>0</v>
      </c>
      <c r="Y518">
        <v>0</v>
      </c>
    </row>
    <row r="519" spans="1:25" ht="15" x14ac:dyDescent="0.25">
      <c r="A519" t="s">
        <v>22</v>
      </c>
      <c r="B519" t="s">
        <v>1568</v>
      </c>
      <c r="C519"/>
      <c r="D519" t="s">
        <v>111</v>
      </c>
      <c r="E519" t="s">
        <v>14</v>
      </c>
      <c r="F519" t="s">
        <v>2112</v>
      </c>
      <c r="G519" t="s">
        <v>1307</v>
      </c>
      <c r="H519" t="s">
        <v>3</v>
      </c>
      <c r="I519">
        <v>28.5</v>
      </c>
      <c r="J519" s="41">
        <f>I519/'enter the discount'!$D$7</f>
        <v>6.6710360001872573</v>
      </c>
      <c r="K519" s="41">
        <f>J519*(1-IFERROR(VLOOKUP(H519,'enter the discount'!$D$10:$E$40,2,FALSE),0))</f>
        <v>6.6710360001872573</v>
      </c>
      <c r="L519" s="43" t="s">
        <v>2549</v>
      </c>
      <c r="M519" t="s">
        <v>1308</v>
      </c>
      <c r="N519" t="s">
        <v>928</v>
      </c>
      <c r="O519" t="s">
        <v>2723</v>
      </c>
      <c r="P519">
        <v>12</v>
      </c>
      <c r="Q519">
        <v>0</v>
      </c>
      <c r="R519" t="s">
        <v>2465</v>
      </c>
      <c r="S519" s="42" t="str">
        <f>HYPERLINK("https://sklep.kobi.pl/produkt/soma-pc-60-siatka-plastik")</f>
        <v>https://sklep.kobi.pl/produkt/soma-pc-60-siatka-plastik</v>
      </c>
      <c r="T519" s="42" t="str">
        <f>HYPERLINK("https://eprel.ec.europa.eu/qr/NIE DOTYCZY    ")</f>
        <v xml:space="preserve">https://eprel.ec.europa.eu/qr/NIE DOTYCZY    </v>
      </c>
      <c r="U519">
        <v>0.19</v>
      </c>
      <c r="V519">
        <v>0</v>
      </c>
      <c r="W519">
        <v>0</v>
      </c>
      <c r="X519">
        <v>0</v>
      </c>
      <c r="Y519">
        <v>0</v>
      </c>
    </row>
    <row r="520" spans="1:25" ht="15" x14ac:dyDescent="0.25">
      <c r="A520" t="s">
        <v>23</v>
      </c>
      <c r="B520" t="s">
        <v>40</v>
      </c>
      <c r="C520"/>
      <c r="D520" t="s">
        <v>111</v>
      </c>
      <c r="E520" t="s">
        <v>14</v>
      </c>
      <c r="F520" t="s">
        <v>2113</v>
      </c>
      <c r="G520" t="s">
        <v>343</v>
      </c>
      <c r="H520" t="s">
        <v>4</v>
      </c>
      <c r="I520">
        <v>59.35</v>
      </c>
      <c r="J520" s="41">
        <f>I520/'enter the discount'!$D$7</f>
        <v>13.89213988109171</v>
      </c>
      <c r="K520" s="41">
        <f>J520*(1-IFERROR(VLOOKUP(H520,'enter the discount'!$D$10:$E$40,2,FALSE),0))</f>
        <v>13.89213988109171</v>
      </c>
      <c r="L520" s="43" t="s">
        <v>2549</v>
      </c>
      <c r="M520" t="s">
        <v>707</v>
      </c>
      <c r="N520" t="s">
        <v>937</v>
      </c>
      <c r="O520" t="s">
        <v>2723</v>
      </c>
      <c r="P520">
        <v>12</v>
      </c>
      <c r="Q520">
        <v>240</v>
      </c>
      <c r="R520" t="s">
        <v>2465</v>
      </c>
      <c r="S520" s="42" t="str">
        <f>HYPERLINK("https://sklep.kobi.pl/produkt/lampka-biurkowa-smieszek-kx3087-biala")</f>
        <v>https://sklep.kobi.pl/produkt/lampka-biurkowa-smieszek-kx3087-biala</v>
      </c>
      <c r="T520" s="42" t="str">
        <f>HYPERLINK("https://eprel.ec.europa.eu/qr/NIE DOTYCZY    ")</f>
        <v xml:space="preserve">https://eprel.ec.europa.eu/qr/NIE DOTYCZY    </v>
      </c>
      <c r="U520">
        <v>0.66400000000000003</v>
      </c>
      <c r="V520">
        <v>0.876</v>
      </c>
      <c r="W520">
        <v>140</v>
      </c>
      <c r="X520">
        <v>135</v>
      </c>
      <c r="Y520">
        <v>206</v>
      </c>
    </row>
    <row r="521" spans="1:25" ht="15" x14ac:dyDescent="0.25">
      <c r="A521" t="s">
        <v>23</v>
      </c>
      <c r="B521" t="s">
        <v>40</v>
      </c>
      <c r="C521"/>
      <c r="D521" t="s">
        <v>111</v>
      </c>
      <c r="E521" t="s">
        <v>14</v>
      </c>
      <c r="F521" t="s">
        <v>2114</v>
      </c>
      <c r="G521" t="s">
        <v>344</v>
      </c>
      <c r="H521" t="s">
        <v>4</v>
      </c>
      <c r="I521">
        <v>59.35</v>
      </c>
      <c r="J521" s="41">
        <f>I521/'enter the discount'!$D$7</f>
        <v>13.89213988109171</v>
      </c>
      <c r="K521" s="41">
        <f>J521*(1-IFERROR(VLOOKUP(H521,'enter the discount'!$D$10:$E$40,2,FALSE),0))</f>
        <v>13.89213988109171</v>
      </c>
      <c r="L521" s="43" t="s">
        <v>2549</v>
      </c>
      <c r="M521" t="s">
        <v>708</v>
      </c>
      <c r="N521" t="s">
        <v>937</v>
      </c>
      <c r="O521" t="s">
        <v>2723</v>
      </c>
      <c r="P521">
        <v>12</v>
      </c>
      <c r="Q521">
        <v>240</v>
      </c>
      <c r="R521" t="s">
        <v>2465</v>
      </c>
      <c r="S521" s="42" t="str">
        <f>HYPERLINK("https://sklep.kobi.pl/produkt/lampka-biurkowa-smieszek-kx3087-czarna")</f>
        <v>https://sklep.kobi.pl/produkt/lampka-biurkowa-smieszek-kx3087-czarna</v>
      </c>
      <c r="T521" s="42" t="str">
        <f>HYPERLINK("https://eprel.ec.europa.eu/qr/NIE DOTYCZY    ")</f>
        <v xml:space="preserve">https://eprel.ec.europa.eu/qr/NIE DOTYCZY    </v>
      </c>
      <c r="U521">
        <v>0.66400000000000003</v>
      </c>
      <c r="V521">
        <v>0.876</v>
      </c>
      <c r="W521">
        <v>140</v>
      </c>
      <c r="X521">
        <v>135</v>
      </c>
      <c r="Y521">
        <v>206</v>
      </c>
    </row>
    <row r="522" spans="1:25" ht="15" x14ac:dyDescent="0.25">
      <c r="A522" t="s">
        <v>23</v>
      </c>
      <c r="B522" t="s">
        <v>40</v>
      </c>
      <c r="C522"/>
      <c r="D522" t="s">
        <v>111</v>
      </c>
      <c r="E522" t="s">
        <v>14</v>
      </c>
      <c r="F522" t="s">
        <v>2115</v>
      </c>
      <c r="G522" t="s">
        <v>345</v>
      </c>
      <c r="H522" t="s">
        <v>4</v>
      </c>
      <c r="I522">
        <v>59.35</v>
      </c>
      <c r="J522" s="41">
        <f>I522/'enter the discount'!$D$7</f>
        <v>13.89213988109171</v>
      </c>
      <c r="K522" s="41">
        <f>J522*(1-IFERROR(VLOOKUP(H522,'enter the discount'!$D$10:$E$40,2,FALSE),0))</f>
        <v>13.89213988109171</v>
      </c>
      <c r="L522" s="43" t="s">
        <v>2549</v>
      </c>
      <c r="M522" t="s">
        <v>709</v>
      </c>
      <c r="N522" t="s">
        <v>937</v>
      </c>
      <c r="O522" t="s">
        <v>2723</v>
      </c>
      <c r="P522">
        <v>12</v>
      </c>
      <c r="Q522">
        <v>240</v>
      </c>
      <c r="R522" t="s">
        <v>2465</v>
      </c>
      <c r="S522" s="42" t="str">
        <f>HYPERLINK("https://sklep.kobi.pl/produkt/lampka-biurkowa-smieszek-kx3087-czerwona")</f>
        <v>https://sklep.kobi.pl/produkt/lampka-biurkowa-smieszek-kx3087-czerwona</v>
      </c>
      <c r="T522" s="42" t="str">
        <f>HYPERLINK("https://eprel.ec.europa.eu/qr/NIE DOTYCZY    ")</f>
        <v xml:space="preserve">https://eprel.ec.europa.eu/qr/NIE DOTYCZY    </v>
      </c>
      <c r="U522">
        <v>0.66400000000000003</v>
      </c>
      <c r="V522">
        <v>0.876</v>
      </c>
      <c r="W522">
        <v>140</v>
      </c>
      <c r="X522">
        <v>135</v>
      </c>
      <c r="Y522">
        <v>206</v>
      </c>
    </row>
    <row r="523" spans="1:25" ht="15" x14ac:dyDescent="0.25">
      <c r="A523" t="s">
        <v>23</v>
      </c>
      <c r="B523" t="s">
        <v>40</v>
      </c>
      <c r="C523"/>
      <c r="D523" t="s">
        <v>111</v>
      </c>
      <c r="E523" t="s">
        <v>14</v>
      </c>
      <c r="F523" t="s">
        <v>2116</v>
      </c>
      <c r="G523" t="s">
        <v>346</v>
      </c>
      <c r="H523" t="s">
        <v>4</v>
      </c>
      <c r="I523">
        <v>59.35</v>
      </c>
      <c r="J523" s="41">
        <f>I523/'enter the discount'!$D$7</f>
        <v>13.89213988109171</v>
      </c>
      <c r="K523" s="41">
        <f>J523*(1-IFERROR(VLOOKUP(H523,'enter the discount'!$D$10:$E$40,2,FALSE),0))</f>
        <v>13.89213988109171</v>
      </c>
      <c r="L523" s="43" t="s">
        <v>2549</v>
      </c>
      <c r="M523" t="s">
        <v>710</v>
      </c>
      <c r="N523" t="s">
        <v>937</v>
      </c>
      <c r="O523" t="s">
        <v>2723</v>
      </c>
      <c r="P523">
        <v>12</v>
      </c>
      <c r="Q523">
        <v>240</v>
      </c>
      <c r="R523" t="s">
        <v>2465</v>
      </c>
      <c r="S523" s="42" t="str">
        <f>HYPERLINK("https://sklep.kobi.pl/produkt/lampka-biurkowa-smieszek-kx3087-niebiesk")</f>
        <v>https://sklep.kobi.pl/produkt/lampka-biurkowa-smieszek-kx3087-niebiesk</v>
      </c>
      <c r="T523" s="42" t="str">
        <f>HYPERLINK("https://eprel.ec.europa.eu/qr/NIE DOTYCZY    ")</f>
        <v xml:space="preserve">https://eprel.ec.europa.eu/qr/NIE DOTYCZY    </v>
      </c>
      <c r="U523">
        <v>0.66400000000000003</v>
      </c>
      <c r="V523">
        <v>0.876</v>
      </c>
      <c r="W523">
        <v>140</v>
      </c>
      <c r="X523">
        <v>135</v>
      </c>
      <c r="Y523">
        <v>206</v>
      </c>
    </row>
    <row r="524" spans="1:25" ht="15" x14ac:dyDescent="0.25">
      <c r="A524" t="s">
        <v>23</v>
      </c>
      <c r="B524" t="s">
        <v>40</v>
      </c>
      <c r="C524"/>
      <c r="D524" t="s">
        <v>111</v>
      </c>
      <c r="E524" t="s">
        <v>14</v>
      </c>
      <c r="F524" t="s">
        <v>2117</v>
      </c>
      <c r="G524" t="s">
        <v>1293</v>
      </c>
      <c r="H524" t="s">
        <v>4</v>
      </c>
      <c r="I524">
        <v>59.35</v>
      </c>
      <c r="J524" s="41">
        <f>I524/'enter the discount'!$D$7</f>
        <v>13.89213988109171</v>
      </c>
      <c r="K524" s="41">
        <f>J524*(1-IFERROR(VLOOKUP(H524,'enter the discount'!$D$10:$E$40,2,FALSE),0))</f>
        <v>13.89213988109171</v>
      </c>
      <c r="L524" s="43" t="s">
        <v>2549</v>
      </c>
      <c r="M524" t="s">
        <v>1294</v>
      </c>
      <c r="N524" t="s">
        <v>937</v>
      </c>
      <c r="O524" t="s">
        <v>2723</v>
      </c>
      <c r="P524">
        <v>12</v>
      </c>
      <c r="Q524">
        <v>240</v>
      </c>
      <c r="R524" t="s">
        <v>2465</v>
      </c>
      <c r="S524" s="42" t="str">
        <f>HYPERLINK("https://sklep.kobi.pl/produkt/lampka-biurkowa-smieszek-kx3087-rozowa")</f>
        <v>https://sklep.kobi.pl/produkt/lampka-biurkowa-smieszek-kx3087-rozowa</v>
      </c>
      <c r="T524" s="42" t="str">
        <f>HYPERLINK("https://eprel.ec.europa.eu/qr/NIE DOTYCZY    ")</f>
        <v xml:space="preserve">https://eprel.ec.europa.eu/qr/NIE DOTYCZY    </v>
      </c>
      <c r="U524">
        <v>0.85</v>
      </c>
      <c r="V524">
        <v>0.876</v>
      </c>
      <c r="W524">
        <v>140</v>
      </c>
      <c r="X524">
        <v>135</v>
      </c>
      <c r="Y524">
        <v>206</v>
      </c>
    </row>
    <row r="525" spans="1:25" ht="15" x14ac:dyDescent="0.25">
      <c r="A525" t="s">
        <v>23</v>
      </c>
      <c r="B525" t="s">
        <v>40</v>
      </c>
      <c r="C525"/>
      <c r="D525" t="s">
        <v>111</v>
      </c>
      <c r="E525" t="s">
        <v>14</v>
      </c>
      <c r="F525" t="s">
        <v>2118</v>
      </c>
      <c r="G525" t="s">
        <v>347</v>
      </c>
      <c r="H525" t="s">
        <v>4</v>
      </c>
      <c r="I525">
        <v>59.35</v>
      </c>
      <c r="J525" s="41">
        <f>I525/'enter the discount'!$D$7</f>
        <v>13.89213988109171</v>
      </c>
      <c r="K525" s="41">
        <f>J525*(1-IFERROR(VLOOKUP(H525,'enter the discount'!$D$10:$E$40,2,FALSE),0))</f>
        <v>13.89213988109171</v>
      </c>
      <c r="L525" s="43" t="s">
        <v>2549</v>
      </c>
      <c r="M525" t="s">
        <v>711</v>
      </c>
      <c r="N525" t="s">
        <v>937</v>
      </c>
      <c r="O525" t="s">
        <v>2723</v>
      </c>
      <c r="P525">
        <v>12</v>
      </c>
      <c r="Q525">
        <v>240</v>
      </c>
      <c r="R525" t="s">
        <v>2465</v>
      </c>
      <c r="S525" s="42" t="str">
        <f>HYPERLINK("https://sklep.kobi.pl/produkt/lampka-biurkowa-smieszek-kx3087-zielona")</f>
        <v>https://sklep.kobi.pl/produkt/lampka-biurkowa-smieszek-kx3087-zielona</v>
      </c>
      <c r="T525" s="42" t="str">
        <f>HYPERLINK("https://eprel.ec.europa.eu/qr/NIE DOTYCZY    ")</f>
        <v xml:space="preserve">https://eprel.ec.europa.eu/qr/NIE DOTYCZY    </v>
      </c>
      <c r="U525">
        <v>0.66400000000000003</v>
      </c>
      <c r="V525">
        <v>0.876</v>
      </c>
      <c r="W525">
        <v>140</v>
      </c>
      <c r="X525">
        <v>135</v>
      </c>
      <c r="Y525">
        <v>206</v>
      </c>
    </row>
    <row r="526" spans="1:25" ht="15" x14ac:dyDescent="0.25">
      <c r="A526" t="s">
        <v>23</v>
      </c>
      <c r="B526" t="s">
        <v>40</v>
      </c>
      <c r="C526"/>
      <c r="D526" t="s">
        <v>111</v>
      </c>
      <c r="E526" t="s">
        <v>14</v>
      </c>
      <c r="F526" t="s">
        <v>2119</v>
      </c>
      <c r="G526" t="s">
        <v>348</v>
      </c>
      <c r="H526" t="s">
        <v>4</v>
      </c>
      <c r="I526">
        <v>59.35</v>
      </c>
      <c r="J526" s="41">
        <f>I526/'enter the discount'!$D$7</f>
        <v>13.89213988109171</v>
      </c>
      <c r="K526" s="41">
        <f>J526*(1-IFERROR(VLOOKUP(H526,'enter the discount'!$D$10:$E$40,2,FALSE),0))</f>
        <v>13.89213988109171</v>
      </c>
      <c r="L526" s="43" t="s">
        <v>2549</v>
      </c>
      <c r="M526" t="s">
        <v>712</v>
      </c>
      <c r="N526" t="s">
        <v>937</v>
      </c>
      <c r="O526" t="s">
        <v>2723</v>
      </c>
      <c r="P526">
        <v>12</v>
      </c>
      <c r="Q526">
        <v>240</v>
      </c>
      <c r="R526" t="s">
        <v>2465</v>
      </c>
      <c r="S526" s="42" t="str">
        <f>HYPERLINK("https://sklep.kobi.pl/produkt/lampka-biurkowa-smieszek-kx3087-zolta")</f>
        <v>https://sklep.kobi.pl/produkt/lampka-biurkowa-smieszek-kx3087-zolta</v>
      </c>
      <c r="T526" s="42" t="str">
        <f>HYPERLINK("https://eprel.ec.europa.eu/qr/NIE DOTYCZY    ")</f>
        <v xml:space="preserve">https://eprel.ec.europa.eu/qr/NIE DOTYCZY    </v>
      </c>
      <c r="U526">
        <v>0.66400000000000003</v>
      </c>
      <c r="V526">
        <v>0.876</v>
      </c>
      <c r="W526">
        <v>140</v>
      </c>
      <c r="X526">
        <v>135</v>
      </c>
      <c r="Y526">
        <v>206</v>
      </c>
    </row>
    <row r="527" spans="1:25" ht="15" x14ac:dyDescent="0.25">
      <c r="A527" t="s">
        <v>23</v>
      </c>
      <c r="B527" t="s">
        <v>40</v>
      </c>
      <c r="C527"/>
      <c r="D527" t="s">
        <v>111</v>
      </c>
      <c r="E527" t="s">
        <v>14</v>
      </c>
      <c r="F527" t="s">
        <v>2120</v>
      </c>
      <c r="G527" t="s">
        <v>1435</v>
      </c>
      <c r="H527" t="s">
        <v>4</v>
      </c>
      <c r="I527">
        <v>168</v>
      </c>
      <c r="J527" s="41">
        <f>I527/'enter the discount'!$D$7</f>
        <v>39.324001685314357</v>
      </c>
      <c r="K527" s="41">
        <f>J527*(1-IFERROR(VLOOKUP(H527,'enter the discount'!$D$10:$E$40,2,FALSE),0))</f>
        <v>39.324001685314357</v>
      </c>
      <c r="L527" s="43" t="s">
        <v>2549</v>
      </c>
      <c r="M527" t="s">
        <v>1436</v>
      </c>
      <c r="N527" t="s">
        <v>1454</v>
      </c>
      <c r="O527" t="s">
        <v>2723</v>
      </c>
      <c r="P527">
        <v>12</v>
      </c>
      <c r="Q527">
        <v>0</v>
      </c>
      <c r="R527" t="s">
        <v>2465</v>
      </c>
      <c r="S527" s="42" t="str">
        <f>HYPERLINK("https://sklep.kobi.pl/produkt/led-lizbona-35w-biala")</f>
        <v>https://sklep.kobi.pl/produkt/led-lizbona-35w-biala</v>
      </c>
      <c r="T527" s="42" t="str">
        <f>HYPERLINK("https://eprel.ec.europa.eu/qr/NIE DOTYCZY    ")</f>
        <v xml:space="preserve">https://eprel.ec.europa.eu/qr/NIE DOTYCZY    </v>
      </c>
      <c r="U527">
        <v>0.79</v>
      </c>
      <c r="V527">
        <v>0</v>
      </c>
      <c r="W527">
        <v>0</v>
      </c>
      <c r="X527">
        <v>0</v>
      </c>
      <c r="Y527">
        <v>0</v>
      </c>
    </row>
    <row r="528" spans="1:25" ht="15" x14ac:dyDescent="0.25">
      <c r="A528" t="s">
        <v>23</v>
      </c>
      <c r="B528" t="s">
        <v>40</v>
      </c>
      <c r="C528"/>
      <c r="D528" t="s">
        <v>111</v>
      </c>
      <c r="E528" t="s">
        <v>14</v>
      </c>
      <c r="F528" t="s">
        <v>2121</v>
      </c>
      <c r="G528" t="s">
        <v>1437</v>
      </c>
      <c r="H528" t="s">
        <v>4</v>
      </c>
      <c r="I528">
        <v>168</v>
      </c>
      <c r="J528" s="41">
        <f>I528/'enter the discount'!$D$7</f>
        <v>39.324001685314357</v>
      </c>
      <c r="K528" s="41">
        <f>J528*(1-IFERROR(VLOOKUP(H528,'enter the discount'!$D$10:$E$40,2,FALSE),0))</f>
        <v>39.324001685314357</v>
      </c>
      <c r="L528" s="43" t="s">
        <v>2549</v>
      </c>
      <c r="M528" t="s">
        <v>1438</v>
      </c>
      <c r="N528" t="s">
        <v>1454</v>
      </c>
      <c r="O528" t="s">
        <v>2723</v>
      </c>
      <c r="P528">
        <v>12</v>
      </c>
      <c r="Q528">
        <v>0</v>
      </c>
      <c r="R528" t="s">
        <v>2465</v>
      </c>
      <c r="S528" s="42" t="str">
        <f>HYPERLINK("https://sklep.kobi.pl/produkt/led-lizbona-35w-czarna")</f>
        <v>https://sklep.kobi.pl/produkt/led-lizbona-35w-czarna</v>
      </c>
      <c r="T528" s="42" t="str">
        <f>HYPERLINK("https://eprel.ec.europa.eu/qr/NIE DOTYCZY    ")</f>
        <v xml:space="preserve">https://eprel.ec.europa.eu/qr/NIE DOTYCZY    </v>
      </c>
      <c r="U528">
        <v>0.79</v>
      </c>
      <c r="V528">
        <v>0</v>
      </c>
      <c r="W528">
        <v>0</v>
      </c>
      <c r="X528">
        <v>0</v>
      </c>
      <c r="Y528">
        <v>0</v>
      </c>
    </row>
    <row r="529" spans="1:25" ht="15" x14ac:dyDescent="0.25">
      <c r="A529" t="s">
        <v>23</v>
      </c>
      <c r="B529" t="s">
        <v>2122</v>
      </c>
      <c r="C529"/>
      <c r="D529" t="s">
        <v>111</v>
      </c>
      <c r="E529" t="s">
        <v>14</v>
      </c>
      <c r="F529" t="s">
        <v>14</v>
      </c>
      <c r="G529" t="s">
        <v>1654</v>
      </c>
      <c r="H529" t="s">
        <v>2123</v>
      </c>
      <c r="I529">
        <v>276.20999999999998</v>
      </c>
      <c r="J529" s="41">
        <f>I529/'enter the discount'!$D$7</f>
        <v>64.652872056551658</v>
      </c>
      <c r="K529" s="41">
        <f>J529*(1-IFERROR(VLOOKUP(H529,'enter the discount'!$D$10:$E$40,2,FALSE),0))</f>
        <v>64.652872056551658</v>
      </c>
      <c r="L529" s="43" t="s">
        <v>2549</v>
      </c>
      <c r="M529" t="s">
        <v>1655</v>
      </c>
      <c r="N529" t="s">
        <v>935</v>
      </c>
      <c r="O529" t="s">
        <v>2723</v>
      </c>
      <c r="P529">
        <v>1</v>
      </c>
      <c r="Q529">
        <v>36</v>
      </c>
      <c r="R529" t="s">
        <v>2465</v>
      </c>
      <c r="S529" s="42" t="str">
        <f>HYPERLINK("https://sklep.kobi.pl/produkt/boho-baku-m")</f>
        <v>https://sklep.kobi.pl/produkt/boho-baku-m</v>
      </c>
      <c r="T529" s="42" t="str">
        <f>HYPERLINK("https://eprel.ec.europa.eu/qr/NIE DOTYCZY    ")</f>
        <v xml:space="preserve">https://eprel.ec.europa.eu/qr/NIE DOTYCZY    </v>
      </c>
      <c r="U529">
        <v>0.99</v>
      </c>
      <c r="V529">
        <v>0</v>
      </c>
      <c r="W529">
        <v>0</v>
      </c>
      <c r="X529">
        <v>0</v>
      </c>
      <c r="Y529">
        <v>0</v>
      </c>
    </row>
    <row r="530" spans="1:25" ht="15" x14ac:dyDescent="0.25">
      <c r="A530" t="s">
        <v>23</v>
      </c>
      <c r="B530" t="s">
        <v>2122</v>
      </c>
      <c r="C530"/>
      <c r="D530" t="s">
        <v>111</v>
      </c>
      <c r="E530" t="s">
        <v>14</v>
      </c>
      <c r="F530" t="s">
        <v>14</v>
      </c>
      <c r="G530" t="s">
        <v>1656</v>
      </c>
      <c r="H530" t="s">
        <v>2123</v>
      </c>
      <c r="I530">
        <v>215.38</v>
      </c>
      <c r="J530" s="41">
        <f>I530/'enter the discount'!$D$7</f>
        <v>50.414306446327423</v>
      </c>
      <c r="K530" s="41">
        <f>J530*(1-IFERROR(VLOOKUP(H530,'enter the discount'!$D$10:$E$40,2,FALSE),0))</f>
        <v>50.414306446327423</v>
      </c>
      <c r="L530" s="43" t="s">
        <v>2549</v>
      </c>
      <c r="M530" t="s">
        <v>1657</v>
      </c>
      <c r="N530" t="s">
        <v>935</v>
      </c>
      <c r="O530" t="s">
        <v>2723</v>
      </c>
      <c r="P530">
        <v>1</v>
      </c>
      <c r="Q530">
        <v>64</v>
      </c>
      <c r="R530" t="s">
        <v>2465</v>
      </c>
      <c r="S530" s="42" t="str">
        <f>HYPERLINK("https://sklep.kobi.pl/produkt/boho-baku-s")</f>
        <v>https://sklep.kobi.pl/produkt/boho-baku-s</v>
      </c>
      <c r="T530" s="42" t="str">
        <f>HYPERLINK("https://eprel.ec.europa.eu/qr/NIE DOTYCZY    ")</f>
        <v xml:space="preserve">https://eprel.ec.europa.eu/qr/NIE DOTYCZY    </v>
      </c>
      <c r="U530">
        <v>0.8</v>
      </c>
      <c r="V530">
        <v>1</v>
      </c>
      <c r="W530">
        <v>0</v>
      </c>
      <c r="X530">
        <v>0</v>
      </c>
      <c r="Y530">
        <v>0</v>
      </c>
    </row>
    <row r="531" spans="1:25" ht="15" x14ac:dyDescent="0.25">
      <c r="A531" t="s">
        <v>23</v>
      </c>
      <c r="B531" t="s">
        <v>2122</v>
      </c>
      <c r="C531"/>
      <c r="D531" t="s">
        <v>111</v>
      </c>
      <c r="E531" t="s">
        <v>14</v>
      </c>
      <c r="F531" t="s">
        <v>14</v>
      </c>
      <c r="G531" t="s">
        <v>1658</v>
      </c>
      <c r="H531" t="s">
        <v>2123</v>
      </c>
      <c r="I531">
        <v>270.63</v>
      </c>
      <c r="J531" s="41">
        <f>I531/'enter the discount'!$D$7</f>
        <v>63.346753429146581</v>
      </c>
      <c r="K531" s="41">
        <f>J531*(1-IFERROR(VLOOKUP(H531,'enter the discount'!$D$10:$E$40,2,FALSE),0))</f>
        <v>63.346753429146581</v>
      </c>
      <c r="L531" s="43" t="s">
        <v>2549</v>
      </c>
      <c r="M531" t="s">
        <v>1659</v>
      </c>
      <c r="N531" t="s">
        <v>935</v>
      </c>
      <c r="O531" t="s">
        <v>2723</v>
      </c>
      <c r="P531">
        <v>1</v>
      </c>
      <c r="Q531">
        <v>30</v>
      </c>
      <c r="R531" t="s">
        <v>2465</v>
      </c>
      <c r="S531" s="42" t="str">
        <f>HYPERLINK("https://sklep.kobi.pl/produkt/boho-beirut")</f>
        <v>https://sklep.kobi.pl/produkt/boho-beirut</v>
      </c>
      <c r="T531" s="42" t="str">
        <f>HYPERLINK("https://eprel.ec.europa.eu/qr/NIE DOTYCZY    ")</f>
        <v xml:space="preserve">https://eprel.ec.europa.eu/qr/NIE DOTYCZY    </v>
      </c>
      <c r="U531">
        <v>0.8</v>
      </c>
      <c r="V531">
        <v>0</v>
      </c>
      <c r="W531">
        <v>0</v>
      </c>
      <c r="X531">
        <v>0</v>
      </c>
      <c r="Y531">
        <v>0</v>
      </c>
    </row>
    <row r="532" spans="1:25" ht="15" x14ac:dyDescent="0.25">
      <c r="A532" t="s">
        <v>23</v>
      </c>
      <c r="B532" t="s">
        <v>2122</v>
      </c>
      <c r="C532"/>
      <c r="D532" t="s">
        <v>111</v>
      </c>
      <c r="E532" t="s">
        <v>14</v>
      </c>
      <c r="F532" t="s">
        <v>14</v>
      </c>
      <c r="G532" t="s">
        <v>1660</v>
      </c>
      <c r="H532" t="s">
        <v>2123</v>
      </c>
      <c r="I532">
        <v>213.21</v>
      </c>
      <c r="J532" s="41">
        <f>I532/'enter the discount'!$D$7</f>
        <v>49.906371424558778</v>
      </c>
      <c r="K532" s="41">
        <f>J532*(1-IFERROR(VLOOKUP(H532,'enter the discount'!$D$10:$E$40,2,FALSE),0))</f>
        <v>49.906371424558778</v>
      </c>
      <c r="L532" s="43" t="s">
        <v>2549</v>
      </c>
      <c r="M532" t="s">
        <v>1661</v>
      </c>
      <c r="N532" t="s">
        <v>935</v>
      </c>
      <c r="O532" t="s">
        <v>2723</v>
      </c>
      <c r="P532">
        <v>1</v>
      </c>
      <c r="Q532">
        <v>60</v>
      </c>
      <c r="R532" t="s">
        <v>2465</v>
      </c>
      <c r="S532" s="42" t="str">
        <f>HYPERLINK("https://sklep.kobi.pl/produkt/boho-bern")</f>
        <v>https://sklep.kobi.pl/produkt/boho-bern</v>
      </c>
      <c r="T532" s="42" t="str">
        <f>HYPERLINK("https://eprel.ec.europa.eu/qr/NIE DOTYCZY    ")</f>
        <v xml:space="preserve">https://eprel.ec.europa.eu/qr/NIE DOTYCZY    </v>
      </c>
      <c r="U532">
        <v>0.61</v>
      </c>
      <c r="V532">
        <v>0.81</v>
      </c>
      <c r="W532">
        <v>0</v>
      </c>
      <c r="X532">
        <v>0</v>
      </c>
      <c r="Y532">
        <v>0</v>
      </c>
    </row>
    <row r="533" spans="1:25" ht="15" x14ac:dyDescent="0.25">
      <c r="A533" t="s">
        <v>23</v>
      </c>
      <c r="B533" t="s">
        <v>2122</v>
      </c>
      <c r="C533"/>
      <c r="D533" t="s">
        <v>111</v>
      </c>
      <c r="E533" t="s">
        <v>14</v>
      </c>
      <c r="F533" t="s">
        <v>14</v>
      </c>
      <c r="G533" t="s">
        <v>1662</v>
      </c>
      <c r="H533" t="s">
        <v>2123</v>
      </c>
      <c r="I533">
        <v>252.5</v>
      </c>
      <c r="J533" s="41">
        <f>I533/'enter the discount'!$D$7</f>
        <v>59.103038247273069</v>
      </c>
      <c r="K533" s="41">
        <f>J533*(1-IFERROR(VLOOKUP(H533,'enter the discount'!$D$10:$E$40,2,FALSE),0))</f>
        <v>59.103038247273069</v>
      </c>
      <c r="L533" s="43" t="s">
        <v>2549</v>
      </c>
      <c r="M533" t="s">
        <v>1663</v>
      </c>
      <c r="N533" t="s">
        <v>935</v>
      </c>
      <c r="O533" t="s">
        <v>2723</v>
      </c>
      <c r="P533">
        <v>1</v>
      </c>
      <c r="Q533">
        <v>0</v>
      </c>
      <c r="R533" t="s">
        <v>2465</v>
      </c>
      <c r="S533" s="42" t="str">
        <f>HYPERLINK("https://sklep.kobi.pl/produkt/boho-bimini")</f>
        <v>https://sklep.kobi.pl/produkt/boho-bimini</v>
      </c>
      <c r="T533" s="42" t="str">
        <f>HYPERLINK("https://eprel.ec.europa.eu/qr/NIE DOTYCZY    ")</f>
        <v xml:space="preserve">https://eprel.ec.europa.eu/qr/NIE DOTYCZY    </v>
      </c>
      <c r="U533">
        <v>0.88</v>
      </c>
      <c r="V533">
        <v>0</v>
      </c>
      <c r="W533">
        <v>0</v>
      </c>
      <c r="X533">
        <v>0</v>
      </c>
      <c r="Y533">
        <v>0</v>
      </c>
    </row>
    <row r="534" spans="1:25" ht="15" x14ac:dyDescent="0.25">
      <c r="A534" t="s">
        <v>23</v>
      </c>
      <c r="B534" t="s">
        <v>2122</v>
      </c>
      <c r="C534"/>
      <c r="D534" t="s">
        <v>111</v>
      </c>
      <c r="E534" t="s">
        <v>14</v>
      </c>
      <c r="F534" t="s">
        <v>14</v>
      </c>
      <c r="G534" t="s">
        <v>1664</v>
      </c>
      <c r="H534" t="s">
        <v>2123</v>
      </c>
      <c r="I534">
        <v>327.20999999999998</v>
      </c>
      <c r="J534" s="41">
        <f>I534/'enter the discount'!$D$7</f>
        <v>76.5905154253078</v>
      </c>
      <c r="K534" s="41">
        <f>J534*(1-IFERROR(VLOOKUP(H534,'enter the discount'!$D$10:$E$40,2,FALSE),0))</f>
        <v>76.5905154253078</v>
      </c>
      <c r="L534" s="43" t="s">
        <v>2549</v>
      </c>
      <c r="M534" t="s">
        <v>1665</v>
      </c>
      <c r="N534" t="s">
        <v>935</v>
      </c>
      <c r="O534" t="s">
        <v>2723</v>
      </c>
      <c r="P534">
        <v>1</v>
      </c>
      <c r="Q534">
        <v>30</v>
      </c>
      <c r="R534" t="s">
        <v>2465</v>
      </c>
      <c r="S534" s="42" t="str">
        <f>HYPERLINK("https://sklep.kobi.pl/produkt/boho-bonn")</f>
        <v>https://sklep.kobi.pl/produkt/boho-bonn</v>
      </c>
      <c r="T534" s="42" t="str">
        <f>HYPERLINK("https://eprel.ec.europa.eu/qr/NIE DOTYCZY    ")</f>
        <v xml:space="preserve">https://eprel.ec.europa.eu/qr/NIE DOTYCZY    </v>
      </c>
      <c r="U534">
        <v>1</v>
      </c>
      <c r="V534">
        <v>0</v>
      </c>
      <c r="W534">
        <v>0</v>
      </c>
      <c r="X534">
        <v>0</v>
      </c>
      <c r="Y534">
        <v>0</v>
      </c>
    </row>
    <row r="535" spans="1:25" ht="15" x14ac:dyDescent="0.25">
      <c r="A535" t="s">
        <v>23</v>
      </c>
      <c r="B535" t="s">
        <v>2122</v>
      </c>
      <c r="C535"/>
      <c r="D535" t="s">
        <v>111</v>
      </c>
      <c r="E535" t="s">
        <v>14</v>
      </c>
      <c r="F535" t="s">
        <v>14</v>
      </c>
      <c r="G535" t="s">
        <v>1666</v>
      </c>
      <c r="H535" t="s">
        <v>2123</v>
      </c>
      <c r="I535">
        <v>207.79</v>
      </c>
      <c r="J535" s="41">
        <f>I535/'enter the discount'!$D$7</f>
        <v>48.637704227330183</v>
      </c>
      <c r="K535" s="41">
        <f>J535*(1-IFERROR(VLOOKUP(H535,'enter the discount'!$D$10:$E$40,2,FALSE),0))</f>
        <v>48.637704227330183</v>
      </c>
      <c r="L535" s="43" t="s">
        <v>2549</v>
      </c>
      <c r="M535" t="s">
        <v>1667</v>
      </c>
      <c r="N535" t="s">
        <v>935</v>
      </c>
      <c r="O535" t="s">
        <v>2723</v>
      </c>
      <c r="P535">
        <v>1</v>
      </c>
      <c r="Q535">
        <v>0</v>
      </c>
      <c r="R535" t="s">
        <v>2465</v>
      </c>
      <c r="S535" s="42" t="str">
        <f>HYPERLINK("https://sklep.kobi.pl/produkt/boho-braga")</f>
        <v>https://sklep.kobi.pl/produkt/boho-braga</v>
      </c>
      <c r="T535" s="42" t="str">
        <f>HYPERLINK("https://eprel.ec.europa.eu/qr/NIE DOTYCZY    ")</f>
        <v xml:space="preserve">https://eprel.ec.europa.eu/qr/NIE DOTYCZY    </v>
      </c>
      <c r="U535">
        <v>0.5</v>
      </c>
      <c r="V535">
        <v>0</v>
      </c>
      <c r="W535">
        <v>0</v>
      </c>
      <c r="X535">
        <v>0</v>
      </c>
      <c r="Y535">
        <v>0</v>
      </c>
    </row>
    <row r="536" spans="1:25" ht="15" x14ac:dyDescent="0.25">
      <c r="A536" t="s">
        <v>23</v>
      </c>
      <c r="B536" t="s">
        <v>2122</v>
      </c>
      <c r="C536"/>
      <c r="D536" t="s">
        <v>111</v>
      </c>
      <c r="E536" t="s">
        <v>14</v>
      </c>
      <c r="F536" t="s">
        <v>14</v>
      </c>
      <c r="G536" t="s">
        <v>1668</v>
      </c>
      <c r="H536" t="s">
        <v>2123</v>
      </c>
      <c r="I536">
        <v>345.08</v>
      </c>
      <c r="J536" s="41">
        <f>I536/'enter the discount'!$D$7</f>
        <v>80.773372033144511</v>
      </c>
      <c r="K536" s="41">
        <f>J536*(1-IFERROR(VLOOKUP(H536,'enter the discount'!$D$10:$E$40,2,FALSE),0))</f>
        <v>80.773372033144511</v>
      </c>
      <c r="L536" s="43" t="s">
        <v>2549</v>
      </c>
      <c r="M536" t="s">
        <v>1669</v>
      </c>
      <c r="N536" t="s">
        <v>935</v>
      </c>
      <c r="O536" t="s">
        <v>2723</v>
      </c>
      <c r="P536">
        <v>1</v>
      </c>
      <c r="Q536">
        <v>32</v>
      </c>
      <c r="R536" t="s">
        <v>2465</v>
      </c>
      <c r="S536" s="42" t="str">
        <f>HYPERLINK("https://sklep.kobi.pl/produkt/boho-brugia-m")</f>
        <v>https://sklep.kobi.pl/produkt/boho-brugia-m</v>
      </c>
      <c r="T536" s="42" t="str">
        <f>HYPERLINK("https://eprel.ec.europa.eu/qr/NIE DOTYCZY    ")</f>
        <v xml:space="preserve">https://eprel.ec.europa.eu/qr/NIE DOTYCZY    </v>
      </c>
      <c r="U536">
        <v>1.2</v>
      </c>
      <c r="V536">
        <v>1.4</v>
      </c>
      <c r="W536">
        <v>0</v>
      </c>
      <c r="X536">
        <v>0</v>
      </c>
      <c r="Y536">
        <v>0</v>
      </c>
    </row>
    <row r="537" spans="1:25" ht="15" x14ac:dyDescent="0.25">
      <c r="A537" t="s">
        <v>23</v>
      </c>
      <c r="B537" t="s">
        <v>2122</v>
      </c>
      <c r="C537"/>
      <c r="D537" t="s">
        <v>111</v>
      </c>
      <c r="E537" t="s">
        <v>14</v>
      </c>
      <c r="F537" t="s">
        <v>14</v>
      </c>
      <c r="G537" t="s">
        <v>1670</v>
      </c>
      <c r="H537" t="s">
        <v>2123</v>
      </c>
      <c r="I537">
        <v>254.75</v>
      </c>
      <c r="J537" s="41">
        <f>I537/'enter the discount'!$D$7</f>
        <v>59.629698984129959</v>
      </c>
      <c r="K537" s="41">
        <f>J537*(1-IFERROR(VLOOKUP(H537,'enter the discount'!$D$10:$E$40,2,FALSE),0))</f>
        <v>59.629698984129959</v>
      </c>
      <c r="L537" s="43" t="s">
        <v>2549</v>
      </c>
      <c r="M537" t="s">
        <v>1671</v>
      </c>
      <c r="N537" t="s">
        <v>935</v>
      </c>
      <c r="O537" t="s">
        <v>2723</v>
      </c>
      <c r="P537">
        <v>1</v>
      </c>
      <c r="Q537">
        <v>0</v>
      </c>
      <c r="R537" t="s">
        <v>2465</v>
      </c>
      <c r="S537" s="42" t="str">
        <f>HYPERLINK("https://sklep.kobi.pl/produkt/boho-brugia-s")</f>
        <v>https://sklep.kobi.pl/produkt/boho-brugia-s</v>
      </c>
      <c r="T537" s="42" t="str">
        <f>HYPERLINK("https://eprel.ec.europa.eu/qr/NIE DOTYCZY    ")</f>
        <v xml:space="preserve">https://eprel.ec.europa.eu/qr/NIE DOTYCZY    </v>
      </c>
      <c r="U537">
        <v>0.9</v>
      </c>
      <c r="V537">
        <v>1.1000000000000001</v>
      </c>
      <c r="W537">
        <v>0</v>
      </c>
      <c r="X537">
        <v>0</v>
      </c>
      <c r="Y537">
        <v>0</v>
      </c>
    </row>
    <row r="538" spans="1:25" ht="15" x14ac:dyDescent="0.25">
      <c r="A538" t="s">
        <v>23</v>
      </c>
      <c r="B538" t="s">
        <v>2122</v>
      </c>
      <c r="C538"/>
      <c r="D538" t="s">
        <v>111</v>
      </c>
      <c r="E538" t="s">
        <v>14</v>
      </c>
      <c r="F538" t="s">
        <v>14</v>
      </c>
      <c r="G538" t="s">
        <v>1672</v>
      </c>
      <c r="H538" t="s">
        <v>2123</v>
      </c>
      <c r="I538">
        <v>321.58</v>
      </c>
      <c r="J538" s="41">
        <f>I538/'enter the discount'!$D$7</f>
        <v>75.27269322597256</v>
      </c>
      <c r="K538" s="41">
        <f>J538*(1-IFERROR(VLOOKUP(H538,'enter the discount'!$D$10:$E$40,2,FALSE),0))</f>
        <v>75.27269322597256</v>
      </c>
      <c r="L538" s="43" t="s">
        <v>2549</v>
      </c>
      <c r="M538" t="s">
        <v>1673</v>
      </c>
      <c r="N538" t="s">
        <v>935</v>
      </c>
      <c r="O538" t="s">
        <v>2723</v>
      </c>
      <c r="P538">
        <v>1</v>
      </c>
      <c r="Q538">
        <v>0</v>
      </c>
      <c r="R538" t="s">
        <v>2465</v>
      </c>
      <c r="S538" s="42" t="str">
        <f>HYPERLINK("https://sklep.kobi.pl/produkt/boho-rango")</f>
        <v>https://sklep.kobi.pl/produkt/boho-rango</v>
      </c>
      <c r="T538" s="42" t="str">
        <f>HYPERLINK("https://eprel.ec.europa.eu/qr/NIE DOTYCZY    ")</f>
        <v xml:space="preserve">https://eprel.ec.europa.eu/qr/NIE DOTYCZY    </v>
      </c>
      <c r="U538">
        <v>0.69</v>
      </c>
      <c r="V538">
        <v>0</v>
      </c>
      <c r="W538">
        <v>0</v>
      </c>
      <c r="X538">
        <v>0</v>
      </c>
      <c r="Y538">
        <v>0</v>
      </c>
    </row>
    <row r="539" spans="1:25" ht="15" x14ac:dyDescent="0.25">
      <c r="A539" t="s">
        <v>23</v>
      </c>
      <c r="B539" t="s">
        <v>2122</v>
      </c>
      <c r="C539"/>
      <c r="D539" t="s">
        <v>111</v>
      </c>
      <c r="E539" t="s">
        <v>14</v>
      </c>
      <c r="F539" t="s">
        <v>14</v>
      </c>
      <c r="G539" t="s">
        <v>1674</v>
      </c>
      <c r="H539" t="s">
        <v>2123</v>
      </c>
      <c r="I539">
        <v>212.5</v>
      </c>
      <c r="J539" s="41">
        <f>I539/'enter the discount'!$D$7</f>
        <v>49.740180703150607</v>
      </c>
      <c r="K539" s="41">
        <f>J539*(1-IFERROR(VLOOKUP(H539,'enter the discount'!$D$10:$E$40,2,FALSE),0))</f>
        <v>49.740180703150607</v>
      </c>
      <c r="L539" s="43" t="s">
        <v>2549</v>
      </c>
      <c r="M539" t="s">
        <v>1675</v>
      </c>
      <c r="N539" t="s">
        <v>935</v>
      </c>
      <c r="O539" t="s">
        <v>2723</v>
      </c>
      <c r="P539">
        <v>1</v>
      </c>
      <c r="Q539">
        <v>0</v>
      </c>
      <c r="R539" t="s">
        <v>2465</v>
      </c>
      <c r="S539" s="42" t="str">
        <f>HYPERLINK("https://sklep.kobi.pl/produkt/boho-rennes")</f>
        <v>https://sklep.kobi.pl/produkt/boho-rennes</v>
      </c>
      <c r="T539" s="42" t="str">
        <f>HYPERLINK("https://eprel.ec.europa.eu/qr/NIE DOTYCZY    ")</f>
        <v xml:space="preserve">https://eprel.ec.europa.eu/qr/NIE DOTYCZY    </v>
      </c>
      <c r="U539">
        <v>0.55000000000000004</v>
      </c>
      <c r="V539">
        <v>0.75</v>
      </c>
      <c r="W539">
        <v>0</v>
      </c>
      <c r="X539">
        <v>0</v>
      </c>
      <c r="Y539">
        <v>0</v>
      </c>
    </row>
    <row r="540" spans="1:25" ht="15" x14ac:dyDescent="0.25">
      <c r="A540" t="s">
        <v>23</v>
      </c>
      <c r="B540" t="s">
        <v>2122</v>
      </c>
      <c r="C540"/>
      <c r="D540" t="s">
        <v>111</v>
      </c>
      <c r="E540" t="s">
        <v>14</v>
      </c>
      <c r="F540" t="s">
        <v>14</v>
      </c>
      <c r="G540" t="s">
        <v>1676</v>
      </c>
      <c r="H540" t="s">
        <v>2123</v>
      </c>
      <c r="I540">
        <v>187.88</v>
      </c>
      <c r="J540" s="41">
        <f>I540/'enter the discount'!$D$7</f>
        <v>43.977341884743225</v>
      </c>
      <c r="K540" s="41">
        <f>J540*(1-IFERROR(VLOOKUP(H540,'enter the discount'!$D$10:$E$40,2,FALSE),0))</f>
        <v>43.977341884743225</v>
      </c>
      <c r="L540" s="43" t="s">
        <v>2549</v>
      </c>
      <c r="M540" t="s">
        <v>1677</v>
      </c>
      <c r="N540" t="s">
        <v>935</v>
      </c>
      <c r="O540" t="s">
        <v>2723</v>
      </c>
      <c r="P540">
        <v>1</v>
      </c>
      <c r="Q540">
        <v>42</v>
      </c>
      <c r="R540" t="s">
        <v>2465</v>
      </c>
      <c r="S540" s="42" t="str">
        <f>HYPERLINK("https://sklep.kobi.pl/produkt/boho-riga")</f>
        <v>https://sklep.kobi.pl/produkt/boho-riga</v>
      </c>
      <c r="T540" s="42" t="str">
        <f>HYPERLINK("https://eprel.ec.europa.eu/qr/NIE DOTYCZY    ")</f>
        <v xml:space="preserve">https://eprel.ec.europa.eu/qr/NIE DOTYCZY    </v>
      </c>
      <c r="U540">
        <v>0.6</v>
      </c>
      <c r="V540">
        <v>0</v>
      </c>
      <c r="W540">
        <v>0</v>
      </c>
      <c r="X540">
        <v>0</v>
      </c>
      <c r="Y540">
        <v>0</v>
      </c>
    </row>
    <row r="541" spans="1:25" ht="15" x14ac:dyDescent="0.25">
      <c r="A541" t="s">
        <v>23</v>
      </c>
      <c r="B541" t="s">
        <v>2122</v>
      </c>
      <c r="C541"/>
      <c r="D541" t="s">
        <v>111</v>
      </c>
      <c r="E541" t="s">
        <v>14</v>
      </c>
      <c r="F541" t="s">
        <v>14</v>
      </c>
      <c r="G541" t="s">
        <v>1678</v>
      </c>
      <c r="H541" t="s">
        <v>2123</v>
      </c>
      <c r="I541">
        <v>172.5</v>
      </c>
      <c r="J541" s="41">
        <f>I541/'enter the discount'!$D$7</f>
        <v>40.377323159028137</v>
      </c>
      <c r="K541" s="41">
        <f>J541*(1-IFERROR(VLOOKUP(H541,'enter the discount'!$D$10:$E$40,2,FALSE),0))</f>
        <v>40.377323159028137</v>
      </c>
      <c r="L541" s="43" t="s">
        <v>2549</v>
      </c>
      <c r="M541" t="s">
        <v>1679</v>
      </c>
      <c r="N541" t="s">
        <v>935</v>
      </c>
      <c r="O541" t="s">
        <v>2723</v>
      </c>
      <c r="P541">
        <v>1</v>
      </c>
      <c r="Q541">
        <v>0</v>
      </c>
      <c r="R541" t="s">
        <v>2465</v>
      </c>
      <c r="S541" s="42" t="str">
        <f>HYPERLINK("https://sklep.kobi.pl/produkt/boho-ronda")</f>
        <v>https://sklep.kobi.pl/produkt/boho-ronda</v>
      </c>
      <c r="T541" s="42" t="str">
        <f>HYPERLINK("https://eprel.ec.europa.eu/qr/NIE DOTYCZY    ")</f>
        <v xml:space="preserve">https://eprel.ec.europa.eu/qr/NIE DOTYCZY    </v>
      </c>
      <c r="U541">
        <v>0.45</v>
      </c>
      <c r="V541">
        <v>0</v>
      </c>
      <c r="W541">
        <v>0</v>
      </c>
      <c r="X541">
        <v>0</v>
      </c>
      <c r="Y541">
        <v>0</v>
      </c>
    </row>
    <row r="542" spans="1:25" ht="15" x14ac:dyDescent="0.25">
      <c r="A542" t="s">
        <v>23</v>
      </c>
      <c r="B542" t="s">
        <v>2122</v>
      </c>
      <c r="C542"/>
      <c r="D542" t="s">
        <v>111</v>
      </c>
      <c r="E542" t="s">
        <v>14</v>
      </c>
      <c r="F542" t="s">
        <v>14</v>
      </c>
      <c r="G542" t="s">
        <v>1680</v>
      </c>
      <c r="H542" t="s">
        <v>2123</v>
      </c>
      <c r="I542">
        <v>258.33</v>
      </c>
      <c r="J542" s="41">
        <f>I542/'enter the discount'!$D$7</f>
        <v>60.467674734328916</v>
      </c>
      <c r="K542" s="41">
        <f>J542*(1-IFERROR(VLOOKUP(H542,'enter the discount'!$D$10:$E$40,2,FALSE),0))</f>
        <v>60.467674734328916</v>
      </c>
      <c r="L542" s="43" t="s">
        <v>2549</v>
      </c>
      <c r="M542" t="s">
        <v>1681</v>
      </c>
      <c r="N542" t="s">
        <v>935</v>
      </c>
      <c r="O542" t="s">
        <v>2723</v>
      </c>
      <c r="P542">
        <v>1</v>
      </c>
      <c r="Q542">
        <v>24</v>
      </c>
      <c r="R542" t="s">
        <v>2465</v>
      </c>
      <c r="S542" s="42" t="str">
        <f>HYPERLINK("https://sklep.kobi.pl/produkt/boho-sibu")</f>
        <v>https://sklep.kobi.pl/produkt/boho-sibu</v>
      </c>
      <c r="T542" s="42" t="str">
        <f>HYPERLINK("https://eprel.ec.europa.eu/qr/NIE DOTYCZY    ")</f>
        <v xml:space="preserve">https://eprel.ec.europa.eu/qr/NIE DOTYCZY    </v>
      </c>
      <c r="U542">
        <v>0.71</v>
      </c>
      <c r="V542">
        <v>0</v>
      </c>
      <c r="W542">
        <v>0</v>
      </c>
      <c r="X542">
        <v>0</v>
      </c>
      <c r="Y542">
        <v>0</v>
      </c>
    </row>
    <row r="543" spans="1:25" ht="15" x14ac:dyDescent="0.25">
      <c r="A543" t="s">
        <v>23</v>
      </c>
      <c r="B543" t="s">
        <v>2122</v>
      </c>
      <c r="C543"/>
      <c r="D543" t="s">
        <v>111</v>
      </c>
      <c r="E543" t="s">
        <v>14</v>
      </c>
      <c r="F543" t="s">
        <v>14</v>
      </c>
      <c r="G543" t="s">
        <v>1682</v>
      </c>
      <c r="H543" t="s">
        <v>2123</v>
      </c>
      <c r="I543">
        <v>289.04000000000002</v>
      </c>
      <c r="J543" s="41">
        <f>I543/'enter the discount'!$D$7</f>
        <v>67.656008613828945</v>
      </c>
      <c r="K543" s="41">
        <f>J543*(1-IFERROR(VLOOKUP(H543,'enter the discount'!$D$10:$E$40,2,FALSE),0))</f>
        <v>67.656008613828945</v>
      </c>
      <c r="L543" s="43" t="s">
        <v>2549</v>
      </c>
      <c r="M543" t="s">
        <v>1683</v>
      </c>
      <c r="N543" t="s">
        <v>935</v>
      </c>
      <c r="O543" t="s">
        <v>2723</v>
      </c>
      <c r="P543">
        <v>1</v>
      </c>
      <c r="Q543">
        <v>0</v>
      </c>
      <c r="R543" t="s">
        <v>2465</v>
      </c>
      <c r="S543" s="42" t="str">
        <f>HYPERLINK("https://sklep.kobi.pl/produkt/boho-siena")</f>
        <v>https://sklep.kobi.pl/produkt/boho-siena</v>
      </c>
      <c r="T543" s="42" t="str">
        <f>HYPERLINK("https://eprel.ec.europa.eu/qr/NIE DOTYCZY    ")</f>
        <v xml:space="preserve">https://eprel.ec.europa.eu/qr/NIE DOTYCZY    </v>
      </c>
      <c r="U543">
        <v>1.75</v>
      </c>
      <c r="V543">
        <v>0</v>
      </c>
      <c r="W543">
        <v>0</v>
      </c>
      <c r="X543">
        <v>0</v>
      </c>
      <c r="Y543">
        <v>0</v>
      </c>
    </row>
    <row r="544" spans="1:25" ht="15" x14ac:dyDescent="0.25">
      <c r="A544" t="s">
        <v>23</v>
      </c>
      <c r="B544" t="s">
        <v>2122</v>
      </c>
      <c r="C544"/>
      <c r="D544" t="s">
        <v>111</v>
      </c>
      <c r="E544" t="s">
        <v>14</v>
      </c>
      <c r="F544" t="s">
        <v>14</v>
      </c>
      <c r="G544" t="s">
        <v>1684</v>
      </c>
      <c r="H544" t="s">
        <v>2123</v>
      </c>
      <c r="I544">
        <v>352.29</v>
      </c>
      <c r="J544" s="41">
        <f>I544/'enter the discount'!$D$7</f>
        <v>82.461027105472596</v>
      </c>
      <c r="K544" s="41">
        <f>J544*(1-IFERROR(VLOOKUP(H544,'enter the discount'!$D$10:$E$40,2,FALSE),0))</f>
        <v>82.461027105472596</v>
      </c>
      <c r="L544" s="43" t="s">
        <v>2549</v>
      </c>
      <c r="M544" t="s">
        <v>1685</v>
      </c>
      <c r="N544" t="s">
        <v>935</v>
      </c>
      <c r="O544" t="s">
        <v>2723</v>
      </c>
      <c r="P544">
        <v>1</v>
      </c>
      <c r="Q544">
        <v>16</v>
      </c>
      <c r="R544" t="s">
        <v>2465</v>
      </c>
      <c r="S544" s="42" t="str">
        <f>HYPERLINK("https://sklep.kobi.pl/produkt/boho-verona")</f>
        <v>https://sklep.kobi.pl/produkt/boho-verona</v>
      </c>
      <c r="T544" s="42" t="str">
        <f>HYPERLINK("https://eprel.ec.europa.eu/qr/NIE DOTYCZY    ")</f>
        <v xml:space="preserve">https://eprel.ec.europa.eu/qr/NIE DOTYCZY    </v>
      </c>
      <c r="U544">
        <v>0.89</v>
      </c>
      <c r="V544">
        <v>1.0900000000000001</v>
      </c>
      <c r="W544">
        <v>0</v>
      </c>
      <c r="X544">
        <v>0</v>
      </c>
      <c r="Y544">
        <v>0</v>
      </c>
    </row>
    <row r="545" spans="1:25" ht="15" x14ac:dyDescent="0.25">
      <c r="A545" t="s">
        <v>23</v>
      </c>
      <c r="B545" t="s">
        <v>2122</v>
      </c>
      <c r="C545"/>
      <c r="D545" t="s">
        <v>111</v>
      </c>
      <c r="E545" t="s">
        <v>14</v>
      </c>
      <c r="F545" t="s">
        <v>14</v>
      </c>
      <c r="G545" t="s">
        <v>1686</v>
      </c>
      <c r="H545" t="s">
        <v>2123</v>
      </c>
      <c r="I545">
        <v>258.33</v>
      </c>
      <c r="J545" s="41">
        <f>I545/'enter the discount'!$D$7</f>
        <v>60.467674734328916</v>
      </c>
      <c r="K545" s="41">
        <f>J545*(1-IFERROR(VLOOKUP(H545,'enter the discount'!$D$10:$E$40,2,FALSE),0))</f>
        <v>60.467674734328916</v>
      </c>
      <c r="L545" s="43" t="s">
        <v>2549</v>
      </c>
      <c r="M545" t="s">
        <v>1687</v>
      </c>
      <c r="N545" t="s">
        <v>935</v>
      </c>
      <c r="O545" t="s">
        <v>2723</v>
      </c>
      <c r="P545">
        <v>1</v>
      </c>
      <c r="Q545">
        <v>0</v>
      </c>
      <c r="R545" t="s">
        <v>2465</v>
      </c>
      <c r="S545" s="42" t="str">
        <f>HYPERLINK("https://sklep.kobi.pl/produkt/boho-vienna")</f>
        <v>https://sklep.kobi.pl/produkt/boho-vienna</v>
      </c>
      <c r="T545" s="42" t="str">
        <f>HYPERLINK("https://eprel.ec.europa.eu/qr/NIE DOTYCZY    ")</f>
        <v xml:space="preserve">https://eprel.ec.europa.eu/qr/NIE DOTYCZY    </v>
      </c>
      <c r="U545">
        <v>0.79</v>
      </c>
      <c r="V545">
        <v>0</v>
      </c>
      <c r="W545">
        <v>0</v>
      </c>
      <c r="X545">
        <v>0</v>
      </c>
      <c r="Y545">
        <v>0</v>
      </c>
    </row>
    <row r="546" spans="1:25" ht="15" x14ac:dyDescent="0.25">
      <c r="A546"/>
      <c r="B546"/>
      <c r="C546"/>
      <c r="D546" t="s">
        <v>111</v>
      </c>
      <c r="E546" t="s">
        <v>2721</v>
      </c>
      <c r="F546" t="s">
        <v>2769</v>
      </c>
      <c r="G546" t="s">
        <v>2770</v>
      </c>
      <c r="H546" t="s">
        <v>2771</v>
      </c>
      <c r="I546">
        <v>138.07</v>
      </c>
      <c r="J546" s="41">
        <f>I546/'enter the discount'!$D$7</f>
        <v>32.318243527924722</v>
      </c>
      <c r="K546" s="41">
        <f>J546*(1-IFERROR(VLOOKUP(H546,'enter the discount'!$D$10:$E$40,2,FALSE),0))</f>
        <v>32.318243527924722</v>
      </c>
      <c r="L546" s="43" t="s">
        <v>478</v>
      </c>
      <c r="M546" t="s">
        <v>2793</v>
      </c>
      <c r="N546"/>
      <c r="O546" t="s">
        <v>2723</v>
      </c>
      <c r="P546">
        <v>0</v>
      </c>
      <c r="Q546">
        <v>0</v>
      </c>
      <c r="R546" t="s">
        <v>14</v>
      </c>
      <c r="S546" s="42" t="str">
        <f>HYPERLINK("https://sklep.kobi.pl/produkt/globe-elegance-k")</f>
        <v>https://sklep.kobi.pl/produkt/globe-elegance-k</v>
      </c>
      <c r="T546" t="s">
        <v>14</v>
      </c>
      <c r="U546">
        <v>0</v>
      </c>
      <c r="V546">
        <v>0</v>
      </c>
      <c r="W546">
        <v>0</v>
      </c>
      <c r="X546">
        <v>0</v>
      </c>
      <c r="Y546">
        <v>0</v>
      </c>
    </row>
    <row r="547" spans="1:25" ht="15" x14ac:dyDescent="0.25">
      <c r="A547"/>
      <c r="B547"/>
      <c r="C547"/>
      <c r="D547" t="s">
        <v>111</v>
      </c>
      <c r="E547" t="s">
        <v>2721</v>
      </c>
      <c r="F547" t="s">
        <v>2772</v>
      </c>
      <c r="G547" t="s">
        <v>2773</v>
      </c>
      <c r="H547" t="s">
        <v>2771</v>
      </c>
      <c r="I547">
        <v>102.18</v>
      </c>
      <c r="J547" s="41">
        <f>I547/'enter the discount'!$D$7</f>
        <v>23.917419596460842</v>
      </c>
      <c r="K547" s="41">
        <f>J547*(1-IFERROR(VLOOKUP(H547,'enter the discount'!$D$10:$E$40,2,FALSE),0))</f>
        <v>23.917419596460842</v>
      </c>
      <c r="L547" s="43" t="s">
        <v>478</v>
      </c>
      <c r="M547" t="s">
        <v>2794</v>
      </c>
      <c r="N547"/>
      <c r="O547" t="s">
        <v>2723</v>
      </c>
      <c r="P547">
        <v>0</v>
      </c>
      <c r="Q547">
        <v>0</v>
      </c>
      <c r="R547" t="s">
        <v>14</v>
      </c>
      <c r="S547" s="42" t="str">
        <f>HYPERLINK("https://sklep.kobi.pl/produkt/elipse-elegance-s")</f>
        <v>https://sklep.kobi.pl/produkt/elipse-elegance-s</v>
      </c>
      <c r="T547" t="s">
        <v>14</v>
      </c>
      <c r="U547">
        <v>0</v>
      </c>
      <c r="V547">
        <v>0</v>
      </c>
      <c r="W547">
        <v>0</v>
      </c>
      <c r="X547">
        <v>0</v>
      </c>
      <c r="Y547">
        <v>0</v>
      </c>
    </row>
    <row r="548" spans="1:25" ht="15" x14ac:dyDescent="0.25">
      <c r="A548"/>
      <c r="B548"/>
      <c r="C548"/>
      <c r="D548" t="s">
        <v>111</v>
      </c>
      <c r="E548" t="s">
        <v>2721</v>
      </c>
      <c r="F548" t="s">
        <v>2774</v>
      </c>
      <c r="G548" t="s">
        <v>2775</v>
      </c>
      <c r="H548" t="s">
        <v>2771</v>
      </c>
      <c r="I548">
        <v>246</v>
      </c>
      <c r="J548" s="41">
        <f>I548/'enter the discount'!$D$7</f>
        <v>57.58157389635317</v>
      </c>
      <c r="K548" s="41">
        <f>J548*(1-IFERROR(VLOOKUP(H548,'enter the discount'!$D$10:$E$40,2,FALSE),0))</f>
        <v>57.58157389635317</v>
      </c>
      <c r="L548" s="43" t="s">
        <v>478</v>
      </c>
      <c r="M548" t="s">
        <v>2795</v>
      </c>
      <c r="N548"/>
      <c r="O548" t="s">
        <v>2723</v>
      </c>
      <c r="P548">
        <v>0</v>
      </c>
      <c r="Q548">
        <v>0</v>
      </c>
      <c r="R548" t="s">
        <v>14</v>
      </c>
      <c r="S548" s="42" t="str">
        <f>HYPERLINK("https://sklep.kobi.pl/produkt/elipse-elegance-s3")</f>
        <v>https://sklep.kobi.pl/produkt/elipse-elegance-s3</v>
      </c>
      <c r="T548" t="s">
        <v>14</v>
      </c>
      <c r="U548">
        <v>0</v>
      </c>
      <c r="V548">
        <v>0</v>
      </c>
      <c r="W548">
        <v>0</v>
      </c>
      <c r="X548">
        <v>0</v>
      </c>
      <c r="Y548">
        <v>0</v>
      </c>
    </row>
    <row r="549" spans="1:25" ht="15" x14ac:dyDescent="0.25">
      <c r="A549"/>
      <c r="B549"/>
      <c r="C549"/>
      <c r="D549" t="s">
        <v>111</v>
      </c>
      <c r="E549" t="s">
        <v>2721</v>
      </c>
      <c r="F549" t="s">
        <v>14</v>
      </c>
      <c r="G549" t="s">
        <v>2776</v>
      </c>
      <c r="H549" t="s">
        <v>2771</v>
      </c>
      <c r="I549">
        <v>88.38</v>
      </c>
      <c r="J549" s="41">
        <f>I549/'enter the discount'!$D$7</f>
        <v>20.687233743738588</v>
      </c>
      <c r="K549" s="41">
        <f>J549*(1-IFERROR(VLOOKUP(H549,'enter the discount'!$D$10:$E$40,2,FALSE),0))</f>
        <v>20.687233743738588</v>
      </c>
      <c r="L549" s="43" t="s">
        <v>478</v>
      </c>
      <c r="M549" t="s">
        <v>2796</v>
      </c>
      <c r="N549"/>
      <c r="O549" t="s">
        <v>2723</v>
      </c>
      <c r="P549">
        <v>0</v>
      </c>
      <c r="Q549">
        <v>0</v>
      </c>
      <c r="R549" t="s">
        <v>14</v>
      </c>
      <c r="S549" s="42" t="str">
        <f>HYPERLINK("https://sklep.kobi.pl/produkt/globe-elegance-amber-k")</f>
        <v>https://sklep.kobi.pl/produkt/globe-elegance-amber-k</v>
      </c>
      <c r="T549" t="s">
        <v>14</v>
      </c>
      <c r="U549">
        <v>0</v>
      </c>
      <c r="V549">
        <v>0</v>
      </c>
      <c r="W549">
        <v>0</v>
      </c>
      <c r="X549">
        <v>0</v>
      </c>
      <c r="Y549">
        <v>0</v>
      </c>
    </row>
    <row r="550" spans="1:25" ht="15" x14ac:dyDescent="0.25">
      <c r="A550"/>
      <c r="B550"/>
      <c r="C550"/>
      <c r="D550" t="s">
        <v>111</v>
      </c>
      <c r="E550" t="s">
        <v>2721</v>
      </c>
      <c r="F550" t="s">
        <v>14</v>
      </c>
      <c r="G550" t="s">
        <v>2777</v>
      </c>
      <c r="H550" t="s">
        <v>2771</v>
      </c>
      <c r="I550">
        <v>291.77999999999997</v>
      </c>
      <c r="J550" s="41">
        <f>I550/'enter the discount'!$D$7</f>
        <v>68.297364355601331</v>
      </c>
      <c r="K550" s="41">
        <f>J550*(1-IFERROR(VLOOKUP(H550,'enter the discount'!$D$10:$E$40,2,FALSE),0))</f>
        <v>68.297364355601331</v>
      </c>
      <c r="L550" s="43" t="s">
        <v>478</v>
      </c>
      <c r="M550" t="s">
        <v>2797</v>
      </c>
      <c r="N550"/>
      <c r="O550" t="s">
        <v>2723</v>
      </c>
      <c r="P550">
        <v>0</v>
      </c>
      <c r="Q550">
        <v>0</v>
      </c>
      <c r="R550" t="s">
        <v>14</v>
      </c>
      <c r="S550" s="42" t="str">
        <f>HYPERLINK("https://sklep.kobi.pl/produkt/globe-elegance-amber-s4")</f>
        <v>https://sklep.kobi.pl/produkt/globe-elegance-amber-s4</v>
      </c>
      <c r="T550" t="s">
        <v>14</v>
      </c>
      <c r="U550">
        <v>0</v>
      </c>
      <c r="V550">
        <v>0</v>
      </c>
      <c r="W550">
        <v>0</v>
      </c>
      <c r="X550">
        <v>0</v>
      </c>
      <c r="Y550">
        <v>0</v>
      </c>
    </row>
    <row r="551" spans="1:25" ht="15" x14ac:dyDescent="0.25">
      <c r="A551"/>
      <c r="B551"/>
      <c r="C551"/>
      <c r="D551" t="s">
        <v>111</v>
      </c>
      <c r="E551" t="s">
        <v>2721</v>
      </c>
      <c r="F551" t="s">
        <v>14</v>
      </c>
      <c r="G551" t="s">
        <v>2778</v>
      </c>
      <c r="H551" t="s">
        <v>2771</v>
      </c>
      <c r="I551">
        <v>90.26</v>
      </c>
      <c r="J551" s="41">
        <f>I551/'enter the discount'!$D$7</f>
        <v>21.127288048312348</v>
      </c>
      <c r="K551" s="41">
        <f>J551*(1-IFERROR(VLOOKUP(H551,'enter the discount'!$D$10:$E$40,2,FALSE),0))</f>
        <v>21.127288048312348</v>
      </c>
      <c r="L551" s="43" t="s">
        <v>478</v>
      </c>
      <c r="M551" t="s">
        <v>2798</v>
      </c>
      <c r="N551"/>
      <c r="O551" t="s">
        <v>2723</v>
      </c>
      <c r="P551">
        <v>0</v>
      </c>
      <c r="Q551">
        <v>0</v>
      </c>
      <c r="R551" t="s">
        <v>14</v>
      </c>
      <c r="S551" s="42" t="str">
        <f>HYPERLINK("https://sklep.kobi.pl/produkt/globe-elegance-ash-k")</f>
        <v>https://sklep.kobi.pl/produkt/globe-elegance-ash-k</v>
      </c>
      <c r="T551" t="s">
        <v>14</v>
      </c>
      <c r="U551">
        <v>0</v>
      </c>
      <c r="V551">
        <v>0</v>
      </c>
      <c r="W551">
        <v>0</v>
      </c>
      <c r="X551">
        <v>0</v>
      </c>
      <c r="Y551">
        <v>0</v>
      </c>
    </row>
    <row r="552" spans="1:25" ht="15" x14ac:dyDescent="0.25">
      <c r="A552"/>
      <c r="B552"/>
      <c r="C552"/>
      <c r="D552" t="s">
        <v>111</v>
      </c>
      <c r="E552" t="s">
        <v>2721</v>
      </c>
      <c r="F552" t="s">
        <v>14</v>
      </c>
      <c r="G552" t="s">
        <v>2779</v>
      </c>
      <c r="H552" t="s">
        <v>2771</v>
      </c>
      <c r="I552">
        <v>223.47</v>
      </c>
      <c r="J552" s="41">
        <f>I552/'enter the discount'!$D$7</f>
        <v>52.30794438462619</v>
      </c>
      <c r="K552" s="41">
        <f>J552*(1-IFERROR(VLOOKUP(H552,'enter the discount'!$D$10:$E$40,2,FALSE),0))</f>
        <v>52.30794438462619</v>
      </c>
      <c r="L552" s="43" t="s">
        <v>478</v>
      </c>
      <c r="M552" t="s">
        <v>2799</v>
      </c>
      <c r="N552"/>
      <c r="O552" t="s">
        <v>2723</v>
      </c>
      <c r="P552">
        <v>0</v>
      </c>
      <c r="Q552">
        <v>0</v>
      </c>
      <c r="R552" t="s">
        <v>14</v>
      </c>
      <c r="S552" s="42" t="str">
        <f>HYPERLINK("https://sklep.kobi.pl/produkt/globe-elegance-ash-s3")</f>
        <v>https://sklep.kobi.pl/produkt/globe-elegance-ash-s3</v>
      </c>
      <c r="T552" t="s">
        <v>14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1:25" ht="15" x14ac:dyDescent="0.25">
      <c r="A553"/>
      <c r="B553"/>
      <c r="C553"/>
      <c r="D553" t="s">
        <v>111</v>
      </c>
      <c r="E553" t="s">
        <v>2721</v>
      </c>
      <c r="F553" t="s">
        <v>14</v>
      </c>
      <c r="G553" t="s">
        <v>2780</v>
      </c>
      <c r="H553" t="s">
        <v>2771</v>
      </c>
      <c r="I553">
        <v>307.22000000000003</v>
      </c>
      <c r="J553" s="41">
        <f>I553/'enter the discount'!$D$7</f>
        <v>71.911427367632612</v>
      </c>
      <c r="K553" s="41">
        <f>J553*(1-IFERROR(VLOOKUP(H553,'enter the discount'!$D$10:$E$40,2,FALSE),0))</f>
        <v>71.911427367632612</v>
      </c>
      <c r="L553" s="43" t="s">
        <v>478</v>
      </c>
      <c r="M553" t="s">
        <v>2800</v>
      </c>
      <c r="N553"/>
      <c r="O553" t="s">
        <v>2723</v>
      </c>
      <c r="P553">
        <v>0</v>
      </c>
      <c r="Q553">
        <v>0</v>
      </c>
      <c r="R553" t="s">
        <v>14</v>
      </c>
      <c r="S553" s="42" t="str">
        <f>HYPERLINK("https://sklep.kobi.pl/produkt/globe-elegance-ash-s4")</f>
        <v>https://sklep.kobi.pl/produkt/globe-elegance-ash-s4</v>
      </c>
      <c r="T553" t="s">
        <v>14</v>
      </c>
      <c r="U553">
        <v>0</v>
      </c>
      <c r="V553">
        <v>0</v>
      </c>
      <c r="W553">
        <v>0</v>
      </c>
      <c r="X553">
        <v>0</v>
      </c>
      <c r="Y553">
        <v>0</v>
      </c>
    </row>
    <row r="554" spans="1:25" ht="15" x14ac:dyDescent="0.25">
      <c r="A554"/>
      <c r="B554"/>
      <c r="C554"/>
      <c r="D554" t="s">
        <v>111</v>
      </c>
      <c r="E554" t="s">
        <v>2721</v>
      </c>
      <c r="F554" t="s">
        <v>14</v>
      </c>
      <c r="G554" t="s">
        <v>2781</v>
      </c>
      <c r="H554" t="s">
        <v>2771</v>
      </c>
      <c r="I554">
        <v>93.06</v>
      </c>
      <c r="J554" s="41">
        <f>I554/'enter the discount'!$D$7</f>
        <v>21.78268807640092</v>
      </c>
      <c r="K554" s="41">
        <f>J554*(1-IFERROR(VLOOKUP(H554,'enter the discount'!$D$10:$E$40,2,FALSE),0))</f>
        <v>21.78268807640092</v>
      </c>
      <c r="L554" s="43" t="s">
        <v>478</v>
      </c>
      <c r="M554" t="s">
        <v>2801</v>
      </c>
      <c r="N554"/>
      <c r="O554" t="s">
        <v>2723</v>
      </c>
      <c r="P554">
        <v>0</v>
      </c>
      <c r="Q554">
        <v>0</v>
      </c>
      <c r="R554" t="s">
        <v>14</v>
      </c>
      <c r="S554" s="42" t="str">
        <f>HYPERLINK("https://sklep.kobi.pl/produkt/globe-elegance-ash-s")</f>
        <v>https://sklep.kobi.pl/produkt/globe-elegance-ash-s</v>
      </c>
      <c r="T554" t="s">
        <v>14</v>
      </c>
      <c r="U554">
        <v>0</v>
      </c>
      <c r="V554">
        <v>0</v>
      </c>
      <c r="W554">
        <v>0</v>
      </c>
      <c r="X554">
        <v>0</v>
      </c>
      <c r="Y554">
        <v>0</v>
      </c>
    </row>
    <row r="555" spans="1:25" ht="15" x14ac:dyDescent="0.25">
      <c r="A555"/>
      <c r="B555"/>
      <c r="C555"/>
      <c r="D555" t="s">
        <v>111</v>
      </c>
      <c r="E555" t="s">
        <v>2721</v>
      </c>
      <c r="F555" t="s">
        <v>14</v>
      </c>
      <c r="G555" t="s">
        <v>2782</v>
      </c>
      <c r="H555" t="s">
        <v>2771</v>
      </c>
      <c r="I555">
        <v>114.05</v>
      </c>
      <c r="J555" s="41">
        <f>I555/'enter the discount'!$D$7</f>
        <v>26.695847572679181</v>
      </c>
      <c r="K555" s="41">
        <f>J555*(1-IFERROR(VLOOKUP(H555,'enter the discount'!$D$10:$E$40,2,FALSE),0))</f>
        <v>26.695847572679181</v>
      </c>
      <c r="L555" s="43" t="s">
        <v>478</v>
      </c>
      <c r="M555" t="s">
        <v>2802</v>
      </c>
      <c r="N555"/>
      <c r="O555" t="s">
        <v>2723</v>
      </c>
      <c r="P555">
        <v>0</v>
      </c>
      <c r="Q555">
        <v>0</v>
      </c>
      <c r="R555" t="s">
        <v>14</v>
      </c>
      <c r="S555" s="42" t="str">
        <f>HYPERLINK("https://sklep.kobi.pl/produkt/globe-elegance-ash-st")</f>
        <v>https://sklep.kobi.pl/produkt/globe-elegance-ash-st</v>
      </c>
      <c r="T555" t="s">
        <v>14</v>
      </c>
      <c r="U555">
        <v>0</v>
      </c>
      <c r="V555">
        <v>0</v>
      </c>
      <c r="W555">
        <v>0</v>
      </c>
      <c r="X555">
        <v>0</v>
      </c>
      <c r="Y555">
        <v>0</v>
      </c>
    </row>
    <row r="556" spans="1:25" ht="15" x14ac:dyDescent="0.25">
      <c r="A556"/>
      <c r="B556"/>
      <c r="C556"/>
      <c r="D556" t="s">
        <v>111</v>
      </c>
      <c r="E556" t="s">
        <v>2721</v>
      </c>
      <c r="F556" t="s">
        <v>14</v>
      </c>
      <c r="G556" t="s">
        <v>2783</v>
      </c>
      <c r="H556" t="s">
        <v>2771</v>
      </c>
      <c r="I556">
        <v>89.3</v>
      </c>
      <c r="J556" s="41">
        <f>I556/'enter the discount'!$D$7</f>
        <v>20.902579467253407</v>
      </c>
      <c r="K556" s="41">
        <f>J556*(1-IFERROR(VLOOKUP(H556,'enter the discount'!$D$10:$E$40,2,FALSE),0))</f>
        <v>20.902579467253407</v>
      </c>
      <c r="L556" s="43" t="s">
        <v>478</v>
      </c>
      <c r="M556" t="s">
        <v>2803</v>
      </c>
      <c r="N556"/>
      <c r="O556" t="s">
        <v>2723</v>
      </c>
      <c r="P556">
        <v>0</v>
      </c>
      <c r="Q556">
        <v>0</v>
      </c>
      <c r="R556" t="s">
        <v>14</v>
      </c>
      <c r="S556" s="42" t="str">
        <f>HYPERLINK("https://sklep.kobi.pl/produkt/globe-elegance-gold-k")</f>
        <v>https://sklep.kobi.pl/produkt/globe-elegance-gold-k</v>
      </c>
      <c r="T556" t="s">
        <v>14</v>
      </c>
      <c r="U556">
        <v>0</v>
      </c>
      <c r="V556">
        <v>0</v>
      </c>
      <c r="W556">
        <v>0</v>
      </c>
      <c r="X556">
        <v>0</v>
      </c>
      <c r="Y556">
        <v>0</v>
      </c>
    </row>
    <row r="557" spans="1:25" ht="15" x14ac:dyDescent="0.25">
      <c r="A557"/>
      <c r="B557"/>
      <c r="C557"/>
      <c r="D557" t="s">
        <v>111</v>
      </c>
      <c r="E557" t="s">
        <v>2721</v>
      </c>
      <c r="F557" t="s">
        <v>14</v>
      </c>
      <c r="G557" t="s">
        <v>2784</v>
      </c>
      <c r="H557" t="s">
        <v>2771</v>
      </c>
      <c r="I557">
        <v>107.54</v>
      </c>
      <c r="J557" s="41">
        <f>I557/'enter the discount'!$D$7</f>
        <v>25.172042507373252</v>
      </c>
      <c r="K557" s="41">
        <f>J557*(1-IFERROR(VLOOKUP(H557,'enter the discount'!$D$10:$E$40,2,FALSE),0))</f>
        <v>25.172042507373252</v>
      </c>
      <c r="L557" s="43" t="s">
        <v>478</v>
      </c>
      <c r="M557" t="s">
        <v>2804</v>
      </c>
      <c r="N557"/>
      <c r="O557" t="s">
        <v>2723</v>
      </c>
      <c r="P557">
        <v>0</v>
      </c>
      <c r="Q557">
        <v>0</v>
      </c>
      <c r="R557" t="s">
        <v>14</v>
      </c>
      <c r="S557" s="42" t="str">
        <f>HYPERLINK("https://sklep.kobi.pl/produkt/globe-elegance-gold-s")</f>
        <v>https://sklep.kobi.pl/produkt/globe-elegance-gold-s</v>
      </c>
      <c r="T557" t="s">
        <v>14</v>
      </c>
      <c r="U557">
        <v>0</v>
      </c>
      <c r="V557">
        <v>0</v>
      </c>
      <c r="W557">
        <v>0</v>
      </c>
      <c r="X557">
        <v>0</v>
      </c>
      <c r="Y557">
        <v>0</v>
      </c>
    </row>
    <row r="558" spans="1:25" ht="15" x14ac:dyDescent="0.25">
      <c r="A558"/>
      <c r="B558"/>
      <c r="C558"/>
      <c r="D558" t="s">
        <v>111</v>
      </c>
      <c r="E558" t="s">
        <v>2721</v>
      </c>
      <c r="F558" t="s">
        <v>14</v>
      </c>
      <c r="G558" t="s">
        <v>2785</v>
      </c>
      <c r="H558" t="s">
        <v>2771</v>
      </c>
      <c r="I558">
        <v>198.72</v>
      </c>
      <c r="J558" s="41">
        <f>I558/'enter the discount'!$D$7</f>
        <v>46.514676279200415</v>
      </c>
      <c r="K558" s="41">
        <f>J558*(1-IFERROR(VLOOKUP(H558,'enter the discount'!$D$10:$E$40,2,FALSE),0))</f>
        <v>46.514676279200415</v>
      </c>
      <c r="L558" s="43" t="s">
        <v>478</v>
      </c>
      <c r="M558" t="s">
        <v>2805</v>
      </c>
      <c r="N558"/>
      <c r="O558" t="s">
        <v>2723</v>
      </c>
      <c r="P558">
        <v>0</v>
      </c>
      <c r="Q558">
        <v>0</v>
      </c>
      <c r="R558" t="s">
        <v>14</v>
      </c>
      <c r="S558" s="42" t="str">
        <f>HYPERLINK("https://sklep.kobi.pl/produkt/globe-elegance-gold-s2")</f>
        <v>https://sklep.kobi.pl/produkt/globe-elegance-gold-s2</v>
      </c>
      <c r="T558" t="s">
        <v>14</v>
      </c>
      <c r="U558">
        <v>0</v>
      </c>
      <c r="V558">
        <v>0</v>
      </c>
      <c r="W558">
        <v>0</v>
      </c>
      <c r="X558">
        <v>0</v>
      </c>
      <c r="Y558">
        <v>0</v>
      </c>
    </row>
    <row r="559" spans="1:25" ht="15" x14ac:dyDescent="0.25">
      <c r="A559"/>
      <c r="B559"/>
      <c r="C559"/>
      <c r="D559" t="s">
        <v>111</v>
      </c>
      <c r="E559" t="s">
        <v>2721</v>
      </c>
      <c r="F559" t="s">
        <v>14</v>
      </c>
      <c r="G559" t="s">
        <v>2786</v>
      </c>
      <c r="H559" t="s">
        <v>2771</v>
      </c>
      <c r="I559">
        <v>419.43</v>
      </c>
      <c r="J559" s="41">
        <f>I559/'enter the discount'!$D$7</f>
        <v>98.176583493282152</v>
      </c>
      <c r="K559" s="41">
        <f>J559*(1-IFERROR(VLOOKUP(H559,'enter the discount'!$D$10:$E$40,2,FALSE),0))</f>
        <v>98.176583493282152</v>
      </c>
      <c r="L559" s="43" t="s">
        <v>478</v>
      </c>
      <c r="M559" t="s">
        <v>2806</v>
      </c>
      <c r="N559"/>
      <c r="O559" t="s">
        <v>2723</v>
      </c>
      <c r="P559">
        <v>0</v>
      </c>
      <c r="Q559">
        <v>0</v>
      </c>
      <c r="R559" t="s">
        <v>14</v>
      </c>
      <c r="S559"/>
      <c r="T559" t="s">
        <v>14</v>
      </c>
      <c r="U559">
        <v>0</v>
      </c>
      <c r="V559">
        <v>0</v>
      </c>
      <c r="W559">
        <v>0</v>
      </c>
      <c r="X559">
        <v>0</v>
      </c>
      <c r="Y559">
        <v>0</v>
      </c>
    </row>
    <row r="560" spans="1:25" ht="15" x14ac:dyDescent="0.25">
      <c r="A560"/>
      <c r="B560"/>
      <c r="C560"/>
      <c r="D560" t="s">
        <v>111</v>
      </c>
      <c r="E560" t="s">
        <v>2721</v>
      </c>
      <c r="F560" t="s">
        <v>14</v>
      </c>
      <c r="G560" t="s">
        <v>2787</v>
      </c>
      <c r="H560" t="s">
        <v>2771</v>
      </c>
      <c r="I560">
        <v>136.77000000000001</v>
      </c>
      <c r="J560" s="41">
        <f>I560/'enter the discount'!$D$7</f>
        <v>32.013950657740743</v>
      </c>
      <c r="K560" s="41">
        <f>J560*(1-IFERROR(VLOOKUP(H560,'enter the discount'!$D$10:$E$40,2,FALSE),0))</f>
        <v>32.013950657740743</v>
      </c>
      <c r="L560" s="43" t="s">
        <v>478</v>
      </c>
      <c r="M560" t="s">
        <v>2807</v>
      </c>
      <c r="N560"/>
      <c r="O560" t="s">
        <v>2723</v>
      </c>
      <c r="P560">
        <v>0</v>
      </c>
      <c r="Q560">
        <v>0</v>
      </c>
      <c r="R560" t="s">
        <v>14</v>
      </c>
      <c r="S560" s="42" t="str">
        <f>HYPERLINK("https://sklep.kobi.pl/produkt/globe-elegance-gold-st")</f>
        <v>https://sklep.kobi.pl/produkt/globe-elegance-gold-st</v>
      </c>
      <c r="T560" t="s">
        <v>14</v>
      </c>
      <c r="U560">
        <v>0</v>
      </c>
      <c r="V560">
        <v>0</v>
      </c>
      <c r="W560">
        <v>0</v>
      </c>
      <c r="X560">
        <v>0</v>
      </c>
      <c r="Y560">
        <v>0</v>
      </c>
    </row>
    <row r="561" spans="1:25" ht="15" x14ac:dyDescent="0.25">
      <c r="A561"/>
      <c r="B561"/>
      <c r="C561"/>
      <c r="D561" t="s">
        <v>111</v>
      </c>
      <c r="E561" t="s">
        <v>2721</v>
      </c>
      <c r="F561" t="s">
        <v>14</v>
      </c>
      <c r="G561" t="s">
        <v>2788</v>
      </c>
      <c r="H561" t="s">
        <v>2771</v>
      </c>
      <c r="I561">
        <v>138.27000000000001</v>
      </c>
      <c r="J561" s="41">
        <f>I561/'enter the discount'!$D$7</f>
        <v>32.365057815645336</v>
      </c>
      <c r="K561" s="41">
        <f>J561*(1-IFERROR(VLOOKUP(H561,'enter the discount'!$D$10:$E$40,2,FALSE),0))</f>
        <v>32.365057815645336</v>
      </c>
      <c r="L561" s="43" t="s">
        <v>478</v>
      </c>
      <c r="M561" t="s">
        <v>2808</v>
      </c>
      <c r="N561"/>
      <c r="O561" t="s">
        <v>2723</v>
      </c>
      <c r="P561">
        <v>0</v>
      </c>
      <c r="Q561">
        <v>0</v>
      </c>
      <c r="R561" t="s">
        <v>14</v>
      </c>
      <c r="S561" s="42" t="str">
        <f>HYPERLINK("https://sklep.kobi.pl/produkt/globe-elegance-gold-st-mini")</f>
        <v>https://sklep.kobi.pl/produkt/globe-elegance-gold-st-mini</v>
      </c>
      <c r="T561" t="s">
        <v>14</v>
      </c>
      <c r="U561">
        <v>0</v>
      </c>
      <c r="V561">
        <v>0</v>
      </c>
      <c r="W561">
        <v>0</v>
      </c>
      <c r="X561">
        <v>0</v>
      </c>
      <c r="Y561">
        <v>0</v>
      </c>
    </row>
    <row r="562" spans="1:25" ht="15" x14ac:dyDescent="0.25">
      <c r="A562"/>
      <c r="B562"/>
      <c r="C562"/>
      <c r="D562" t="s">
        <v>111</v>
      </c>
      <c r="E562" t="s">
        <v>2721</v>
      </c>
      <c r="F562" t="s">
        <v>14</v>
      </c>
      <c r="G562" t="s">
        <v>2789</v>
      </c>
      <c r="H562" t="s">
        <v>2771</v>
      </c>
      <c r="I562">
        <v>94.59</v>
      </c>
      <c r="J562" s="41">
        <f>I562/'enter the discount'!$D$7</f>
        <v>22.140817377463605</v>
      </c>
      <c r="K562" s="41">
        <f>J562*(1-IFERROR(VLOOKUP(H562,'enter the discount'!$D$10:$E$40,2,FALSE),0))</f>
        <v>22.140817377463605</v>
      </c>
      <c r="L562" s="43" t="s">
        <v>478</v>
      </c>
      <c r="M562" t="s">
        <v>2809</v>
      </c>
      <c r="N562"/>
      <c r="O562" t="s">
        <v>2723</v>
      </c>
      <c r="P562">
        <v>0</v>
      </c>
      <c r="Q562">
        <v>0</v>
      </c>
      <c r="R562" t="s">
        <v>14</v>
      </c>
      <c r="S562" s="42" t="str">
        <f>HYPERLINK("https://sklep.kobi.pl/produkt/globe-elegance-bl-gold-k")</f>
        <v>https://sklep.kobi.pl/produkt/globe-elegance-bl-gold-k</v>
      </c>
      <c r="T562" t="s">
        <v>14</v>
      </c>
      <c r="U562">
        <v>0</v>
      </c>
      <c r="V562">
        <v>0</v>
      </c>
      <c r="W562">
        <v>0</v>
      </c>
      <c r="X562">
        <v>0</v>
      </c>
      <c r="Y562">
        <v>0</v>
      </c>
    </row>
    <row r="563" spans="1:25" ht="15" x14ac:dyDescent="0.25">
      <c r="A563"/>
      <c r="B563"/>
      <c r="C563"/>
      <c r="D563" t="s">
        <v>111</v>
      </c>
      <c r="E563" t="s">
        <v>2721</v>
      </c>
      <c r="F563" t="s">
        <v>14</v>
      </c>
      <c r="G563" t="s">
        <v>2790</v>
      </c>
      <c r="H563" t="s">
        <v>2771</v>
      </c>
      <c r="I563">
        <v>88.38</v>
      </c>
      <c r="J563" s="41">
        <f>I563/'enter the discount'!$D$7</f>
        <v>20.687233743738588</v>
      </c>
      <c r="K563" s="41">
        <f>J563*(1-IFERROR(VLOOKUP(H563,'enter the discount'!$D$10:$E$40,2,FALSE),0))</f>
        <v>20.687233743738588</v>
      </c>
      <c r="L563" s="43" t="s">
        <v>478</v>
      </c>
      <c r="M563" t="s">
        <v>2810</v>
      </c>
      <c r="N563"/>
      <c r="O563" t="s">
        <v>2723</v>
      </c>
      <c r="P563">
        <v>0</v>
      </c>
      <c r="Q563">
        <v>0</v>
      </c>
      <c r="R563" t="s">
        <v>14</v>
      </c>
      <c r="S563" s="42" t="str">
        <f>HYPERLINK("https://sklep.kobi.pl/produkt/globe-elegance-smoke-k")</f>
        <v>https://sklep.kobi.pl/produkt/globe-elegance-smoke-k</v>
      </c>
      <c r="T563" t="s">
        <v>14</v>
      </c>
      <c r="U563">
        <v>0</v>
      </c>
      <c r="V563">
        <v>0</v>
      </c>
      <c r="W563">
        <v>0</v>
      </c>
      <c r="X563">
        <v>0</v>
      </c>
      <c r="Y563">
        <v>0</v>
      </c>
    </row>
    <row r="564" spans="1:25" ht="15" x14ac:dyDescent="0.25">
      <c r="A564"/>
      <c r="B564"/>
      <c r="C564"/>
      <c r="D564" t="s">
        <v>111</v>
      </c>
      <c r="E564" t="s">
        <v>2721</v>
      </c>
      <c r="F564" t="s">
        <v>14</v>
      </c>
      <c r="G564" t="s">
        <v>2791</v>
      </c>
      <c r="H564" t="s">
        <v>2771</v>
      </c>
      <c r="I564">
        <v>291.77999999999997</v>
      </c>
      <c r="J564" s="41">
        <f>I564/'enter the discount'!$D$7</f>
        <v>68.297364355601331</v>
      </c>
      <c r="K564" s="41">
        <f>J564*(1-IFERROR(VLOOKUP(H564,'enter the discount'!$D$10:$E$40,2,FALSE),0))</f>
        <v>68.297364355601331</v>
      </c>
      <c r="L564" s="43" t="s">
        <v>478</v>
      </c>
      <c r="M564" t="s">
        <v>2811</v>
      </c>
      <c r="N564"/>
      <c r="O564" t="s">
        <v>2723</v>
      </c>
      <c r="P564">
        <v>0</v>
      </c>
      <c r="Q564">
        <v>0</v>
      </c>
      <c r="R564" t="s">
        <v>14</v>
      </c>
      <c r="S564" s="42" t="str">
        <f>HYPERLINK("https://sklep.kobi.pl/produkt/globe-elegance-smoke-s4")</f>
        <v>https://sklep.kobi.pl/produkt/globe-elegance-smoke-s4</v>
      </c>
      <c r="T564" t="s">
        <v>14</v>
      </c>
      <c r="U564">
        <v>0</v>
      </c>
      <c r="V564">
        <v>0</v>
      </c>
      <c r="W564">
        <v>0</v>
      </c>
      <c r="X564">
        <v>0</v>
      </c>
      <c r="Y564">
        <v>0</v>
      </c>
    </row>
    <row r="565" spans="1:25" ht="15" x14ac:dyDescent="0.25">
      <c r="A565"/>
      <c r="B565"/>
      <c r="C565"/>
      <c r="D565" t="s">
        <v>111</v>
      </c>
      <c r="E565" t="s">
        <v>2721</v>
      </c>
      <c r="F565" t="s">
        <v>14</v>
      </c>
      <c r="G565" t="s">
        <v>2792</v>
      </c>
      <c r="H565" t="s">
        <v>2771</v>
      </c>
      <c r="I565">
        <v>441.38</v>
      </c>
      <c r="J565" s="41">
        <f>I565/'enter the discount'!$D$7</f>
        <v>103.31445157061935</v>
      </c>
      <c r="K565" s="41">
        <f>J565*(1-IFERROR(VLOOKUP(H565,'enter the discount'!$D$10:$E$40,2,FALSE),0))</f>
        <v>103.31445157061935</v>
      </c>
      <c r="L565" s="43" t="s">
        <v>478</v>
      </c>
      <c r="M565" t="s">
        <v>2812</v>
      </c>
      <c r="N565"/>
      <c r="O565" t="s">
        <v>2723</v>
      </c>
      <c r="P565">
        <v>0</v>
      </c>
      <c r="Q565">
        <v>0</v>
      </c>
      <c r="R565" t="s">
        <v>14</v>
      </c>
      <c r="S565" s="42" t="str">
        <f>HYPERLINK("https://sklep.kobi.pl/produkt/globe-elegance-smoke-s6")</f>
        <v>https://sklep.kobi.pl/produkt/globe-elegance-smoke-s6</v>
      </c>
      <c r="T565" t="s">
        <v>14</v>
      </c>
      <c r="U565">
        <v>0</v>
      </c>
      <c r="V565">
        <v>0</v>
      </c>
      <c r="W565">
        <v>0</v>
      </c>
      <c r="X565">
        <v>0</v>
      </c>
      <c r="Y565">
        <v>0</v>
      </c>
    </row>
    <row r="566" spans="1:25" ht="15" x14ac:dyDescent="0.25">
      <c r="A566" t="s">
        <v>23</v>
      </c>
      <c r="B566" t="s">
        <v>69</v>
      </c>
      <c r="C566" t="s">
        <v>59</v>
      </c>
      <c r="D566" t="s">
        <v>111</v>
      </c>
      <c r="E566" t="s">
        <v>14</v>
      </c>
      <c r="F566" t="s">
        <v>2124</v>
      </c>
      <c r="G566" t="s">
        <v>1368</v>
      </c>
      <c r="H566" t="s">
        <v>5</v>
      </c>
      <c r="I566">
        <v>44.8</v>
      </c>
      <c r="J566" s="41">
        <f>I566/'enter the discount'!$D$7</f>
        <v>10.486400449417163</v>
      </c>
      <c r="K566" s="41">
        <f>J566*(1-IFERROR(VLOOKUP(H566,'enter the discount'!$D$10:$E$40,2,FALSE),0))</f>
        <v>10.486400449417163</v>
      </c>
      <c r="L566" s="43" t="s">
        <v>478</v>
      </c>
      <c r="M566" t="s">
        <v>1369</v>
      </c>
      <c r="N566" t="s">
        <v>927</v>
      </c>
      <c r="O566" t="s">
        <v>2723</v>
      </c>
      <c r="P566">
        <v>20</v>
      </c>
      <c r="Q566">
        <v>0</v>
      </c>
      <c r="R566" t="s">
        <v>2465</v>
      </c>
      <c r="S566"/>
      <c r="T566" t="s">
        <v>14</v>
      </c>
      <c r="U566">
        <v>0.1</v>
      </c>
      <c r="V566"/>
      <c r="W566"/>
      <c r="X566"/>
      <c r="Y566"/>
    </row>
    <row r="567" spans="1:25" ht="15" x14ac:dyDescent="0.25">
      <c r="A567" t="s">
        <v>23</v>
      </c>
      <c r="B567" t="s">
        <v>69</v>
      </c>
      <c r="C567" t="s">
        <v>59</v>
      </c>
      <c r="D567" t="s">
        <v>111</v>
      </c>
      <c r="E567" t="s">
        <v>14</v>
      </c>
      <c r="F567" t="s">
        <v>2125</v>
      </c>
      <c r="G567" t="s">
        <v>1321</v>
      </c>
      <c r="H567" t="s">
        <v>5</v>
      </c>
      <c r="I567">
        <v>58.08</v>
      </c>
      <c r="J567" s="41">
        <f>I567/'enter the discount'!$D$7</f>
        <v>13.594869154065821</v>
      </c>
      <c r="K567" s="41">
        <f>J567*(1-IFERROR(VLOOKUP(H567,'enter the discount'!$D$10:$E$40,2,FALSE),0))</f>
        <v>13.594869154065821</v>
      </c>
      <c r="L567" s="43" t="s">
        <v>2549</v>
      </c>
      <c r="M567" t="s">
        <v>1322</v>
      </c>
      <c r="N567" t="s">
        <v>929</v>
      </c>
      <c r="O567" t="s">
        <v>2723</v>
      </c>
      <c r="P567">
        <v>50</v>
      </c>
      <c r="Q567">
        <v>1200</v>
      </c>
      <c r="R567" t="s">
        <v>2466</v>
      </c>
      <c r="S567" s="42" t="str">
        <f>HYPERLINK("https://sklep.kobi.pl/produkt/led-click-premium-15w-cct")</f>
        <v>https://sklep.kobi.pl/produkt/led-click-premium-15w-cct</v>
      </c>
      <c r="T567" s="42" t="str">
        <f>HYPERLINK("https://eprel.ec.europa.eu/qr/NIE DOTYCZY    ")</f>
        <v xml:space="preserve">https://eprel.ec.europa.eu/qr/NIE DOTYCZY    </v>
      </c>
      <c r="U567">
        <v>0.15</v>
      </c>
      <c r="V567">
        <v>0.21</v>
      </c>
      <c r="W567">
        <v>280</v>
      </c>
      <c r="X567">
        <v>75</v>
      </c>
      <c r="Y567">
        <v>40</v>
      </c>
    </row>
    <row r="568" spans="1:25" ht="15" x14ac:dyDescent="0.25">
      <c r="A568" t="s">
        <v>23</v>
      </c>
      <c r="B568" t="s">
        <v>69</v>
      </c>
      <c r="C568" t="s">
        <v>59</v>
      </c>
      <c r="D568" t="s">
        <v>111</v>
      </c>
      <c r="E568" t="s">
        <v>14</v>
      </c>
      <c r="F568" t="s">
        <v>2126</v>
      </c>
      <c r="G568" t="s">
        <v>349</v>
      </c>
      <c r="H568" t="s">
        <v>5</v>
      </c>
      <c r="I568">
        <v>40.64</v>
      </c>
      <c r="J568" s="41">
        <f>I568/'enter the discount'!$D$7</f>
        <v>9.5126632648284257</v>
      </c>
      <c r="K568" s="41">
        <f>J568*(1-IFERROR(VLOOKUP(H568,'enter the discount'!$D$10:$E$40,2,FALSE),0))</f>
        <v>9.5126632648284257</v>
      </c>
      <c r="L568" s="43" t="s">
        <v>859</v>
      </c>
      <c r="M568" t="s">
        <v>713</v>
      </c>
      <c r="N568" t="s">
        <v>927</v>
      </c>
      <c r="O568" t="s">
        <v>2723</v>
      </c>
      <c r="P568">
        <v>30</v>
      </c>
      <c r="Q568">
        <v>1350</v>
      </c>
      <c r="R568" t="s">
        <v>2465</v>
      </c>
      <c r="S568" s="42" t="str">
        <f>HYPERLINK("https://sklep.kobi.pl/produkt/podszafkowa-oprawa-led-wl-4w-nb")</f>
        <v>https://sklep.kobi.pl/produkt/podszafkowa-oprawa-led-wl-4w-nb</v>
      </c>
      <c r="T568" s="42" t="str">
        <f>HYPERLINK("https://eprel.ec.europa.eu/qr/862612         ")</f>
        <v xml:space="preserve">https://eprel.ec.europa.eu/qr/862612         </v>
      </c>
      <c r="U568">
        <v>0.16600000000000001</v>
      </c>
      <c r="V568">
        <v>0.254</v>
      </c>
      <c r="W568">
        <v>75</v>
      </c>
      <c r="X568">
        <v>340</v>
      </c>
      <c r="Y568">
        <v>30</v>
      </c>
    </row>
    <row r="569" spans="1:25" ht="15" x14ac:dyDescent="0.25">
      <c r="A569" t="s">
        <v>23</v>
      </c>
      <c r="B569" t="s">
        <v>69</v>
      </c>
      <c r="C569" t="s">
        <v>59</v>
      </c>
      <c r="D569" t="s">
        <v>111</v>
      </c>
      <c r="E569" t="s">
        <v>14</v>
      </c>
      <c r="F569" t="s">
        <v>2127</v>
      </c>
      <c r="G569" t="s">
        <v>350</v>
      </c>
      <c r="H569" t="s">
        <v>5</v>
      </c>
      <c r="I569">
        <v>48</v>
      </c>
      <c r="J569" s="41">
        <f>I569/'enter the discount'!$D$7</f>
        <v>11.23542905294696</v>
      </c>
      <c r="K569" s="41">
        <f>J569*(1-IFERROR(VLOOKUP(H569,'enter the discount'!$D$10:$E$40,2,FALSE),0))</f>
        <v>11.23542905294696</v>
      </c>
      <c r="L569" s="43" t="s">
        <v>859</v>
      </c>
      <c r="M569" t="s">
        <v>714</v>
      </c>
      <c r="N569" t="s">
        <v>927</v>
      </c>
      <c r="O569" t="s">
        <v>2723</v>
      </c>
      <c r="P569">
        <v>30</v>
      </c>
      <c r="Q569">
        <v>900</v>
      </c>
      <c r="R569" t="s">
        <v>2465</v>
      </c>
      <c r="S569" s="42" t="str">
        <f>HYPERLINK("https://sklep.kobi.pl/produkt/oprawa-led-wl-8w-4000k-230v-650lm-120st")</f>
        <v>https://sklep.kobi.pl/produkt/oprawa-led-wl-8w-4000k-230v-650lm-120st</v>
      </c>
      <c r="T569" s="42" t="str">
        <f>HYPERLINK("https://eprel.ec.europa.eu/qr/862613         ")</f>
        <v xml:space="preserve">https://eprel.ec.europa.eu/qr/862613         </v>
      </c>
      <c r="U569">
        <v>0.2</v>
      </c>
      <c r="V569">
        <v>0.312</v>
      </c>
      <c r="W569">
        <v>30</v>
      </c>
      <c r="X569">
        <v>60</v>
      </c>
      <c r="Y569">
        <v>600</v>
      </c>
    </row>
    <row r="570" spans="1:25" ht="15" x14ac:dyDescent="0.25">
      <c r="A570" t="s">
        <v>23</v>
      </c>
      <c r="B570" t="s">
        <v>69</v>
      </c>
      <c r="C570" t="s">
        <v>59</v>
      </c>
      <c r="D570" t="s">
        <v>111</v>
      </c>
      <c r="E570" t="s">
        <v>14</v>
      </c>
      <c r="F570" t="s">
        <v>2128</v>
      </c>
      <c r="G570" t="s">
        <v>351</v>
      </c>
      <c r="H570" t="s">
        <v>5</v>
      </c>
      <c r="I570">
        <v>62.2</v>
      </c>
      <c r="J570" s="41">
        <f>I570/'enter the discount'!$D$7</f>
        <v>14.559243481110437</v>
      </c>
      <c r="K570" s="41">
        <f>J570*(1-IFERROR(VLOOKUP(H570,'enter the discount'!$D$10:$E$40,2,FALSE),0))</f>
        <v>14.559243481110437</v>
      </c>
      <c r="L570" s="43" t="s">
        <v>859</v>
      </c>
      <c r="M570" t="s">
        <v>715</v>
      </c>
      <c r="N570" t="s">
        <v>927</v>
      </c>
      <c r="O570" t="s">
        <v>2723</v>
      </c>
      <c r="P570">
        <v>30</v>
      </c>
      <c r="Q570">
        <v>450</v>
      </c>
      <c r="R570" t="s">
        <v>2465</v>
      </c>
      <c r="S570" s="42" t="str">
        <f>HYPERLINK("https://sklep.kobi.pl/produkt/podszafkowa-oprawa-led-wl-10w-nb")</f>
        <v>https://sklep.kobi.pl/produkt/podszafkowa-oprawa-led-wl-10w-nb</v>
      </c>
      <c r="T570" s="42" t="str">
        <f>HYPERLINK("https://eprel.ec.europa.eu/qr/862614         ")</f>
        <v xml:space="preserve">https://eprel.ec.europa.eu/qr/862614         </v>
      </c>
      <c r="U570">
        <v>0.23899999999999999</v>
      </c>
      <c r="V570">
        <v>0.38100000000000001</v>
      </c>
      <c r="W570">
        <v>75</v>
      </c>
      <c r="X570">
        <v>900</v>
      </c>
      <c r="Y570">
        <v>30</v>
      </c>
    </row>
    <row r="571" spans="1:25" ht="15" x14ac:dyDescent="0.25">
      <c r="A571" t="s">
        <v>23</v>
      </c>
      <c r="B571" t="s">
        <v>69</v>
      </c>
      <c r="C571" t="s">
        <v>59</v>
      </c>
      <c r="D571" t="s">
        <v>111</v>
      </c>
      <c r="E571" t="s">
        <v>14</v>
      </c>
      <c r="F571" t="s">
        <v>2129</v>
      </c>
      <c r="G571" t="s">
        <v>352</v>
      </c>
      <c r="H571" t="s">
        <v>5</v>
      </c>
      <c r="I571">
        <v>66.760000000000005</v>
      </c>
      <c r="J571" s="41">
        <f>I571/'enter the discount'!$D$7</f>
        <v>15.626609241140399</v>
      </c>
      <c r="K571" s="41">
        <f>J571*(1-IFERROR(VLOOKUP(H571,'enter the discount'!$D$10:$E$40,2,FALSE),0))</f>
        <v>15.626609241140399</v>
      </c>
      <c r="L571" s="43" t="s">
        <v>859</v>
      </c>
      <c r="M571" t="s">
        <v>716</v>
      </c>
      <c r="N571" t="s">
        <v>927</v>
      </c>
      <c r="O571" t="s">
        <v>2723</v>
      </c>
      <c r="P571">
        <v>30</v>
      </c>
      <c r="Q571">
        <v>450</v>
      </c>
      <c r="R571" t="s">
        <v>2465</v>
      </c>
      <c r="S571" s="42" t="str">
        <f>HYPERLINK("https://sklep.kobi.pl/produkt/podszafkowa-oprawa-led-wl-14w-nb")</f>
        <v>https://sklep.kobi.pl/produkt/podszafkowa-oprawa-led-wl-14w-nb</v>
      </c>
      <c r="T571" s="42" t="str">
        <f>HYPERLINK("https://eprel.ec.europa.eu/qr/862617         ")</f>
        <v xml:space="preserve">https://eprel.ec.europa.eu/qr/862617         </v>
      </c>
      <c r="U571">
        <v>0.27100000000000002</v>
      </c>
      <c r="V571">
        <v>0.46800000000000003</v>
      </c>
      <c r="W571">
        <v>75</v>
      </c>
      <c r="X571">
        <v>1200</v>
      </c>
      <c r="Y571">
        <v>30</v>
      </c>
    </row>
    <row r="572" spans="1:25" ht="15" x14ac:dyDescent="0.25">
      <c r="A572" t="s">
        <v>23</v>
      </c>
      <c r="B572" t="s">
        <v>69</v>
      </c>
      <c r="C572" t="s">
        <v>59</v>
      </c>
      <c r="D572" t="s">
        <v>111</v>
      </c>
      <c r="E572" t="s">
        <v>2722</v>
      </c>
      <c r="F572" t="s">
        <v>2130</v>
      </c>
      <c r="G572" t="s">
        <v>1327</v>
      </c>
      <c r="H572" t="s">
        <v>5</v>
      </c>
      <c r="I572">
        <v>62.2</v>
      </c>
      <c r="J572" s="41">
        <f>I572/'enter the discount'!$D$7</f>
        <v>14.559243481110437</v>
      </c>
      <c r="K572" s="41">
        <f>J572*(1-IFERROR(VLOOKUP(H572,'enter the discount'!$D$10:$E$40,2,FALSE),0))</f>
        <v>14.559243481110437</v>
      </c>
      <c r="L572" s="43" t="s">
        <v>859</v>
      </c>
      <c r="M572" t="s">
        <v>1328</v>
      </c>
      <c r="N572" t="s">
        <v>927</v>
      </c>
      <c r="O572" t="s">
        <v>2723</v>
      </c>
      <c r="P572">
        <v>30</v>
      </c>
      <c r="Q572">
        <v>450</v>
      </c>
      <c r="R572" t="s">
        <v>2465</v>
      </c>
      <c r="S572" s="42" t="str">
        <f>HYPERLINK("https://sklep.kobi.pl/produkt/led-wl-10w-3000k")</f>
        <v>https://sklep.kobi.pl/produkt/led-wl-10w-3000k</v>
      </c>
      <c r="T572" s="42" t="str">
        <f>HYPERLINK("https://eprel.ec.europa.eu/qr/1482315        ")</f>
        <v xml:space="preserve">https://eprel.ec.europa.eu/qr/1482315        </v>
      </c>
      <c r="U572">
        <v>0.23899999999999999</v>
      </c>
      <c r="V572">
        <v>0.38100000000000001</v>
      </c>
      <c r="W572">
        <v>75</v>
      </c>
      <c r="X572">
        <v>900</v>
      </c>
      <c r="Y572">
        <v>30</v>
      </c>
    </row>
    <row r="573" spans="1:25" ht="15" x14ac:dyDescent="0.25">
      <c r="A573" t="s">
        <v>23</v>
      </c>
      <c r="B573" t="s">
        <v>69</v>
      </c>
      <c r="C573" t="s">
        <v>59</v>
      </c>
      <c r="D573" t="s">
        <v>111</v>
      </c>
      <c r="E573" t="s">
        <v>2722</v>
      </c>
      <c r="F573" t="s">
        <v>2129</v>
      </c>
      <c r="G573" t="s">
        <v>1329</v>
      </c>
      <c r="H573" t="s">
        <v>5</v>
      </c>
      <c r="I573">
        <v>66.760000000000005</v>
      </c>
      <c r="J573" s="41">
        <f>I573/'enter the discount'!$D$7</f>
        <v>15.626609241140399</v>
      </c>
      <c r="K573" s="41">
        <f>J573*(1-IFERROR(VLOOKUP(H573,'enter the discount'!$D$10:$E$40,2,FALSE),0))</f>
        <v>15.626609241140399</v>
      </c>
      <c r="L573" s="43" t="s">
        <v>859</v>
      </c>
      <c r="M573" t="s">
        <v>1330</v>
      </c>
      <c r="N573" t="s">
        <v>927</v>
      </c>
      <c r="O573" t="s">
        <v>2723</v>
      </c>
      <c r="P573">
        <v>30</v>
      </c>
      <c r="Q573">
        <v>450</v>
      </c>
      <c r="R573" t="s">
        <v>2465</v>
      </c>
      <c r="S573" s="42" t="str">
        <f>HYPERLINK("https://sklep.kobi.pl/produkt/led-wl-14w-3000k")</f>
        <v>https://sklep.kobi.pl/produkt/led-wl-14w-3000k</v>
      </c>
      <c r="T573" s="42" t="str">
        <f>HYPERLINK("https://eprel.ec.europa.eu/qr/1482407        ")</f>
        <v xml:space="preserve">https://eprel.ec.europa.eu/qr/1482407        </v>
      </c>
      <c r="U573">
        <v>0.27100000000000002</v>
      </c>
      <c r="V573">
        <v>0.46800000000000003</v>
      </c>
      <c r="W573">
        <v>75</v>
      </c>
      <c r="X573">
        <v>1200</v>
      </c>
      <c r="Y573">
        <v>30</v>
      </c>
    </row>
    <row r="574" spans="1:25" ht="15" x14ac:dyDescent="0.25">
      <c r="A574" t="s">
        <v>23</v>
      </c>
      <c r="B574" t="s">
        <v>74</v>
      </c>
      <c r="C574" t="s">
        <v>48</v>
      </c>
      <c r="D574" t="s">
        <v>111</v>
      </c>
      <c r="E574" t="s">
        <v>14</v>
      </c>
      <c r="F574" t="s">
        <v>2131</v>
      </c>
      <c r="G574" t="s">
        <v>353</v>
      </c>
      <c r="H574" t="s">
        <v>884</v>
      </c>
      <c r="I574">
        <v>46</v>
      </c>
      <c r="J574" s="41">
        <f>I574/'enter the discount'!$D$7</f>
        <v>10.767286175740837</v>
      </c>
      <c r="K574" s="41">
        <f>J574*(1-IFERROR(VLOOKUP(H574,'enter the discount'!$D$10:$E$40,2,FALSE),0))</f>
        <v>10.767286175740837</v>
      </c>
      <c r="L574" s="43" t="s">
        <v>2549</v>
      </c>
      <c r="M574" t="s">
        <v>717</v>
      </c>
      <c r="N574" t="s">
        <v>935</v>
      </c>
      <c r="O574" t="s">
        <v>2723</v>
      </c>
      <c r="P574">
        <v>20</v>
      </c>
      <c r="Q574">
        <v>980</v>
      </c>
      <c r="R574" t="s">
        <v>2465</v>
      </c>
      <c r="S574" s="42" t="str">
        <f>HYPERLINK("https://sklep.kobi.pl/produkt/oprawka-halogenowa-oh36-biala")</f>
        <v>https://sklep.kobi.pl/produkt/oprawka-halogenowa-oh36-biala</v>
      </c>
      <c r="T574" s="42" t="str">
        <f>HYPERLINK("https://eprel.ec.europa.eu/qr/NIE DOTYCZY    ")</f>
        <v xml:space="preserve">https://eprel.ec.europa.eu/qr/NIE DOTYCZY    </v>
      </c>
      <c r="U574">
        <v>0.24299999999999999</v>
      </c>
      <c r="V574">
        <v>0.316</v>
      </c>
      <c r="W574">
        <v>105</v>
      </c>
      <c r="X574">
        <v>115</v>
      </c>
      <c r="Y574">
        <v>10</v>
      </c>
    </row>
    <row r="575" spans="1:25" ht="15" x14ac:dyDescent="0.25">
      <c r="A575" t="s">
        <v>23</v>
      </c>
      <c r="B575" t="s">
        <v>74</v>
      </c>
      <c r="C575" t="s">
        <v>48</v>
      </c>
      <c r="D575" t="s">
        <v>111</v>
      </c>
      <c r="E575" t="s">
        <v>14</v>
      </c>
      <c r="F575" t="s">
        <v>2132</v>
      </c>
      <c r="G575" t="s">
        <v>354</v>
      </c>
      <c r="H575" t="s">
        <v>884</v>
      </c>
      <c r="I575">
        <v>46</v>
      </c>
      <c r="J575" s="41">
        <f>I575/'enter the discount'!$D$7</f>
        <v>10.767286175740837</v>
      </c>
      <c r="K575" s="41">
        <f>J575*(1-IFERROR(VLOOKUP(H575,'enter the discount'!$D$10:$E$40,2,FALSE),0))</f>
        <v>10.767286175740837</v>
      </c>
      <c r="L575" s="43" t="s">
        <v>2549</v>
      </c>
      <c r="M575" t="s">
        <v>718</v>
      </c>
      <c r="N575" t="s">
        <v>935</v>
      </c>
      <c r="O575" t="s">
        <v>2723</v>
      </c>
      <c r="P575">
        <v>20</v>
      </c>
      <c r="Q575">
        <v>980</v>
      </c>
      <c r="R575" t="s">
        <v>2465</v>
      </c>
      <c r="S575" s="42" t="str">
        <f>HYPERLINK("https://sklep.kobi.pl/produkt/oprawka-halogenowa-oh36-czarna")</f>
        <v>https://sklep.kobi.pl/produkt/oprawka-halogenowa-oh36-czarna</v>
      </c>
      <c r="T575" s="42" t="str">
        <f>HYPERLINK("https://eprel.ec.europa.eu/qr/NIE DOTYCZY    ")</f>
        <v xml:space="preserve">https://eprel.ec.europa.eu/qr/NIE DOTYCZY    </v>
      </c>
      <c r="U575">
        <v>0.24299999999999999</v>
      </c>
      <c r="V575">
        <v>0.316</v>
      </c>
      <c r="W575">
        <v>105</v>
      </c>
      <c r="X575">
        <v>115</v>
      </c>
      <c r="Y575">
        <v>110</v>
      </c>
    </row>
    <row r="576" spans="1:25" ht="15" x14ac:dyDescent="0.25">
      <c r="A576" t="s">
        <v>23</v>
      </c>
      <c r="B576" t="s">
        <v>74</v>
      </c>
      <c r="C576" t="s">
        <v>48</v>
      </c>
      <c r="D576" t="s">
        <v>111</v>
      </c>
      <c r="E576" t="s">
        <v>14</v>
      </c>
      <c r="F576" t="s">
        <v>2133</v>
      </c>
      <c r="G576" t="s">
        <v>355</v>
      </c>
      <c r="H576" t="s">
        <v>884</v>
      </c>
      <c r="I576">
        <v>57</v>
      </c>
      <c r="J576" s="41">
        <f>I576/'enter the discount'!$D$7</f>
        <v>13.342072000374515</v>
      </c>
      <c r="K576" s="41">
        <f>J576*(1-IFERROR(VLOOKUP(H576,'enter the discount'!$D$10:$E$40,2,FALSE),0))</f>
        <v>13.342072000374515</v>
      </c>
      <c r="L576" s="43" t="s">
        <v>2549</v>
      </c>
      <c r="M576" t="s">
        <v>719</v>
      </c>
      <c r="N576" t="s">
        <v>935</v>
      </c>
      <c r="O576" t="s">
        <v>2723</v>
      </c>
      <c r="P576">
        <v>20</v>
      </c>
      <c r="Q576">
        <v>700</v>
      </c>
      <c r="R576" t="s">
        <v>2465</v>
      </c>
      <c r="S576" s="42" t="str">
        <f>HYPERLINK("https://sklep.kobi.pl/produkt/oprawka-halogenowa-oh36l-biala")</f>
        <v>https://sklep.kobi.pl/produkt/oprawka-halogenowa-oh36l-biala</v>
      </c>
      <c r="T576" s="42" t="str">
        <f>HYPERLINK("https://eprel.ec.europa.eu/qr/NIE DOTYCZY    ")</f>
        <v xml:space="preserve">https://eprel.ec.europa.eu/qr/NIE DOTYCZY    </v>
      </c>
      <c r="U576">
        <v>0.27500000000000002</v>
      </c>
      <c r="V576">
        <v>0.38600000000000001</v>
      </c>
      <c r="W576">
        <v>111</v>
      </c>
      <c r="X576">
        <v>110</v>
      </c>
      <c r="Y576">
        <v>141</v>
      </c>
    </row>
    <row r="577" spans="1:25" ht="15" x14ac:dyDescent="0.25">
      <c r="A577" t="s">
        <v>23</v>
      </c>
      <c r="B577" t="s">
        <v>74</v>
      </c>
      <c r="C577" t="s">
        <v>48</v>
      </c>
      <c r="D577" t="s">
        <v>111</v>
      </c>
      <c r="E577" t="s">
        <v>14</v>
      </c>
      <c r="F577" t="s">
        <v>2134</v>
      </c>
      <c r="G577" t="s">
        <v>356</v>
      </c>
      <c r="H577" t="s">
        <v>884</v>
      </c>
      <c r="I577">
        <v>57</v>
      </c>
      <c r="J577" s="41">
        <f>I577/'enter the discount'!$D$7</f>
        <v>13.342072000374515</v>
      </c>
      <c r="K577" s="41">
        <f>J577*(1-IFERROR(VLOOKUP(H577,'enter the discount'!$D$10:$E$40,2,FALSE),0))</f>
        <v>13.342072000374515</v>
      </c>
      <c r="L577" s="43" t="s">
        <v>2549</v>
      </c>
      <c r="M577" t="s">
        <v>720</v>
      </c>
      <c r="N577" t="s">
        <v>935</v>
      </c>
      <c r="O577" t="s">
        <v>2723</v>
      </c>
      <c r="P577">
        <v>20</v>
      </c>
      <c r="Q577">
        <v>700</v>
      </c>
      <c r="R577" t="s">
        <v>2465</v>
      </c>
      <c r="S577" s="42" t="str">
        <f>HYPERLINK("https://sklep.kobi.pl/produkt/oprawka-halogenowa-oh36l-czarna")</f>
        <v>https://sklep.kobi.pl/produkt/oprawka-halogenowa-oh36l-czarna</v>
      </c>
      <c r="T577" s="42" t="str">
        <f>HYPERLINK("https://eprel.ec.europa.eu/qr/NIE DOTYCZY    ")</f>
        <v xml:space="preserve">https://eprel.ec.europa.eu/qr/NIE DOTYCZY    </v>
      </c>
      <c r="U577">
        <v>0.27500000000000002</v>
      </c>
      <c r="V577">
        <v>0.38600000000000001</v>
      </c>
      <c r="W577">
        <v>111</v>
      </c>
      <c r="X577">
        <v>110</v>
      </c>
      <c r="Y577">
        <v>141</v>
      </c>
    </row>
    <row r="578" spans="1:25" ht="15" x14ac:dyDescent="0.25">
      <c r="A578" t="s">
        <v>23</v>
      </c>
      <c r="B578" t="s">
        <v>74</v>
      </c>
      <c r="C578" t="s">
        <v>48</v>
      </c>
      <c r="D578" t="s">
        <v>111</v>
      </c>
      <c r="E578" t="s">
        <v>14</v>
      </c>
      <c r="F578" t="s">
        <v>2135</v>
      </c>
      <c r="G578" t="s">
        <v>357</v>
      </c>
      <c r="H578" t="s">
        <v>884</v>
      </c>
      <c r="I578">
        <v>43</v>
      </c>
      <c r="J578" s="41">
        <f>I578/'enter the discount'!$D$7</f>
        <v>10.065071859931651</v>
      </c>
      <c r="K578" s="41">
        <f>J578*(1-IFERROR(VLOOKUP(H578,'enter the discount'!$D$10:$E$40,2,FALSE),0))</f>
        <v>10.065071859931651</v>
      </c>
      <c r="L578" s="43" t="s">
        <v>2549</v>
      </c>
      <c r="M578" t="s">
        <v>721</v>
      </c>
      <c r="N578" t="s">
        <v>1007</v>
      </c>
      <c r="O578" t="s">
        <v>2723</v>
      </c>
      <c r="P578">
        <v>20</v>
      </c>
      <c r="Q578">
        <v>1260</v>
      </c>
      <c r="R578" t="s">
        <v>2465</v>
      </c>
      <c r="S578" s="42" t="str">
        <f>HYPERLINK("https://sklep.kobi.pl/produkt/oprawa-do-nabudowania-oh36-s-biala")</f>
        <v>https://sklep.kobi.pl/produkt/oprawa-do-nabudowania-oh36-s-biala</v>
      </c>
      <c r="T578" s="42" t="str">
        <f>HYPERLINK("https://eprel.ec.europa.eu/qr/NIE DOTYCZY    ")</f>
        <v xml:space="preserve">https://eprel.ec.europa.eu/qr/NIE DOTYCZY    </v>
      </c>
      <c r="U578">
        <v>0.20300000000000001</v>
      </c>
      <c r="V578">
        <v>0.246</v>
      </c>
      <c r="W578">
        <v>120</v>
      </c>
      <c r="X578">
        <v>425</v>
      </c>
      <c r="Y578">
        <v>425</v>
      </c>
    </row>
    <row r="579" spans="1:25" ht="15" x14ac:dyDescent="0.25">
      <c r="A579" t="s">
        <v>23</v>
      </c>
      <c r="B579" t="s">
        <v>74</v>
      </c>
      <c r="C579" t="s">
        <v>48</v>
      </c>
      <c r="D579" t="s">
        <v>111</v>
      </c>
      <c r="E579" t="s">
        <v>14</v>
      </c>
      <c r="F579" t="s">
        <v>2136</v>
      </c>
      <c r="G579" t="s">
        <v>358</v>
      </c>
      <c r="H579" t="s">
        <v>884</v>
      </c>
      <c r="I579">
        <v>43</v>
      </c>
      <c r="J579" s="41">
        <f>I579/'enter the discount'!$D$7</f>
        <v>10.065071859931651</v>
      </c>
      <c r="K579" s="41">
        <f>J579*(1-IFERROR(VLOOKUP(H579,'enter the discount'!$D$10:$E$40,2,FALSE),0))</f>
        <v>10.065071859931651</v>
      </c>
      <c r="L579" s="43" t="s">
        <v>2549</v>
      </c>
      <c r="M579" t="s">
        <v>722</v>
      </c>
      <c r="N579" t="s">
        <v>1007</v>
      </c>
      <c r="O579" t="s">
        <v>2723</v>
      </c>
      <c r="P579">
        <v>20</v>
      </c>
      <c r="Q579">
        <v>1260</v>
      </c>
      <c r="R579" t="s">
        <v>2465</v>
      </c>
      <c r="S579" s="42" t="str">
        <f>HYPERLINK("https://sklep.kobi.pl/produkt/oprawa-do-nabudowania-oh36-s-czarna")</f>
        <v>https://sklep.kobi.pl/produkt/oprawa-do-nabudowania-oh36-s-czarna</v>
      </c>
      <c r="T579" s="42" t="str">
        <f>HYPERLINK("https://eprel.ec.europa.eu/qr/NIE DOTYCZY    ")</f>
        <v xml:space="preserve">https://eprel.ec.europa.eu/qr/NIE DOTYCZY    </v>
      </c>
      <c r="U579">
        <v>0.20300000000000001</v>
      </c>
      <c r="V579">
        <v>0.246</v>
      </c>
      <c r="W579">
        <v>110</v>
      </c>
      <c r="X579">
        <v>80</v>
      </c>
      <c r="Y579">
        <v>105</v>
      </c>
    </row>
    <row r="580" spans="1:25" ht="15" x14ac:dyDescent="0.25">
      <c r="A580" t="s">
        <v>23</v>
      </c>
      <c r="B580" t="s">
        <v>74</v>
      </c>
      <c r="C580" t="s">
        <v>48</v>
      </c>
      <c r="D580" t="s">
        <v>111</v>
      </c>
      <c r="E580" t="s">
        <v>14</v>
      </c>
      <c r="F580" t="s">
        <v>2137</v>
      </c>
      <c r="G580" t="s">
        <v>359</v>
      </c>
      <c r="H580" t="s">
        <v>884</v>
      </c>
      <c r="I580">
        <v>55.5</v>
      </c>
      <c r="J580" s="41">
        <f>I580/'enter the discount'!$D$7</f>
        <v>12.990964842469923</v>
      </c>
      <c r="K580" s="41">
        <f>J580*(1-IFERROR(VLOOKUP(H580,'enter the discount'!$D$10:$E$40,2,FALSE),0))</f>
        <v>12.990964842469923</v>
      </c>
      <c r="L580" s="43" t="s">
        <v>2549</v>
      </c>
      <c r="M580" t="s">
        <v>723</v>
      </c>
      <c r="N580" t="s">
        <v>935</v>
      </c>
      <c r="O580" t="s">
        <v>2723</v>
      </c>
      <c r="P580">
        <v>20</v>
      </c>
      <c r="Q580">
        <v>980</v>
      </c>
      <c r="R580" t="s">
        <v>2465</v>
      </c>
      <c r="S580" s="42" t="str">
        <f>HYPERLINK("https://sklep.kobi.pl/produkt/oprawka-halogenowa-oh37-biala")</f>
        <v>https://sklep.kobi.pl/produkt/oprawka-halogenowa-oh37-biala</v>
      </c>
      <c r="T580" s="42" t="str">
        <f>HYPERLINK("https://eprel.ec.europa.eu/qr/NIE DOTYCZY    ")</f>
        <v xml:space="preserve">https://eprel.ec.europa.eu/qr/NIE DOTYCZY    </v>
      </c>
      <c r="U580">
        <v>0.53600000000000003</v>
      </c>
      <c r="V580">
        <v>0.59899999999999998</v>
      </c>
      <c r="W580">
        <v>105</v>
      </c>
      <c r="X580">
        <v>110</v>
      </c>
      <c r="Y580">
        <v>110</v>
      </c>
    </row>
    <row r="581" spans="1:25" ht="15" x14ac:dyDescent="0.25">
      <c r="A581" t="s">
        <v>23</v>
      </c>
      <c r="B581" t="s">
        <v>74</v>
      </c>
      <c r="C581" t="s">
        <v>48</v>
      </c>
      <c r="D581" t="s">
        <v>111</v>
      </c>
      <c r="E581" t="s">
        <v>2722</v>
      </c>
      <c r="F581" t="s">
        <v>2138</v>
      </c>
      <c r="G581" t="s">
        <v>360</v>
      </c>
      <c r="H581" t="s">
        <v>884</v>
      </c>
      <c r="I581">
        <v>55.5</v>
      </c>
      <c r="J581" s="41">
        <f>I581/'enter the discount'!$D$7</f>
        <v>12.990964842469923</v>
      </c>
      <c r="K581" s="41">
        <f>J581*(1-IFERROR(VLOOKUP(H581,'enter the discount'!$D$10:$E$40,2,FALSE),0))</f>
        <v>12.990964842469923</v>
      </c>
      <c r="L581" s="43" t="s">
        <v>2549</v>
      </c>
      <c r="M581" t="s">
        <v>724</v>
      </c>
      <c r="N581" t="s">
        <v>935</v>
      </c>
      <c r="O581" t="s">
        <v>2723</v>
      </c>
      <c r="P581">
        <v>20</v>
      </c>
      <c r="Q581">
        <v>980</v>
      </c>
      <c r="R581" t="s">
        <v>2465</v>
      </c>
      <c r="S581" s="42" t="str">
        <f>HYPERLINK("https://sklep.kobi.pl/produkt/oprawka-halogenowa-oh37-chrom")</f>
        <v>https://sklep.kobi.pl/produkt/oprawka-halogenowa-oh37-chrom</v>
      </c>
      <c r="T581" s="42" t="str">
        <f>HYPERLINK("https://eprel.ec.europa.eu/qr/NIE DOTYCZY    ")</f>
        <v xml:space="preserve">https://eprel.ec.europa.eu/qr/NIE DOTYCZY    </v>
      </c>
      <c r="U581">
        <v>0.53600000000000003</v>
      </c>
      <c r="V581">
        <v>0.59899999999999998</v>
      </c>
      <c r="W581">
        <v>105</v>
      </c>
      <c r="X581">
        <v>110</v>
      </c>
      <c r="Y581">
        <v>110</v>
      </c>
    </row>
    <row r="582" spans="1:25" ht="15" x14ac:dyDescent="0.25">
      <c r="A582" t="s">
        <v>23</v>
      </c>
      <c r="B582" t="s">
        <v>74</v>
      </c>
      <c r="C582" t="s">
        <v>48</v>
      </c>
      <c r="D582" t="s">
        <v>111</v>
      </c>
      <c r="E582" t="s">
        <v>14</v>
      </c>
      <c r="F582" t="s">
        <v>2139</v>
      </c>
      <c r="G582" t="s">
        <v>361</v>
      </c>
      <c r="H582" t="s">
        <v>884</v>
      </c>
      <c r="I582">
        <v>55.5</v>
      </c>
      <c r="J582" s="41">
        <f>I582/'enter the discount'!$D$7</f>
        <v>12.990964842469923</v>
      </c>
      <c r="K582" s="41">
        <f>J582*(1-IFERROR(VLOOKUP(H582,'enter the discount'!$D$10:$E$40,2,FALSE),0))</f>
        <v>12.990964842469923</v>
      </c>
      <c r="L582" s="43" t="s">
        <v>2549</v>
      </c>
      <c r="M582" t="s">
        <v>725</v>
      </c>
      <c r="N582" t="s">
        <v>935</v>
      </c>
      <c r="O582" t="s">
        <v>2723</v>
      </c>
      <c r="P582">
        <v>20</v>
      </c>
      <c r="Q582">
        <v>980</v>
      </c>
      <c r="R582" t="s">
        <v>2465</v>
      </c>
      <c r="S582" s="42" t="str">
        <f>HYPERLINK("https://sklep.kobi.pl/produkt/oprawka-halogenowa-oh37-czarna")</f>
        <v>https://sklep.kobi.pl/produkt/oprawka-halogenowa-oh37-czarna</v>
      </c>
      <c r="T582" s="42" t="str">
        <f>HYPERLINK("https://eprel.ec.europa.eu/qr/NIE DOTYCZY    ")</f>
        <v xml:space="preserve">https://eprel.ec.europa.eu/qr/NIE DOTYCZY    </v>
      </c>
      <c r="U582">
        <v>0.53600000000000003</v>
      </c>
      <c r="V582">
        <v>0.59899999999999998</v>
      </c>
      <c r="W582">
        <v>105</v>
      </c>
      <c r="X582">
        <v>110</v>
      </c>
      <c r="Y582">
        <v>110</v>
      </c>
    </row>
    <row r="583" spans="1:25" ht="15" x14ac:dyDescent="0.25">
      <c r="A583" t="s">
        <v>23</v>
      </c>
      <c r="B583" t="s">
        <v>74</v>
      </c>
      <c r="C583" t="s">
        <v>48</v>
      </c>
      <c r="D583" t="s">
        <v>111</v>
      </c>
      <c r="E583" t="s">
        <v>14</v>
      </c>
      <c r="F583" t="s">
        <v>2140</v>
      </c>
      <c r="G583" t="s">
        <v>362</v>
      </c>
      <c r="H583" t="s">
        <v>884</v>
      </c>
      <c r="I583">
        <v>52</v>
      </c>
      <c r="J583" s="41">
        <f>I583/'enter the discount'!$D$7</f>
        <v>12.171714807359207</v>
      </c>
      <c r="K583" s="41">
        <f>J583*(1-IFERROR(VLOOKUP(H583,'enter the discount'!$D$10:$E$40,2,FALSE),0))</f>
        <v>12.171714807359207</v>
      </c>
      <c r="L583" s="43" t="s">
        <v>2549</v>
      </c>
      <c r="M583" t="s">
        <v>726</v>
      </c>
      <c r="N583" t="s">
        <v>1007</v>
      </c>
      <c r="O583" t="s">
        <v>2723</v>
      </c>
      <c r="P583">
        <v>20</v>
      </c>
      <c r="Q583">
        <v>1260</v>
      </c>
      <c r="R583" t="s">
        <v>2465</v>
      </c>
      <c r="S583" s="42" t="str">
        <f>HYPERLINK("https://sklep.kobi.pl/produkt/oprawa-do-nabudowania-oh37-s-biala")</f>
        <v>https://sklep.kobi.pl/produkt/oprawa-do-nabudowania-oh37-s-biala</v>
      </c>
      <c r="T583" s="42" t="str">
        <f>HYPERLINK("https://eprel.ec.europa.eu/qr/NIE DOTYCZY    ")</f>
        <v xml:space="preserve">https://eprel.ec.europa.eu/qr/NIE DOTYCZY    </v>
      </c>
      <c r="U583">
        <v>0.38300000000000001</v>
      </c>
      <c r="V583">
        <v>0.443</v>
      </c>
      <c r="W583">
        <v>105</v>
      </c>
      <c r="X583">
        <v>80</v>
      </c>
      <c r="Y583">
        <v>110</v>
      </c>
    </row>
    <row r="584" spans="1:25" ht="15" x14ac:dyDescent="0.25">
      <c r="A584" t="s">
        <v>23</v>
      </c>
      <c r="B584" t="s">
        <v>74</v>
      </c>
      <c r="C584" t="s">
        <v>48</v>
      </c>
      <c r="D584" t="s">
        <v>111</v>
      </c>
      <c r="E584" t="s">
        <v>2722</v>
      </c>
      <c r="F584" t="s">
        <v>2141</v>
      </c>
      <c r="G584" t="s">
        <v>363</v>
      </c>
      <c r="H584" t="s">
        <v>884</v>
      </c>
      <c r="I584">
        <v>72</v>
      </c>
      <c r="J584" s="41">
        <f>I584/'enter the discount'!$D$7</f>
        <v>16.85314357942044</v>
      </c>
      <c r="K584" s="41">
        <f>J584*(1-IFERROR(VLOOKUP(H584,'enter the discount'!$D$10:$E$40,2,FALSE),0))</f>
        <v>16.85314357942044</v>
      </c>
      <c r="L584" s="43" t="s">
        <v>2549</v>
      </c>
      <c r="M584" t="s">
        <v>727</v>
      </c>
      <c r="N584" t="s">
        <v>1007</v>
      </c>
      <c r="O584" t="s">
        <v>2723</v>
      </c>
      <c r="P584">
        <v>20</v>
      </c>
      <c r="Q584">
        <v>1260</v>
      </c>
      <c r="R584" t="s">
        <v>2465</v>
      </c>
      <c r="S584" s="42" t="str">
        <f>HYPERLINK("https://sklep.kobi.pl/produkt/oprawa-do-nabudowania-oh37-s-chrom")</f>
        <v>https://sklep.kobi.pl/produkt/oprawa-do-nabudowania-oh37-s-chrom</v>
      </c>
      <c r="T584" s="42" t="str">
        <f>HYPERLINK("https://eprel.ec.europa.eu/qr/NIE DOTYCZY    ")</f>
        <v xml:space="preserve">https://eprel.ec.europa.eu/qr/NIE DOTYCZY    </v>
      </c>
      <c r="U584">
        <v>0.38300000000000001</v>
      </c>
      <c r="V584">
        <v>0.443</v>
      </c>
      <c r="W584">
        <v>105</v>
      </c>
      <c r="X584">
        <v>80</v>
      </c>
      <c r="Y584">
        <v>110</v>
      </c>
    </row>
    <row r="585" spans="1:25" ht="15" x14ac:dyDescent="0.25">
      <c r="A585" t="s">
        <v>23</v>
      </c>
      <c r="B585" t="s">
        <v>74</v>
      </c>
      <c r="C585" t="s">
        <v>48</v>
      </c>
      <c r="D585" t="s">
        <v>111</v>
      </c>
      <c r="E585" t="s">
        <v>14</v>
      </c>
      <c r="F585" t="s">
        <v>2142</v>
      </c>
      <c r="G585" t="s">
        <v>364</v>
      </c>
      <c r="H585" t="s">
        <v>884</v>
      </c>
      <c r="I585">
        <v>52</v>
      </c>
      <c r="J585" s="41">
        <f>I585/'enter the discount'!$D$7</f>
        <v>12.171714807359207</v>
      </c>
      <c r="K585" s="41">
        <f>J585*(1-IFERROR(VLOOKUP(H585,'enter the discount'!$D$10:$E$40,2,FALSE),0))</f>
        <v>12.171714807359207</v>
      </c>
      <c r="L585" s="43" t="s">
        <v>2549</v>
      </c>
      <c r="M585" t="s">
        <v>728</v>
      </c>
      <c r="N585" t="s">
        <v>1007</v>
      </c>
      <c r="O585" t="s">
        <v>2723</v>
      </c>
      <c r="P585">
        <v>20</v>
      </c>
      <c r="Q585">
        <v>1260</v>
      </c>
      <c r="R585" t="s">
        <v>2465</v>
      </c>
      <c r="S585" s="42" t="str">
        <f>HYPERLINK("https://sklep.kobi.pl/produkt/oprawa-do-nabudowania-oh37-s-czarna")</f>
        <v>https://sklep.kobi.pl/produkt/oprawa-do-nabudowania-oh37-s-czarna</v>
      </c>
      <c r="T585" s="42" t="str">
        <f>HYPERLINK("https://eprel.ec.europa.eu/qr/NIE DOTYCZY    ")</f>
        <v xml:space="preserve">https://eprel.ec.europa.eu/qr/NIE DOTYCZY    </v>
      </c>
      <c r="U585">
        <v>0.38300000000000001</v>
      </c>
      <c r="V585">
        <v>0.443</v>
      </c>
      <c r="W585">
        <v>105</v>
      </c>
      <c r="X585">
        <v>80</v>
      </c>
      <c r="Y585">
        <v>110</v>
      </c>
    </row>
    <row r="586" spans="1:25" ht="15" x14ac:dyDescent="0.25">
      <c r="A586" t="s">
        <v>23</v>
      </c>
      <c r="B586" t="s">
        <v>74</v>
      </c>
      <c r="C586" t="s">
        <v>59</v>
      </c>
      <c r="D586" t="s">
        <v>116</v>
      </c>
      <c r="E586" t="s">
        <v>2722</v>
      </c>
      <c r="F586" t="s">
        <v>2143</v>
      </c>
      <c r="G586" t="s">
        <v>365</v>
      </c>
      <c r="H586" t="s">
        <v>883</v>
      </c>
      <c r="I586">
        <v>447</v>
      </c>
      <c r="J586" s="41">
        <f>I586/'enter the discount'!$D$7</f>
        <v>104.62993305556857</v>
      </c>
      <c r="K586" s="41">
        <f>J586*(1-IFERROR(VLOOKUP(H586,'enter the discount'!$D$10:$E$40,2,FALSE),0))</f>
        <v>104.62993305556857</v>
      </c>
      <c r="L586" s="43" t="s">
        <v>478</v>
      </c>
      <c r="M586" t="s">
        <v>729</v>
      </c>
      <c r="N586" t="s">
        <v>936</v>
      </c>
      <c r="O586" t="s">
        <v>2723</v>
      </c>
      <c r="P586">
        <v>12</v>
      </c>
      <c r="Q586">
        <v>0</v>
      </c>
      <c r="R586" t="s">
        <v>2467</v>
      </c>
      <c r="S586" s="42" t="str">
        <f>HYPERLINK("https://sklep.kobi.pl/produkt/led-moss-10w-3000k-black")</f>
        <v>https://sklep.kobi.pl/produkt/led-moss-10w-3000k-black</v>
      </c>
      <c r="T586" t="s">
        <v>14</v>
      </c>
      <c r="U586">
        <v>0.66600000000000004</v>
      </c>
      <c r="V586">
        <v>0.88500000000000001</v>
      </c>
      <c r="W586">
        <v>260</v>
      </c>
      <c r="X586">
        <v>120</v>
      </c>
      <c r="Y586">
        <v>190</v>
      </c>
    </row>
    <row r="587" spans="1:25" ht="15" x14ac:dyDescent="0.25">
      <c r="A587" t="s">
        <v>23</v>
      </c>
      <c r="B587" t="s">
        <v>74</v>
      </c>
      <c r="C587" t="s">
        <v>59</v>
      </c>
      <c r="D587" t="s">
        <v>116</v>
      </c>
      <c r="E587" t="s">
        <v>2722</v>
      </c>
      <c r="F587" t="s">
        <v>2144</v>
      </c>
      <c r="G587" t="s">
        <v>366</v>
      </c>
      <c r="H587" t="s">
        <v>883</v>
      </c>
      <c r="I587">
        <v>465</v>
      </c>
      <c r="J587" s="41">
        <f>I587/'enter the discount'!$D$7</f>
        <v>108.84321895042368</v>
      </c>
      <c r="K587" s="41">
        <f>J587*(1-IFERROR(VLOOKUP(H587,'enter the discount'!$D$10:$E$40,2,FALSE),0))</f>
        <v>108.84321895042368</v>
      </c>
      <c r="L587" s="43" t="s">
        <v>478</v>
      </c>
      <c r="M587" t="s">
        <v>730</v>
      </c>
      <c r="N587" t="s">
        <v>936</v>
      </c>
      <c r="O587" t="s">
        <v>2723</v>
      </c>
      <c r="P587">
        <v>12</v>
      </c>
      <c r="Q587">
        <v>0</v>
      </c>
      <c r="R587" t="s">
        <v>2467</v>
      </c>
      <c r="S587" s="42" t="str">
        <f>HYPERLINK("https://sklep.kobi.pl/produkt/led-moss-20w-3000k-black")</f>
        <v>https://sklep.kobi.pl/produkt/led-moss-20w-3000k-black</v>
      </c>
      <c r="T587" t="s">
        <v>14</v>
      </c>
      <c r="U587">
        <v>0.88</v>
      </c>
      <c r="V587">
        <v>0.88500000000000001</v>
      </c>
      <c r="W587">
        <v>260</v>
      </c>
      <c r="X587">
        <v>120</v>
      </c>
      <c r="Y587">
        <v>190</v>
      </c>
    </row>
    <row r="588" spans="1:25" ht="15" x14ac:dyDescent="0.25">
      <c r="A588" t="s">
        <v>23</v>
      </c>
      <c r="B588" t="s">
        <v>94</v>
      </c>
      <c r="C588"/>
      <c r="D588" t="s">
        <v>111</v>
      </c>
      <c r="E588" t="s">
        <v>14</v>
      </c>
      <c r="F588" t="s">
        <v>2145</v>
      </c>
      <c r="G588" t="s">
        <v>367</v>
      </c>
      <c r="H588" t="s">
        <v>884</v>
      </c>
      <c r="I588">
        <v>65.3</v>
      </c>
      <c r="J588" s="41">
        <f>I588/'enter the discount'!$D$7</f>
        <v>15.284864940779926</v>
      </c>
      <c r="K588" s="41">
        <f>J588*(1-IFERROR(VLOOKUP(H588,'enter the discount'!$D$10:$E$40,2,FALSE),0))</f>
        <v>15.284864940779926</v>
      </c>
      <c r="L588" s="43" t="s">
        <v>2549</v>
      </c>
      <c r="M588" t="s">
        <v>731</v>
      </c>
      <c r="N588" t="s">
        <v>935</v>
      </c>
      <c r="O588" t="s">
        <v>2723</v>
      </c>
      <c r="P588">
        <v>20</v>
      </c>
      <c r="Q588">
        <v>840</v>
      </c>
      <c r="R588" t="s">
        <v>2465</v>
      </c>
      <c r="S588" s="42" t="str">
        <f>HYPERLINK("https://sklep.kobi.pl/produkt/aquarius-round-black")</f>
        <v>https://sklep.kobi.pl/produkt/aquarius-round-black</v>
      </c>
      <c r="T588" s="42" t="str">
        <f>HYPERLINK("https://eprel.ec.europa.eu/qr/NIE DOTYCZY    ")</f>
        <v xml:space="preserve">https://eprel.ec.europa.eu/qr/NIE DOTYCZY    </v>
      </c>
      <c r="U588">
        <v>0.27700000000000002</v>
      </c>
      <c r="V588">
        <v>0.33400000000000002</v>
      </c>
      <c r="W588">
        <v>105</v>
      </c>
      <c r="X588">
        <v>125</v>
      </c>
      <c r="Y588">
        <v>110</v>
      </c>
    </row>
    <row r="589" spans="1:25" ht="15" x14ac:dyDescent="0.25">
      <c r="A589" t="s">
        <v>23</v>
      </c>
      <c r="B589" t="s">
        <v>94</v>
      </c>
      <c r="C589"/>
      <c r="D589" t="s">
        <v>111</v>
      </c>
      <c r="E589" t="s">
        <v>2722</v>
      </c>
      <c r="F589" t="s">
        <v>2146</v>
      </c>
      <c r="G589" t="s">
        <v>368</v>
      </c>
      <c r="H589" t="s">
        <v>884</v>
      </c>
      <c r="I589">
        <v>65.3</v>
      </c>
      <c r="J589" s="41">
        <f>I589/'enter the discount'!$D$7</f>
        <v>15.284864940779926</v>
      </c>
      <c r="K589" s="41">
        <f>J589*(1-IFERROR(VLOOKUP(H589,'enter the discount'!$D$10:$E$40,2,FALSE),0))</f>
        <v>15.284864940779926</v>
      </c>
      <c r="L589" s="43" t="s">
        <v>2549</v>
      </c>
      <c r="M589" t="s">
        <v>732</v>
      </c>
      <c r="N589" t="s">
        <v>935</v>
      </c>
      <c r="O589" t="s">
        <v>2723</v>
      </c>
      <c r="P589">
        <v>20</v>
      </c>
      <c r="Q589">
        <v>840</v>
      </c>
      <c r="R589" t="s">
        <v>2465</v>
      </c>
      <c r="S589" s="42" t="str">
        <f>HYPERLINK("https://sklep.kobi.pl/produkt/aquarius-round-chrome")</f>
        <v>https://sklep.kobi.pl/produkt/aquarius-round-chrome</v>
      </c>
      <c r="T589" s="42" t="str">
        <f>HYPERLINK("https://eprel.ec.europa.eu/qr/NIE DOTYCZY    ")</f>
        <v xml:space="preserve">https://eprel.ec.europa.eu/qr/NIE DOTYCZY    </v>
      </c>
      <c r="U589">
        <v>0.27700000000000002</v>
      </c>
      <c r="V589">
        <v>0.33400000000000002</v>
      </c>
      <c r="W589">
        <v>105</v>
      </c>
      <c r="X589">
        <v>125</v>
      </c>
      <c r="Y589">
        <v>110</v>
      </c>
    </row>
    <row r="590" spans="1:25" ht="15" x14ac:dyDescent="0.25">
      <c r="A590" t="s">
        <v>23</v>
      </c>
      <c r="B590" t="s">
        <v>94</v>
      </c>
      <c r="C590"/>
      <c r="D590" t="s">
        <v>111</v>
      </c>
      <c r="E590" t="s">
        <v>14</v>
      </c>
      <c r="F590" t="s">
        <v>2147</v>
      </c>
      <c r="G590" t="s">
        <v>369</v>
      </c>
      <c r="H590" t="s">
        <v>884</v>
      </c>
      <c r="I590">
        <v>65.3</v>
      </c>
      <c r="J590" s="41">
        <f>I590/'enter the discount'!$D$7</f>
        <v>15.284864940779926</v>
      </c>
      <c r="K590" s="41">
        <f>J590*(1-IFERROR(VLOOKUP(H590,'enter the discount'!$D$10:$E$40,2,FALSE),0))</f>
        <v>15.284864940779926</v>
      </c>
      <c r="L590" s="43" t="s">
        <v>2549</v>
      </c>
      <c r="M590" t="s">
        <v>733</v>
      </c>
      <c r="N590" t="s">
        <v>935</v>
      </c>
      <c r="O590" t="s">
        <v>2723</v>
      </c>
      <c r="P590">
        <v>20</v>
      </c>
      <c r="Q590">
        <v>840</v>
      </c>
      <c r="R590" t="s">
        <v>2465</v>
      </c>
      <c r="S590" s="42" t="str">
        <f>HYPERLINK("https://sklep.kobi.pl/produkt/aquarius-round-white")</f>
        <v>https://sklep.kobi.pl/produkt/aquarius-round-white</v>
      </c>
      <c r="T590" s="42" t="str">
        <f>HYPERLINK("https://eprel.ec.europa.eu/qr/NIE DOTYCZY    ")</f>
        <v xml:space="preserve">https://eprel.ec.europa.eu/qr/NIE DOTYCZY    </v>
      </c>
      <c r="U590">
        <v>0.27700000000000002</v>
      </c>
      <c r="V590">
        <v>0.33400000000000002</v>
      </c>
      <c r="W590">
        <v>105</v>
      </c>
      <c r="X590">
        <v>125</v>
      </c>
      <c r="Y590">
        <v>110</v>
      </c>
    </row>
    <row r="591" spans="1:25" ht="15" x14ac:dyDescent="0.25">
      <c r="A591" t="s">
        <v>23</v>
      </c>
      <c r="B591" t="s">
        <v>94</v>
      </c>
      <c r="C591"/>
      <c r="D591" t="s">
        <v>111</v>
      </c>
      <c r="E591" t="s">
        <v>2722</v>
      </c>
      <c r="F591" t="s">
        <v>2148</v>
      </c>
      <c r="G591" t="s">
        <v>370</v>
      </c>
      <c r="H591" t="s">
        <v>884</v>
      </c>
      <c r="I591">
        <v>79.3</v>
      </c>
      <c r="J591" s="41">
        <f>I591/'enter the discount'!$D$7</f>
        <v>18.561865081222791</v>
      </c>
      <c r="K591" s="41">
        <f>J591*(1-IFERROR(VLOOKUP(H591,'enter the discount'!$D$10:$E$40,2,FALSE),0))</f>
        <v>18.561865081222791</v>
      </c>
      <c r="L591" s="43" t="s">
        <v>2549</v>
      </c>
      <c r="M591" t="s">
        <v>734</v>
      </c>
      <c r="N591" t="s">
        <v>935</v>
      </c>
      <c r="O591" t="s">
        <v>2723</v>
      </c>
      <c r="P591">
        <v>20</v>
      </c>
      <c r="Q591">
        <v>0</v>
      </c>
      <c r="R591" t="s">
        <v>2465</v>
      </c>
      <c r="S591" s="42" t="str">
        <f>HYPERLINK("https://sklep.kobi.pl/produkt/aquarius-square-black")</f>
        <v>https://sklep.kobi.pl/produkt/aquarius-square-black</v>
      </c>
      <c r="T591" s="42" t="str">
        <f>HYPERLINK("https://eprel.ec.europa.eu/qr/NIE DOTYCZY    ")</f>
        <v xml:space="preserve">https://eprel.ec.europa.eu/qr/NIE DOTYCZY    </v>
      </c>
      <c r="U591">
        <v>0.64800000000000002</v>
      </c>
      <c r="V591">
        <v>0.72899999999999998</v>
      </c>
      <c r="W591">
        <v>110</v>
      </c>
      <c r="X591">
        <v>125</v>
      </c>
      <c r="Y591">
        <v>105</v>
      </c>
    </row>
    <row r="592" spans="1:25" ht="15" x14ac:dyDescent="0.25">
      <c r="A592" t="s">
        <v>23</v>
      </c>
      <c r="B592" t="s">
        <v>94</v>
      </c>
      <c r="C592"/>
      <c r="D592" t="s">
        <v>111</v>
      </c>
      <c r="E592" t="s">
        <v>2722</v>
      </c>
      <c r="F592" t="s">
        <v>2149</v>
      </c>
      <c r="G592" t="s">
        <v>371</v>
      </c>
      <c r="H592" t="s">
        <v>884</v>
      </c>
      <c r="I592">
        <v>79.3</v>
      </c>
      <c r="J592" s="41">
        <f>I592/'enter the discount'!$D$7</f>
        <v>18.561865081222791</v>
      </c>
      <c r="K592" s="41">
        <f>J592*(1-IFERROR(VLOOKUP(H592,'enter the discount'!$D$10:$E$40,2,FALSE),0))</f>
        <v>18.561865081222791</v>
      </c>
      <c r="L592" s="43" t="s">
        <v>2549</v>
      </c>
      <c r="M592" t="s">
        <v>735</v>
      </c>
      <c r="N592" t="s">
        <v>935</v>
      </c>
      <c r="O592" t="s">
        <v>2723</v>
      </c>
      <c r="P592">
        <v>20</v>
      </c>
      <c r="Q592">
        <v>0</v>
      </c>
      <c r="R592" t="s">
        <v>2465</v>
      </c>
      <c r="S592" s="42" t="str">
        <f>HYPERLINK("https://sklep.kobi.pl/produkt/aquarius-square-white")</f>
        <v>https://sklep.kobi.pl/produkt/aquarius-square-white</v>
      </c>
      <c r="T592" s="42" t="str">
        <f>HYPERLINK("https://eprel.ec.europa.eu/qr/NIE DOTYCZY    ")</f>
        <v xml:space="preserve">https://eprel.ec.europa.eu/qr/NIE DOTYCZY    </v>
      </c>
      <c r="U592">
        <v>0.64800000000000002</v>
      </c>
      <c r="V592">
        <v>0.72899999999999998</v>
      </c>
      <c r="W592">
        <v>110</v>
      </c>
      <c r="X592">
        <v>125</v>
      </c>
      <c r="Y592">
        <v>105</v>
      </c>
    </row>
    <row r="593" spans="1:25" ht="15" x14ac:dyDescent="0.25">
      <c r="A593" t="s">
        <v>23</v>
      </c>
      <c r="B593" t="s">
        <v>51</v>
      </c>
      <c r="C593" t="s">
        <v>70</v>
      </c>
      <c r="D593" t="s">
        <v>111</v>
      </c>
      <c r="E593" t="s">
        <v>14</v>
      </c>
      <c r="F593" t="s">
        <v>2150</v>
      </c>
      <c r="G593" t="s">
        <v>372</v>
      </c>
      <c r="H593" t="s">
        <v>7</v>
      </c>
      <c r="I593">
        <v>48.63</v>
      </c>
      <c r="J593" s="41">
        <f>I593/'enter the discount'!$D$7</f>
        <v>11.382894059266889</v>
      </c>
      <c r="K593" s="41">
        <f>J593*(1-IFERROR(VLOOKUP(H593,'enter the discount'!$D$10:$E$40,2,FALSE),0))</f>
        <v>11.382894059266889</v>
      </c>
      <c r="L593" s="43" t="s">
        <v>2549</v>
      </c>
      <c r="M593" t="s">
        <v>736</v>
      </c>
      <c r="N593" t="s">
        <v>930</v>
      </c>
      <c r="O593" t="s">
        <v>2723</v>
      </c>
      <c r="P593">
        <v>24</v>
      </c>
      <c r="Q593">
        <v>480</v>
      </c>
      <c r="R593" t="s">
        <v>2465</v>
      </c>
      <c r="S593" s="42" t="str">
        <f>HYPERLINK("https://sklep.kobi.pl/produkt/lampa-ogrodowa-blake-2-czarna-gu10-ip65")</f>
        <v>https://sklep.kobi.pl/produkt/lampa-ogrodowa-blake-2-czarna-gu10-ip65</v>
      </c>
      <c r="T593" s="42" t="str">
        <f>HYPERLINK("https://eprel.ec.europa.eu/qr/NIE DOTYCZY    ")</f>
        <v xml:space="preserve">https://eprel.ec.europa.eu/qr/NIE DOTYCZY    </v>
      </c>
      <c r="U593">
        <v>0.42099999999999999</v>
      </c>
      <c r="V593">
        <v>0.49299999999999999</v>
      </c>
      <c r="W593">
        <v>110</v>
      </c>
      <c r="X593">
        <v>112</v>
      </c>
      <c r="Y593">
        <v>180</v>
      </c>
    </row>
    <row r="594" spans="1:25" ht="15" x14ac:dyDescent="0.25">
      <c r="A594" t="s">
        <v>23</v>
      </c>
      <c r="B594" t="s">
        <v>51</v>
      </c>
      <c r="C594" t="s">
        <v>70</v>
      </c>
      <c r="D594" t="s">
        <v>111</v>
      </c>
      <c r="E594" t="s">
        <v>14</v>
      </c>
      <c r="F594" t="s">
        <v>2151</v>
      </c>
      <c r="G594" t="s">
        <v>373</v>
      </c>
      <c r="H594" t="s">
        <v>6</v>
      </c>
      <c r="I594">
        <v>94.26</v>
      </c>
      <c r="J594" s="41">
        <f>I594/'enter the discount'!$D$7</f>
        <v>22.063573802724594</v>
      </c>
      <c r="K594" s="41">
        <f>J594*(1-IFERROR(VLOOKUP(H594,'enter the discount'!$D$10:$E$40,2,FALSE),0))</f>
        <v>22.063573802724594</v>
      </c>
      <c r="L594" s="43" t="s">
        <v>2549</v>
      </c>
      <c r="M594" t="s">
        <v>737</v>
      </c>
      <c r="N594" t="s">
        <v>930</v>
      </c>
      <c r="O594" t="s">
        <v>2723</v>
      </c>
      <c r="P594">
        <v>18</v>
      </c>
      <c r="Q594">
        <v>0</v>
      </c>
      <c r="R594" t="s">
        <v>2465</v>
      </c>
      <c r="S594" s="42" t="str">
        <f>HYPERLINK("https://sklep.kobi.pl/produkt/opr-dogrun-gu10-entrada1-kwadrat")</f>
        <v>https://sklep.kobi.pl/produkt/opr-dogrun-gu10-entrada1-kwadrat</v>
      </c>
      <c r="T594" s="42" t="str">
        <f>HYPERLINK("https://eprel.ec.europa.eu/qr/NIE DOTYCZY    ")</f>
        <v xml:space="preserve">https://eprel.ec.europa.eu/qr/NIE DOTYCZY    </v>
      </c>
      <c r="U594">
        <v>0.58899999999999997</v>
      </c>
      <c r="V594">
        <v>0.64400000000000002</v>
      </c>
      <c r="W594">
        <v>116</v>
      </c>
      <c r="X594">
        <v>117</v>
      </c>
      <c r="Y594">
        <v>130</v>
      </c>
    </row>
    <row r="595" spans="1:25" ht="15" x14ac:dyDescent="0.25">
      <c r="A595" t="s">
        <v>23</v>
      </c>
      <c r="B595" t="s">
        <v>51</v>
      </c>
      <c r="C595" t="s">
        <v>70</v>
      </c>
      <c r="D595" t="s">
        <v>111</v>
      </c>
      <c r="E595" t="s">
        <v>14</v>
      </c>
      <c r="F595" t="s">
        <v>2152</v>
      </c>
      <c r="G595" t="s">
        <v>374</v>
      </c>
      <c r="H595" t="s">
        <v>6</v>
      </c>
      <c r="I595">
        <v>86.84</v>
      </c>
      <c r="J595" s="41">
        <f>I595/'enter the discount'!$D$7</f>
        <v>20.326763728289876</v>
      </c>
      <c r="K595" s="41">
        <f>J595*(1-IFERROR(VLOOKUP(H595,'enter the discount'!$D$10:$E$40,2,FALSE),0))</f>
        <v>20.326763728289876</v>
      </c>
      <c r="L595" s="43" t="s">
        <v>2549</v>
      </c>
      <c r="M595" t="s">
        <v>738</v>
      </c>
      <c r="N595" t="s">
        <v>930</v>
      </c>
      <c r="O595" t="s">
        <v>2723</v>
      </c>
      <c r="P595">
        <v>18</v>
      </c>
      <c r="Q595">
        <v>0</v>
      </c>
      <c r="R595" t="s">
        <v>2465</v>
      </c>
      <c r="S595" s="42" t="str">
        <f>HYPERLINK("https://sklep.kobi.pl/produkt/opr-dogrun-gu10-entrada2-okragla")</f>
        <v>https://sklep.kobi.pl/produkt/opr-dogrun-gu10-entrada2-okragla</v>
      </c>
      <c r="T595" s="42" t="str">
        <f>HYPERLINK("https://eprel.ec.europa.eu/qr/NIE DOTYCZY    ")</f>
        <v xml:space="preserve">https://eprel.ec.europa.eu/qr/NIE DOTYCZY    </v>
      </c>
      <c r="U595">
        <v>0.51100000000000001</v>
      </c>
      <c r="V595">
        <v>0.57599999999999996</v>
      </c>
      <c r="W595">
        <v>115</v>
      </c>
      <c r="X595">
        <v>112</v>
      </c>
      <c r="Y595">
        <v>130</v>
      </c>
    </row>
    <row r="596" spans="1:25" ht="15" x14ac:dyDescent="0.25">
      <c r="A596" t="s">
        <v>23</v>
      </c>
      <c r="B596" t="s">
        <v>51</v>
      </c>
      <c r="C596" t="s">
        <v>70</v>
      </c>
      <c r="D596" t="s">
        <v>112</v>
      </c>
      <c r="E596" t="s">
        <v>14</v>
      </c>
      <c r="F596" t="s">
        <v>2153</v>
      </c>
      <c r="G596" t="s">
        <v>1487</v>
      </c>
      <c r="H596" t="s">
        <v>7</v>
      </c>
      <c r="I596">
        <v>57.4</v>
      </c>
      <c r="J596" s="41">
        <f>I596/'enter the discount'!$D$7</f>
        <v>13.435700575815739</v>
      </c>
      <c r="K596" s="41">
        <f>J596*(1-IFERROR(VLOOKUP(H596,'enter the discount'!$D$10:$E$40,2,FALSE),0))</f>
        <v>13.435700575815739</v>
      </c>
      <c r="L596" s="43" t="s">
        <v>2549</v>
      </c>
      <c r="M596" t="s">
        <v>1488</v>
      </c>
      <c r="N596" t="s">
        <v>930</v>
      </c>
      <c r="O596" t="s">
        <v>2723</v>
      </c>
      <c r="P596">
        <v>20</v>
      </c>
      <c r="Q596">
        <v>0</v>
      </c>
      <c r="R596" t="s">
        <v>2465</v>
      </c>
      <c r="S596" s="42" t="str">
        <f>HYPERLINK("https://sklep.kobi.pl/produkt/ingress-gu10-round-led2b")</f>
        <v>https://sklep.kobi.pl/produkt/ingress-gu10-round-led2b</v>
      </c>
      <c r="T596" s="42" t="str">
        <f>HYPERLINK("https://eprel.ec.europa.eu/qr/NIE DOTYCZY    ")</f>
        <v xml:space="preserve">https://eprel.ec.europa.eu/qr/NIE DOTYCZY    </v>
      </c>
      <c r="U596">
        <v>0.39</v>
      </c>
      <c r="V596">
        <v>0</v>
      </c>
      <c r="W596">
        <v>0</v>
      </c>
      <c r="X596">
        <v>0</v>
      </c>
      <c r="Y596">
        <v>0</v>
      </c>
    </row>
    <row r="597" spans="1:25" ht="15" x14ac:dyDescent="0.25">
      <c r="A597" t="s">
        <v>23</v>
      </c>
      <c r="B597" t="s">
        <v>51</v>
      </c>
      <c r="C597" t="s">
        <v>70</v>
      </c>
      <c r="D597" t="s">
        <v>112</v>
      </c>
      <c r="E597" t="s">
        <v>14</v>
      </c>
      <c r="F597" t="s">
        <v>2154</v>
      </c>
      <c r="G597" t="s">
        <v>1489</v>
      </c>
      <c r="H597" t="s">
        <v>7</v>
      </c>
      <c r="I597">
        <v>59.8</v>
      </c>
      <c r="J597" s="41">
        <f>I597/'enter the discount'!$D$7</f>
        <v>13.997472028463086</v>
      </c>
      <c r="K597" s="41">
        <f>J597*(1-IFERROR(VLOOKUP(H597,'enter the discount'!$D$10:$E$40,2,FALSE),0))</f>
        <v>13.997472028463086</v>
      </c>
      <c r="L597" s="43" t="s">
        <v>2549</v>
      </c>
      <c r="M597" t="s">
        <v>1490</v>
      </c>
      <c r="N597" t="s">
        <v>930</v>
      </c>
      <c r="O597" t="s">
        <v>2723</v>
      </c>
      <c r="P597">
        <v>20</v>
      </c>
      <c r="Q597">
        <v>0</v>
      </c>
      <c r="R597" t="s">
        <v>2465</v>
      </c>
      <c r="S597" s="42" t="str">
        <f>HYPERLINK("https://sklep.kobi.pl/produkt/ingress-gu10-square-led2b")</f>
        <v>https://sklep.kobi.pl/produkt/ingress-gu10-square-led2b</v>
      </c>
      <c r="T597" s="42" t="str">
        <f>HYPERLINK("https://eprel.ec.europa.eu/qr/NIE DOTYCZY    ")</f>
        <v xml:space="preserve">https://eprel.ec.europa.eu/qr/NIE DOTYCZY    </v>
      </c>
      <c r="U597">
        <v>0.49</v>
      </c>
      <c r="V597">
        <v>0</v>
      </c>
      <c r="W597">
        <v>0</v>
      </c>
      <c r="X597">
        <v>0</v>
      </c>
      <c r="Y597">
        <v>0</v>
      </c>
    </row>
    <row r="598" spans="1:25" ht="15" x14ac:dyDescent="0.25">
      <c r="A598" t="s">
        <v>23</v>
      </c>
      <c r="B598" t="s">
        <v>51</v>
      </c>
      <c r="C598" t="s">
        <v>1430</v>
      </c>
      <c r="D598" t="s">
        <v>111</v>
      </c>
      <c r="E598" t="s">
        <v>14</v>
      </c>
      <c r="F598" t="s">
        <v>2155</v>
      </c>
      <c r="G598" t="s">
        <v>1431</v>
      </c>
      <c r="H598" t="s">
        <v>7</v>
      </c>
      <c r="I598">
        <v>211</v>
      </c>
      <c r="J598" s="41">
        <f>I598/'enter the discount'!$D$7</f>
        <v>49.389073545246013</v>
      </c>
      <c r="K598" s="41">
        <f>J598*(1-IFERROR(VLOOKUP(H598,'enter the discount'!$D$10:$E$40,2,FALSE),0))</f>
        <v>49.389073545246013</v>
      </c>
      <c r="L598" s="43" t="s">
        <v>2549</v>
      </c>
      <c r="M598" t="s">
        <v>1432</v>
      </c>
      <c r="N598" t="s">
        <v>930</v>
      </c>
      <c r="O598" t="s">
        <v>2723</v>
      </c>
      <c r="P598">
        <v>8</v>
      </c>
      <c r="Q598">
        <v>128</v>
      </c>
      <c r="R598" t="s">
        <v>2465</v>
      </c>
      <c r="S598" s="42" t="str">
        <f>HYPERLINK("https://sklep.kobi.pl/produkt/girlanda-mimosa-10m-20xe27")</f>
        <v>https://sklep.kobi.pl/produkt/girlanda-mimosa-10m-20xe27</v>
      </c>
      <c r="T598" s="42" t="str">
        <f>HYPERLINK("https://eprel.ec.europa.eu/qr/NIE DOTYCZY    ")</f>
        <v xml:space="preserve">https://eprel.ec.europa.eu/qr/NIE DOTYCZY    </v>
      </c>
      <c r="U598">
        <v>1.93</v>
      </c>
      <c r="V598">
        <v>2.1749999999999998</v>
      </c>
      <c r="W598">
        <v>310</v>
      </c>
      <c r="X598">
        <v>165</v>
      </c>
      <c r="Y598">
        <v>205</v>
      </c>
    </row>
    <row r="599" spans="1:25" ht="15" x14ac:dyDescent="0.25">
      <c r="A599" t="s">
        <v>23</v>
      </c>
      <c r="B599" t="s">
        <v>51</v>
      </c>
      <c r="C599" t="s">
        <v>1430</v>
      </c>
      <c r="D599" t="s">
        <v>111</v>
      </c>
      <c r="E599" t="s">
        <v>14</v>
      </c>
      <c r="F599" t="s">
        <v>2156</v>
      </c>
      <c r="G599" t="s">
        <v>1433</v>
      </c>
      <c r="H599" t="s">
        <v>7</v>
      </c>
      <c r="I599">
        <v>290</v>
      </c>
      <c r="J599" s="41">
        <f>I599/'enter the discount'!$D$7</f>
        <v>67.880717194887879</v>
      </c>
      <c r="K599" s="41">
        <f>J599*(1-IFERROR(VLOOKUP(H599,'enter the discount'!$D$10:$E$40,2,FALSE),0))</f>
        <v>67.880717194887879</v>
      </c>
      <c r="L599" s="43" t="s">
        <v>2549</v>
      </c>
      <c r="M599" t="s">
        <v>1434</v>
      </c>
      <c r="N599" t="s">
        <v>930</v>
      </c>
      <c r="O599" t="s">
        <v>2723</v>
      </c>
      <c r="P599">
        <v>8</v>
      </c>
      <c r="Q599">
        <v>96</v>
      </c>
      <c r="R599" t="s">
        <v>2465</v>
      </c>
      <c r="S599" s="42" t="str">
        <f>HYPERLINK("https://sklep.kobi.pl/produkt/girlanda-mimosa-20m-20xe27")</f>
        <v>https://sklep.kobi.pl/produkt/girlanda-mimosa-20m-20xe27</v>
      </c>
      <c r="T599" s="42" t="str">
        <f>HYPERLINK("https://eprel.ec.europa.eu/qr/NIE DOTYCZY    ")</f>
        <v xml:space="preserve">https://eprel.ec.europa.eu/qr/NIE DOTYCZY    </v>
      </c>
      <c r="U599">
        <v>2.5979999999999999</v>
      </c>
      <c r="V599">
        <v>2.9329999999999998</v>
      </c>
      <c r="W599">
        <v>310</v>
      </c>
      <c r="X599">
        <v>165</v>
      </c>
      <c r="Y599">
        <v>180</v>
      </c>
    </row>
    <row r="600" spans="1:25" ht="15" x14ac:dyDescent="0.25">
      <c r="A600" t="s">
        <v>23</v>
      </c>
      <c r="B600"/>
      <c r="C600"/>
      <c r="D600" t="s">
        <v>111</v>
      </c>
      <c r="E600" t="s">
        <v>2721</v>
      </c>
      <c r="F600" t="s">
        <v>2581</v>
      </c>
      <c r="G600" t="s">
        <v>2582</v>
      </c>
      <c r="H600" t="s">
        <v>7</v>
      </c>
      <c r="I600">
        <v>41.25</v>
      </c>
      <c r="J600" s="41">
        <f>I600/'enter the discount'!$D$7</f>
        <v>9.6554468423762945</v>
      </c>
      <c r="K600" s="41">
        <f>J600*(1-IFERROR(VLOOKUP(H600,'enter the discount'!$D$10:$E$40,2,FALSE),0))</f>
        <v>9.6554468423762945</v>
      </c>
      <c r="L600" s="43" t="s">
        <v>2549</v>
      </c>
      <c r="M600" t="s">
        <v>2649</v>
      </c>
      <c r="N600" t="s">
        <v>824</v>
      </c>
      <c r="O600" t="s">
        <v>2723</v>
      </c>
      <c r="P600">
        <v>100</v>
      </c>
      <c r="Q600">
        <v>0</v>
      </c>
      <c r="R600" t="s">
        <v>2465</v>
      </c>
      <c r="S600" s="42" t="str">
        <f>HYPERLINK("https://sklep.kobi.pl/produkt/growly-pc-3m")</f>
        <v>https://sklep.kobi.pl/produkt/growly-pc-3m</v>
      </c>
      <c r="T600" s="42" t="str">
        <f>HYPERLINK("https://eprel.ec.europa.eu/qr/NIE DOTYCZY    ")</f>
        <v xml:space="preserve">https://eprel.ec.europa.eu/qr/NIE DOTYCZY    </v>
      </c>
      <c r="U600">
        <v>0.11</v>
      </c>
      <c r="V600">
        <v>0</v>
      </c>
      <c r="W600">
        <v>0</v>
      </c>
      <c r="X600">
        <v>0</v>
      </c>
      <c r="Y600">
        <v>0</v>
      </c>
    </row>
    <row r="601" spans="1:25" ht="15" x14ac:dyDescent="0.25">
      <c r="A601" t="s">
        <v>23</v>
      </c>
      <c r="B601"/>
      <c r="C601"/>
      <c r="D601" t="s">
        <v>111</v>
      </c>
      <c r="E601" t="s">
        <v>2721</v>
      </c>
      <c r="F601" t="s">
        <v>2583</v>
      </c>
      <c r="G601" t="s">
        <v>2584</v>
      </c>
      <c r="H601" t="s">
        <v>7</v>
      </c>
      <c r="I601">
        <v>64.75</v>
      </c>
      <c r="J601" s="41">
        <f>I601/'enter the discount'!$D$7</f>
        <v>15.156125649548242</v>
      </c>
      <c r="K601" s="41">
        <f>J601*(1-IFERROR(VLOOKUP(H601,'enter the discount'!$D$10:$E$40,2,FALSE),0))</f>
        <v>15.156125649548242</v>
      </c>
      <c r="L601" s="43" t="s">
        <v>2549</v>
      </c>
      <c r="M601" t="s">
        <v>2650</v>
      </c>
      <c r="N601" t="s">
        <v>927</v>
      </c>
      <c r="O601" t="s">
        <v>2723</v>
      </c>
      <c r="P601">
        <v>25</v>
      </c>
      <c r="Q601">
        <v>0</v>
      </c>
      <c r="R601" t="s">
        <v>2465</v>
      </c>
      <c r="S601" s="42" t="str">
        <f>HYPERLINK("https://sklep.kobi.pl/produkt/led-growly-15w")</f>
        <v>https://sklep.kobi.pl/produkt/led-growly-15w</v>
      </c>
      <c r="T601" s="42" t="str">
        <f>HYPERLINK("https://eprel.ec.europa.eu/qr/NIE DOTYCZY    ")</f>
        <v xml:space="preserve">https://eprel.ec.europa.eu/qr/NIE DOTYCZY    </v>
      </c>
      <c r="U601">
        <v>0.12</v>
      </c>
      <c r="V601">
        <v>0</v>
      </c>
      <c r="W601">
        <v>0</v>
      </c>
      <c r="X601">
        <v>0</v>
      </c>
      <c r="Y601">
        <v>0</v>
      </c>
    </row>
    <row r="602" spans="1:25" ht="15" x14ac:dyDescent="0.25">
      <c r="A602" t="s">
        <v>23</v>
      </c>
      <c r="B602"/>
      <c r="C602"/>
      <c r="D602" t="s">
        <v>111</v>
      </c>
      <c r="E602" t="s">
        <v>2721</v>
      </c>
      <c r="F602" t="s">
        <v>2585</v>
      </c>
      <c r="G602" t="s">
        <v>2586</v>
      </c>
      <c r="H602" t="s">
        <v>7</v>
      </c>
      <c r="I602">
        <v>43.75</v>
      </c>
      <c r="J602" s="41">
        <f>I602/'enter the discount'!$D$7</f>
        <v>10.240625438883947</v>
      </c>
      <c r="K602" s="41">
        <f>J602*(1-IFERROR(VLOOKUP(H602,'enter the discount'!$D$10:$E$40,2,FALSE),0))</f>
        <v>10.240625438883947</v>
      </c>
      <c r="L602" s="43" t="s">
        <v>2549</v>
      </c>
      <c r="M602" t="s">
        <v>2651</v>
      </c>
      <c r="N602" t="s">
        <v>937</v>
      </c>
      <c r="O602" t="s">
        <v>2723</v>
      </c>
      <c r="P602">
        <v>20</v>
      </c>
      <c r="Q602">
        <v>0</v>
      </c>
      <c r="R602" t="s">
        <v>2465</v>
      </c>
      <c r="S602" s="42" t="str">
        <f>HYPERLINK("https://sklep.kobi.pl/produkt/kobi-planty-clip-b")</f>
        <v>https://sklep.kobi.pl/produkt/kobi-planty-clip-b</v>
      </c>
      <c r="T602" s="42" t="str">
        <f>HYPERLINK("https://eprel.ec.europa.eu/qr/NIE DOTYCZY    ")</f>
        <v xml:space="preserve">https://eprel.ec.europa.eu/qr/NIE DOTYCZY    </v>
      </c>
      <c r="U602">
        <v>0.32</v>
      </c>
      <c r="V602">
        <v>0</v>
      </c>
      <c r="W602">
        <v>0</v>
      </c>
      <c r="X602">
        <v>0</v>
      </c>
      <c r="Y602">
        <v>0</v>
      </c>
    </row>
    <row r="603" spans="1:25" ht="15" x14ac:dyDescent="0.25">
      <c r="A603" t="s">
        <v>23</v>
      </c>
      <c r="B603"/>
      <c r="C603"/>
      <c r="D603" t="s">
        <v>111</v>
      </c>
      <c r="E603" t="s">
        <v>2721</v>
      </c>
      <c r="F603" t="s">
        <v>2587</v>
      </c>
      <c r="G603" t="s">
        <v>2588</v>
      </c>
      <c r="H603" t="s">
        <v>7</v>
      </c>
      <c r="I603">
        <v>43.75</v>
      </c>
      <c r="J603" s="41">
        <f>I603/'enter the discount'!$D$7</f>
        <v>10.240625438883947</v>
      </c>
      <c r="K603" s="41">
        <f>J603*(1-IFERROR(VLOOKUP(H603,'enter the discount'!$D$10:$E$40,2,FALSE),0))</f>
        <v>10.240625438883947</v>
      </c>
      <c r="L603" s="43" t="s">
        <v>2549</v>
      </c>
      <c r="M603" t="s">
        <v>2652</v>
      </c>
      <c r="N603" t="s">
        <v>937</v>
      </c>
      <c r="O603" t="s">
        <v>2723</v>
      </c>
      <c r="P603">
        <v>20</v>
      </c>
      <c r="Q603">
        <v>0</v>
      </c>
      <c r="R603" t="s">
        <v>2465</v>
      </c>
      <c r="S603" s="42" t="str">
        <f>HYPERLINK("https://sklep.kobi.pl/produkt/kobi-planty-clip-w")</f>
        <v>https://sklep.kobi.pl/produkt/kobi-planty-clip-w</v>
      </c>
      <c r="T603" s="42" t="str">
        <f>HYPERLINK("https://eprel.ec.europa.eu/qr/NIE DOTYCZY    ")</f>
        <v xml:space="preserve">https://eprel.ec.europa.eu/qr/NIE DOTYCZY    </v>
      </c>
      <c r="U603">
        <v>0.32</v>
      </c>
      <c r="V603">
        <v>0</v>
      </c>
      <c r="W603">
        <v>0</v>
      </c>
      <c r="X603">
        <v>0</v>
      </c>
      <c r="Y603">
        <v>0</v>
      </c>
    </row>
    <row r="604" spans="1:25" ht="15" x14ac:dyDescent="0.25">
      <c r="A604" t="s">
        <v>21</v>
      </c>
      <c r="B604" t="s">
        <v>43</v>
      </c>
      <c r="C604"/>
      <c r="D604" t="s">
        <v>111</v>
      </c>
      <c r="E604" t="s">
        <v>2721</v>
      </c>
      <c r="F604" t="s">
        <v>2589</v>
      </c>
      <c r="G604" t="s">
        <v>2590</v>
      </c>
      <c r="H604" t="s">
        <v>879</v>
      </c>
      <c r="I604">
        <v>31.25</v>
      </c>
      <c r="J604" s="41">
        <f>I604/'enter the discount'!$D$7</f>
        <v>7.314732456345677</v>
      </c>
      <c r="K604" s="41">
        <f>J604*(1-IFERROR(VLOOKUP(H604,'enter the discount'!$D$10:$E$40,2,FALSE),0))</f>
        <v>7.314732456345677</v>
      </c>
      <c r="L604" s="43" t="s">
        <v>2549</v>
      </c>
      <c r="M604" t="s">
        <v>2653</v>
      </c>
      <c r="N604" t="s">
        <v>926</v>
      </c>
      <c r="O604" t="s">
        <v>2723</v>
      </c>
      <c r="P604">
        <v>50</v>
      </c>
      <c r="Q604">
        <v>0</v>
      </c>
      <c r="R604" t="s">
        <v>2465</v>
      </c>
      <c r="S604" s="42" t="str">
        <f>HYPERLINK("https://sklep.kobi.pl/produkt/led-planty-b-e27-9w")</f>
        <v>https://sklep.kobi.pl/produkt/led-planty-b-e27-9w</v>
      </c>
      <c r="T604" s="42" t="str">
        <f>HYPERLINK("https://eprel.ec.europa.eu/qr/NIE DOTYCZY    ")</f>
        <v xml:space="preserve">https://eprel.ec.europa.eu/qr/NIE DOTYCZY    </v>
      </c>
      <c r="U604">
        <v>0.13</v>
      </c>
      <c r="V604">
        <v>0</v>
      </c>
      <c r="W604">
        <v>0</v>
      </c>
      <c r="X604">
        <v>0</v>
      </c>
      <c r="Y604">
        <v>0</v>
      </c>
    </row>
    <row r="605" spans="1:25" ht="15" x14ac:dyDescent="0.25">
      <c r="A605" t="s">
        <v>21</v>
      </c>
      <c r="B605" t="s">
        <v>43</v>
      </c>
      <c r="C605"/>
      <c r="D605" t="s">
        <v>111</v>
      </c>
      <c r="E605" t="s">
        <v>2721</v>
      </c>
      <c r="F605" t="s">
        <v>2591</v>
      </c>
      <c r="G605" t="s">
        <v>2592</v>
      </c>
      <c r="H605" t="s">
        <v>879</v>
      </c>
      <c r="I605">
        <v>47.25</v>
      </c>
      <c r="J605" s="41">
        <f>I605/'enter the discount'!$D$7</f>
        <v>11.059875473994664</v>
      </c>
      <c r="K605" s="41">
        <f>J605*(1-IFERROR(VLOOKUP(H605,'enter the discount'!$D$10:$E$40,2,FALSE),0))</f>
        <v>11.059875473994664</v>
      </c>
      <c r="L605" s="43" t="s">
        <v>2549</v>
      </c>
      <c r="M605" t="s">
        <v>2654</v>
      </c>
      <c r="N605" t="s">
        <v>926</v>
      </c>
      <c r="O605" t="s">
        <v>2723</v>
      </c>
      <c r="P605">
        <v>50</v>
      </c>
      <c r="Q605">
        <v>0</v>
      </c>
      <c r="R605" t="s">
        <v>2465</v>
      </c>
      <c r="S605" s="42" t="str">
        <f>HYPERLINK("https://sklep.kobi.pl/produkt/led-planty-e27-24w")</f>
        <v>https://sklep.kobi.pl/produkt/led-planty-e27-24w</v>
      </c>
      <c r="T605" s="42" t="str">
        <f>HYPERLINK("https://eprel.ec.europa.eu/qr/NIE DOTYCZY    ")</f>
        <v xml:space="preserve">https://eprel.ec.europa.eu/qr/NIE DOTYCZY    </v>
      </c>
      <c r="U605">
        <v>0.26</v>
      </c>
      <c r="V605">
        <v>0</v>
      </c>
      <c r="W605">
        <v>0</v>
      </c>
      <c r="X605">
        <v>0</v>
      </c>
      <c r="Y605">
        <v>0</v>
      </c>
    </row>
    <row r="606" spans="1:25" ht="15" x14ac:dyDescent="0.25">
      <c r="A606" t="s">
        <v>21</v>
      </c>
      <c r="B606" t="s">
        <v>43</v>
      </c>
      <c r="C606"/>
      <c r="D606" t="s">
        <v>111</v>
      </c>
      <c r="E606" t="s">
        <v>2721</v>
      </c>
      <c r="F606" t="s">
        <v>2593</v>
      </c>
      <c r="G606" t="s">
        <v>2594</v>
      </c>
      <c r="H606" t="s">
        <v>879</v>
      </c>
      <c r="I606">
        <v>73</v>
      </c>
      <c r="J606" s="41">
        <f>I606/'enter the discount'!$D$7</f>
        <v>17.087215018023503</v>
      </c>
      <c r="K606" s="41">
        <f>J606*(1-IFERROR(VLOOKUP(H606,'enter the discount'!$D$10:$E$40,2,FALSE),0))</f>
        <v>17.087215018023503</v>
      </c>
      <c r="L606" s="43" t="s">
        <v>2549</v>
      </c>
      <c r="M606" t="s">
        <v>2655</v>
      </c>
      <c r="N606" t="s">
        <v>926</v>
      </c>
      <c r="O606" t="s">
        <v>2723</v>
      </c>
      <c r="P606">
        <v>25</v>
      </c>
      <c r="Q606">
        <v>0</v>
      </c>
      <c r="R606" t="s">
        <v>2465</v>
      </c>
      <c r="S606" s="42" t="str">
        <f>HYPERLINK("https://sklep.kobi.pl/produkt/led-planty-e27-40w")</f>
        <v>https://sklep.kobi.pl/produkt/led-planty-e27-40w</v>
      </c>
      <c r="T606" s="42" t="str">
        <f>HYPERLINK("https://eprel.ec.europa.eu/qr/NIE DOTYCZY    ")</f>
        <v xml:space="preserve">https://eprel.ec.europa.eu/qr/NIE DOTYCZY    </v>
      </c>
      <c r="U606">
        <v>0.4</v>
      </c>
      <c r="V606">
        <v>0</v>
      </c>
      <c r="W606">
        <v>0</v>
      </c>
      <c r="X606">
        <v>0</v>
      </c>
      <c r="Y606">
        <v>0</v>
      </c>
    </row>
    <row r="607" spans="1:25" ht="15" x14ac:dyDescent="0.25">
      <c r="A607" t="s">
        <v>21</v>
      </c>
      <c r="B607" t="s">
        <v>43</v>
      </c>
      <c r="C607"/>
      <c r="D607" t="s">
        <v>111</v>
      </c>
      <c r="E607" t="s">
        <v>2721</v>
      </c>
      <c r="F607" t="s">
        <v>2595</v>
      </c>
      <c r="G607" t="s">
        <v>2596</v>
      </c>
      <c r="H607" t="s">
        <v>879</v>
      </c>
      <c r="I607">
        <v>16.25</v>
      </c>
      <c r="J607" s="41">
        <f>I607/'enter the discount'!$D$7</f>
        <v>3.8036608772997522</v>
      </c>
      <c r="K607" s="41">
        <f>J607*(1-IFERROR(VLOOKUP(H607,'enter the discount'!$D$10:$E$40,2,FALSE),0))</f>
        <v>3.8036608772997522</v>
      </c>
      <c r="L607" s="43" t="s">
        <v>2549</v>
      </c>
      <c r="M607" t="s">
        <v>2656</v>
      </c>
      <c r="N607" t="s">
        <v>926</v>
      </c>
      <c r="O607" t="s">
        <v>2723</v>
      </c>
      <c r="P607">
        <v>50</v>
      </c>
      <c r="Q607">
        <v>0</v>
      </c>
      <c r="R607" t="s">
        <v>2465</v>
      </c>
      <c r="S607" s="42" t="str">
        <f>HYPERLINK("https://sklep.kobi.pl/produkt/led-planty-fgs-e27-8w")</f>
        <v>https://sklep.kobi.pl/produkt/led-planty-fgs-e27-8w</v>
      </c>
      <c r="T607" s="42" t="str">
        <f>HYPERLINK("https://eprel.ec.europa.eu/qr/NIE DOTYCZY    ")</f>
        <v xml:space="preserve">https://eprel.ec.europa.eu/qr/NIE DOTYCZY    </v>
      </c>
      <c r="U607">
        <v>0.04</v>
      </c>
      <c r="V607">
        <v>0</v>
      </c>
      <c r="W607">
        <v>0</v>
      </c>
      <c r="X607">
        <v>0</v>
      </c>
      <c r="Y607">
        <v>0</v>
      </c>
    </row>
    <row r="608" spans="1:25" ht="15" x14ac:dyDescent="0.25">
      <c r="A608" t="s">
        <v>21</v>
      </c>
      <c r="B608" t="s">
        <v>43</v>
      </c>
      <c r="C608"/>
      <c r="D608" t="s">
        <v>111</v>
      </c>
      <c r="E608" t="s">
        <v>2721</v>
      </c>
      <c r="F608" t="s">
        <v>2597</v>
      </c>
      <c r="G608" t="s">
        <v>2598</v>
      </c>
      <c r="H608" t="s">
        <v>879</v>
      </c>
      <c r="I608">
        <v>29.75</v>
      </c>
      <c r="J608" s="41">
        <f>I608/'enter the discount'!$D$7</f>
        <v>6.9636252984410847</v>
      </c>
      <c r="K608" s="41">
        <f>J608*(1-IFERROR(VLOOKUP(H608,'enter the discount'!$D$10:$E$40,2,FALSE),0))</f>
        <v>6.9636252984410847</v>
      </c>
      <c r="L608" s="43" t="s">
        <v>2549</v>
      </c>
      <c r="M608" t="s">
        <v>2657</v>
      </c>
      <c r="N608" t="s">
        <v>926</v>
      </c>
      <c r="O608" t="s">
        <v>2723</v>
      </c>
      <c r="P608">
        <v>50</v>
      </c>
      <c r="Q608">
        <v>0</v>
      </c>
      <c r="R608" t="s">
        <v>2465</v>
      </c>
      <c r="S608" s="42" t="str">
        <f>HYPERLINK("https://sklep.kobi.pl/produkt/led-planty-w-e27-9w")</f>
        <v>https://sklep.kobi.pl/produkt/led-planty-w-e27-9w</v>
      </c>
      <c r="T608" s="42" t="str">
        <f>HYPERLINK("https://eprel.ec.europa.eu/qr/NIE DOTYCZY    ")</f>
        <v xml:space="preserve">https://eprel.ec.europa.eu/qr/NIE DOTYCZY    </v>
      </c>
      <c r="U608">
        <v>0.13</v>
      </c>
      <c r="V608">
        <v>0</v>
      </c>
      <c r="W608">
        <v>0</v>
      </c>
      <c r="X608">
        <v>0</v>
      </c>
      <c r="Y608">
        <v>0</v>
      </c>
    </row>
    <row r="609" spans="1:25" ht="15" x14ac:dyDescent="0.25">
      <c r="A609" t="s">
        <v>23</v>
      </c>
      <c r="B609"/>
      <c r="C609"/>
      <c r="D609" t="s">
        <v>111</v>
      </c>
      <c r="E609" t="s">
        <v>2721</v>
      </c>
      <c r="F609" t="s">
        <v>2599</v>
      </c>
      <c r="G609" t="s">
        <v>2600</v>
      </c>
      <c r="H609" t="s">
        <v>7</v>
      </c>
      <c r="I609">
        <v>74.75</v>
      </c>
      <c r="J609" s="41">
        <f>I609/'enter the discount'!$D$7</f>
        <v>17.49684003557886</v>
      </c>
      <c r="K609" s="41">
        <f>J609*(1-IFERROR(VLOOKUP(H609,'enter the discount'!$D$10:$E$40,2,FALSE),0))</f>
        <v>17.49684003557886</v>
      </c>
      <c r="L609" s="43" t="s">
        <v>2549</v>
      </c>
      <c r="M609" t="s">
        <v>2658</v>
      </c>
      <c r="N609" t="s">
        <v>1454</v>
      </c>
      <c r="O609" t="s">
        <v>2723</v>
      </c>
      <c r="P609">
        <v>16</v>
      </c>
      <c r="Q609">
        <v>0</v>
      </c>
      <c r="R609" t="s">
        <v>2465</v>
      </c>
      <c r="S609" s="42" t="str">
        <f>HYPERLINK("https://sklep.kobi.pl/produkt/led-vitaro-3-clip-10w")</f>
        <v>https://sklep.kobi.pl/produkt/led-vitaro-3-clip-10w</v>
      </c>
      <c r="T609" s="42" t="str">
        <f>HYPERLINK("https://eprel.ec.europa.eu/qr/NIE DOTYCZY    ")</f>
        <v xml:space="preserve">https://eprel.ec.europa.eu/qr/NIE DOTYCZY    </v>
      </c>
      <c r="U609">
        <v>0.47</v>
      </c>
      <c r="V609">
        <v>0</v>
      </c>
      <c r="W609">
        <v>0</v>
      </c>
      <c r="X609">
        <v>0</v>
      </c>
      <c r="Y609">
        <v>0</v>
      </c>
    </row>
    <row r="610" spans="1:25" ht="15" x14ac:dyDescent="0.25">
      <c r="A610" t="s">
        <v>23</v>
      </c>
      <c r="B610"/>
      <c r="C610"/>
      <c r="D610" t="s">
        <v>111</v>
      </c>
      <c r="E610" t="s">
        <v>2721</v>
      </c>
      <c r="F610" t="s">
        <v>2601</v>
      </c>
      <c r="G610" t="s">
        <v>2602</v>
      </c>
      <c r="H610" t="s">
        <v>7</v>
      </c>
      <c r="I610">
        <v>84.75</v>
      </c>
      <c r="J610" s="41">
        <f>I610/'enter the discount'!$D$7</f>
        <v>19.837554421609475</v>
      </c>
      <c r="K610" s="41">
        <f>J610*(1-IFERROR(VLOOKUP(H610,'enter the discount'!$D$10:$E$40,2,FALSE),0))</f>
        <v>19.837554421609475</v>
      </c>
      <c r="L610" s="43" t="s">
        <v>2549</v>
      </c>
      <c r="M610" t="s">
        <v>2659</v>
      </c>
      <c r="N610" t="s">
        <v>1454</v>
      </c>
      <c r="O610" t="s">
        <v>2723</v>
      </c>
      <c r="P610">
        <v>16</v>
      </c>
      <c r="Q610">
        <v>0</v>
      </c>
      <c r="R610" t="s">
        <v>2465</v>
      </c>
      <c r="S610" s="42" t="str">
        <f>HYPERLINK("https://sklep.kobi.pl/produkt/led-vitaro-3-st-mini-10w")</f>
        <v>https://sklep.kobi.pl/produkt/led-vitaro-3-st-mini-10w</v>
      </c>
      <c r="T610" s="42" t="str">
        <f>HYPERLINK("https://eprel.ec.europa.eu/qr/NIE DOTYCZY    ")</f>
        <v xml:space="preserve">https://eprel.ec.europa.eu/qr/NIE DOTYCZY    </v>
      </c>
      <c r="U610">
        <v>0.59</v>
      </c>
      <c r="V610">
        <v>0</v>
      </c>
      <c r="W610">
        <v>0</v>
      </c>
      <c r="X610">
        <v>0</v>
      </c>
      <c r="Y610">
        <v>0</v>
      </c>
    </row>
    <row r="611" spans="1:25" ht="15" x14ac:dyDescent="0.25">
      <c r="A611" t="s">
        <v>23</v>
      </c>
      <c r="B611"/>
      <c r="C611"/>
      <c r="D611" t="s">
        <v>111</v>
      </c>
      <c r="E611" t="s">
        <v>2721</v>
      </c>
      <c r="F611" t="s">
        <v>2603</v>
      </c>
      <c r="G611" t="s">
        <v>2604</v>
      </c>
      <c r="H611" t="s">
        <v>7</v>
      </c>
      <c r="I611">
        <v>89.75</v>
      </c>
      <c r="J611" s="41">
        <f>I611/'enter the discount'!$D$7</f>
        <v>21.007911614624785</v>
      </c>
      <c r="K611" s="41">
        <f>J611*(1-IFERROR(VLOOKUP(H611,'enter the discount'!$D$10:$E$40,2,FALSE),0))</f>
        <v>21.007911614624785</v>
      </c>
      <c r="L611" s="43" t="s">
        <v>2549</v>
      </c>
      <c r="M611" t="s">
        <v>2660</v>
      </c>
      <c r="N611" t="s">
        <v>1454</v>
      </c>
      <c r="O611" t="s">
        <v>2723</v>
      </c>
      <c r="P611">
        <v>16</v>
      </c>
      <c r="Q611">
        <v>0</v>
      </c>
      <c r="R611" t="s">
        <v>2465</v>
      </c>
      <c r="S611" s="42" t="str">
        <f>HYPERLINK("https://sklep.kobi.pl/produkt/led-vitaro-4-clip-10w")</f>
        <v>https://sklep.kobi.pl/produkt/led-vitaro-4-clip-10w</v>
      </c>
      <c r="T611" s="42" t="str">
        <f>HYPERLINK("https://eprel.ec.europa.eu/qr/NIE DOTYCZY    ")</f>
        <v xml:space="preserve">https://eprel.ec.europa.eu/qr/NIE DOTYCZY    </v>
      </c>
      <c r="U611">
        <v>0.56000000000000005</v>
      </c>
      <c r="V611">
        <v>0</v>
      </c>
      <c r="W611">
        <v>0</v>
      </c>
      <c r="X611">
        <v>0</v>
      </c>
      <c r="Y611">
        <v>0</v>
      </c>
    </row>
    <row r="612" spans="1:25" ht="15" x14ac:dyDescent="0.25">
      <c r="A612" t="s">
        <v>23</v>
      </c>
      <c r="B612"/>
      <c r="C612"/>
      <c r="D612" t="s">
        <v>111</v>
      </c>
      <c r="E612" t="s">
        <v>2721</v>
      </c>
      <c r="F612" t="s">
        <v>2605</v>
      </c>
      <c r="G612" t="s">
        <v>2606</v>
      </c>
      <c r="H612" t="s">
        <v>7</v>
      </c>
      <c r="I612">
        <v>174.75</v>
      </c>
      <c r="J612" s="41">
        <f>I612/'enter the discount'!$D$7</f>
        <v>40.903983895885027</v>
      </c>
      <c r="K612" s="41">
        <f>J612*(1-IFERROR(VLOOKUP(H612,'enter the discount'!$D$10:$E$40,2,FALSE),0))</f>
        <v>40.903983895885027</v>
      </c>
      <c r="L612" s="43" t="s">
        <v>2549</v>
      </c>
      <c r="M612" t="s">
        <v>2661</v>
      </c>
      <c r="N612" t="s">
        <v>1454</v>
      </c>
      <c r="O612" t="s">
        <v>2723</v>
      </c>
      <c r="P612">
        <v>8</v>
      </c>
      <c r="Q612">
        <v>0</v>
      </c>
      <c r="R612" t="s">
        <v>2465</v>
      </c>
      <c r="S612" s="42" t="str">
        <f>HYPERLINK("https://sklep.kobi.pl/produkt/led-vitaro-4-st-30w")</f>
        <v>https://sklep.kobi.pl/produkt/led-vitaro-4-st-30w</v>
      </c>
      <c r="T612" s="42" t="str">
        <f>HYPERLINK("https://eprel.ec.europa.eu/qr/NIE DOTYCZY    ")</f>
        <v xml:space="preserve">https://eprel.ec.europa.eu/qr/NIE DOTYCZY    </v>
      </c>
      <c r="U612">
        <v>1.82</v>
      </c>
      <c r="V612">
        <v>0</v>
      </c>
      <c r="W612">
        <v>0</v>
      </c>
      <c r="X612">
        <v>0</v>
      </c>
      <c r="Y612">
        <v>0</v>
      </c>
    </row>
    <row r="613" spans="1:25" ht="15" x14ac:dyDescent="0.25">
      <c r="A613" t="s">
        <v>23</v>
      </c>
      <c r="B613"/>
      <c r="C613"/>
      <c r="D613" t="s">
        <v>111</v>
      </c>
      <c r="E613" t="s">
        <v>2721</v>
      </c>
      <c r="F613" t="s">
        <v>2607</v>
      </c>
      <c r="G613" t="s">
        <v>2608</v>
      </c>
      <c r="H613" t="s">
        <v>7</v>
      </c>
      <c r="I613">
        <v>99.75</v>
      </c>
      <c r="J613" s="41">
        <f>I613/'enter the discount'!$D$7</f>
        <v>23.348626000655401</v>
      </c>
      <c r="K613" s="41">
        <f>J613*(1-IFERROR(VLOOKUP(H613,'enter the discount'!$D$10:$E$40,2,FALSE),0))</f>
        <v>23.348626000655401</v>
      </c>
      <c r="L613" s="43" t="s">
        <v>2549</v>
      </c>
      <c r="M613" t="s">
        <v>2662</v>
      </c>
      <c r="N613" t="s">
        <v>1454</v>
      </c>
      <c r="O613" t="s">
        <v>2723</v>
      </c>
      <c r="P613">
        <v>16</v>
      </c>
      <c r="Q613">
        <v>0</v>
      </c>
      <c r="R613" t="s">
        <v>2465</v>
      </c>
      <c r="S613" s="42" t="str">
        <f>HYPERLINK("https://sklep.kobi.pl/produkt/led-vitaro-4-st-mini-10w")</f>
        <v>https://sklep.kobi.pl/produkt/led-vitaro-4-st-mini-10w</v>
      </c>
      <c r="T613" s="42" t="str">
        <f>HYPERLINK("https://eprel.ec.europa.eu/qr/NIE DOTYCZY    ")</f>
        <v xml:space="preserve">https://eprel.ec.europa.eu/qr/NIE DOTYCZY    </v>
      </c>
      <c r="U613">
        <v>0.78</v>
      </c>
      <c r="V613">
        <v>0</v>
      </c>
      <c r="W613">
        <v>0</v>
      </c>
      <c r="X613">
        <v>0</v>
      </c>
      <c r="Y613">
        <v>0</v>
      </c>
    </row>
    <row r="614" spans="1:25" ht="15" x14ac:dyDescent="0.25">
      <c r="A614" t="s">
        <v>23</v>
      </c>
      <c r="B614" t="s">
        <v>51</v>
      </c>
      <c r="C614" t="s">
        <v>1430</v>
      </c>
      <c r="D614" t="s">
        <v>111</v>
      </c>
      <c r="E614" t="s">
        <v>14</v>
      </c>
      <c r="F614" t="s">
        <v>2157</v>
      </c>
      <c r="G614" t="s">
        <v>1651</v>
      </c>
      <c r="H614" t="s">
        <v>7</v>
      </c>
      <c r="I614">
        <v>201.42</v>
      </c>
      <c r="J614" s="41">
        <f>I614/'enter the discount'!$D$7</f>
        <v>47.146669163428676</v>
      </c>
      <c r="K614" s="41">
        <f>J614*(1-IFERROR(VLOOKUP(H614,'enter the discount'!$D$10:$E$40,2,FALSE),0))</f>
        <v>47.146669163428676</v>
      </c>
      <c r="L614" s="43" t="s">
        <v>2549</v>
      </c>
      <c r="M614" t="s">
        <v>1652</v>
      </c>
      <c r="N614" t="s">
        <v>930</v>
      </c>
      <c r="O614" t="s">
        <v>2723</v>
      </c>
      <c r="P614">
        <v>4</v>
      </c>
      <c r="Q614">
        <v>0</v>
      </c>
      <c r="R614" t="s">
        <v>2465</v>
      </c>
      <c r="S614" s="42" t="str">
        <f>HYPERLINK("https://sklep.kobi.pl/produkt/mimosa-led-set-10m-10x1w-e27")</f>
        <v>https://sklep.kobi.pl/produkt/mimosa-led-set-10m-10x1w-e27</v>
      </c>
      <c r="T614" s="42" t="str">
        <f>HYPERLINK("https://eprel.ec.europa.eu/qr/NIE DOTYCZY    ")</f>
        <v xml:space="preserve">https://eprel.ec.europa.eu/qr/NIE DOTYCZY    </v>
      </c>
      <c r="U614">
        <v>1.74</v>
      </c>
      <c r="V614">
        <v>0</v>
      </c>
      <c r="W614">
        <v>0</v>
      </c>
      <c r="X614">
        <v>0</v>
      </c>
      <c r="Y614">
        <v>0</v>
      </c>
    </row>
    <row r="615" spans="1:25" ht="15" x14ac:dyDescent="0.25">
      <c r="A615" t="s">
        <v>23</v>
      </c>
      <c r="B615" t="s">
        <v>51</v>
      </c>
      <c r="C615" t="s">
        <v>1430</v>
      </c>
      <c r="D615" t="s">
        <v>111</v>
      </c>
      <c r="E615" t="s">
        <v>14</v>
      </c>
      <c r="F615" t="s">
        <v>2158</v>
      </c>
      <c r="G615" t="s">
        <v>1584</v>
      </c>
      <c r="H615" t="s">
        <v>7</v>
      </c>
      <c r="I615">
        <v>353.72</v>
      </c>
      <c r="J615" s="41">
        <f>I615/'enter the discount'!$D$7</f>
        <v>82.795749262674974</v>
      </c>
      <c r="K615" s="41">
        <f>J615*(1-IFERROR(VLOOKUP(H615,'enter the discount'!$D$10:$E$40,2,FALSE),0))</f>
        <v>82.795749262674974</v>
      </c>
      <c r="L615" s="43" t="s">
        <v>2549</v>
      </c>
      <c r="M615" t="s">
        <v>1585</v>
      </c>
      <c r="N615" t="s">
        <v>930</v>
      </c>
      <c r="O615" t="s">
        <v>2723</v>
      </c>
      <c r="P615">
        <v>4</v>
      </c>
      <c r="Q615">
        <v>0</v>
      </c>
      <c r="R615" t="s">
        <v>2465</v>
      </c>
      <c r="S615" s="42" t="str">
        <f>HYPERLINK("https://sklep.kobi.pl/produkt/mimosa-led-set-20m-20x1w-e27")</f>
        <v>https://sklep.kobi.pl/produkt/mimosa-led-set-20m-20x1w-e27</v>
      </c>
      <c r="T615" s="42" t="str">
        <f>HYPERLINK("https://eprel.ec.europa.eu/qr/NIE DOTYCZY    ")</f>
        <v xml:space="preserve">https://eprel.ec.europa.eu/qr/NIE DOTYCZY    </v>
      </c>
      <c r="U615">
        <v>3.1</v>
      </c>
      <c r="V615">
        <v>0</v>
      </c>
      <c r="W615">
        <v>0</v>
      </c>
      <c r="X615">
        <v>0</v>
      </c>
      <c r="Y615">
        <v>0</v>
      </c>
    </row>
    <row r="616" spans="1:25" ht="15" x14ac:dyDescent="0.25">
      <c r="A616" t="s">
        <v>23</v>
      </c>
      <c r="B616" t="s">
        <v>51</v>
      </c>
      <c r="C616" t="s">
        <v>1430</v>
      </c>
      <c r="D616" t="s">
        <v>111</v>
      </c>
      <c r="E616" t="s">
        <v>14</v>
      </c>
      <c r="F616" t="s">
        <v>2159</v>
      </c>
      <c r="G616" t="s">
        <v>1586</v>
      </c>
      <c r="H616" t="s">
        <v>7</v>
      </c>
      <c r="I616">
        <v>181.48</v>
      </c>
      <c r="J616" s="41">
        <f>I616/'enter the discount'!$D$7</f>
        <v>42.47928467768363</v>
      </c>
      <c r="K616" s="41">
        <f>J616*(1-IFERROR(VLOOKUP(H616,'enter the discount'!$D$10:$E$40,2,FALSE),0))</f>
        <v>42.47928467768363</v>
      </c>
      <c r="L616" s="43" t="s">
        <v>2549</v>
      </c>
      <c r="M616" t="s">
        <v>1587</v>
      </c>
      <c r="N616" t="s">
        <v>930</v>
      </c>
      <c r="O616" t="s">
        <v>2723</v>
      </c>
      <c r="P616">
        <v>8</v>
      </c>
      <c r="Q616">
        <v>160</v>
      </c>
      <c r="R616" t="s">
        <v>2465</v>
      </c>
      <c r="S616" s="42" t="str">
        <f>HYPERLINK("https://sklep.kobi.pl/produkt/girlanda-mimosa-2-10m-10xe27")</f>
        <v>https://sklep.kobi.pl/produkt/girlanda-mimosa-2-10m-10xe27</v>
      </c>
      <c r="T616" s="42" t="str">
        <f>HYPERLINK("https://eprel.ec.europa.eu/qr/NIE DOTYCZY    ")</f>
        <v xml:space="preserve">https://eprel.ec.europa.eu/qr/NIE DOTYCZY    </v>
      </c>
      <c r="U616">
        <v>1.462</v>
      </c>
      <c r="V616">
        <v>1.63</v>
      </c>
      <c r="W616">
        <v>225</v>
      </c>
      <c r="X616">
        <v>165</v>
      </c>
      <c r="Y616">
        <v>185</v>
      </c>
    </row>
    <row r="617" spans="1:25" ht="15" x14ac:dyDescent="0.25">
      <c r="A617" t="s">
        <v>23</v>
      </c>
      <c r="B617" t="s">
        <v>51</v>
      </c>
      <c r="C617" t="s">
        <v>1430</v>
      </c>
      <c r="D617" t="s">
        <v>111</v>
      </c>
      <c r="E617" t="s">
        <v>14</v>
      </c>
      <c r="F617" t="s">
        <v>2160</v>
      </c>
      <c r="G617" t="s">
        <v>1588</v>
      </c>
      <c r="H617" t="s">
        <v>7</v>
      </c>
      <c r="I617">
        <v>416</v>
      </c>
      <c r="J617" s="41">
        <f>I617/'enter the discount'!$D$7</f>
        <v>97.373718458873654</v>
      </c>
      <c r="K617" s="41">
        <f>J617*(1-IFERROR(VLOOKUP(H617,'enter the discount'!$D$10:$E$40,2,FALSE),0))</f>
        <v>97.373718458873654</v>
      </c>
      <c r="L617" s="43" t="s">
        <v>2549</v>
      </c>
      <c r="M617" t="s">
        <v>1589</v>
      </c>
      <c r="N617" t="s">
        <v>934</v>
      </c>
      <c r="O617" t="s">
        <v>2723</v>
      </c>
      <c r="P617">
        <v>8</v>
      </c>
      <c r="Q617">
        <v>0</v>
      </c>
      <c r="R617" t="s">
        <v>2465</v>
      </c>
      <c r="S617" s="42" t="str">
        <f>HYPERLINK("https://sklep.kobi.pl/produkt/led-kobi-venezia-10w")</f>
        <v>https://sklep.kobi.pl/produkt/led-kobi-venezia-10w</v>
      </c>
      <c r="T617" s="42" t="str">
        <f>HYPERLINK("https://eprel.ec.europa.eu/qr/NIE DOTYCZY    ")</f>
        <v xml:space="preserve">https://eprel.ec.europa.eu/qr/NIE DOTYCZY    </v>
      </c>
      <c r="U617">
        <v>1.68</v>
      </c>
      <c r="V617">
        <v>0</v>
      </c>
      <c r="W617">
        <v>0</v>
      </c>
      <c r="X617">
        <v>0</v>
      </c>
      <c r="Y617">
        <v>0</v>
      </c>
    </row>
    <row r="618" spans="1:25" ht="15" x14ac:dyDescent="0.25">
      <c r="A618" t="s">
        <v>23</v>
      </c>
      <c r="B618" t="s">
        <v>51</v>
      </c>
      <c r="C618" t="s">
        <v>1430</v>
      </c>
      <c r="D618" t="s">
        <v>111</v>
      </c>
      <c r="E618" t="s">
        <v>14</v>
      </c>
      <c r="F618" t="s">
        <v>2161</v>
      </c>
      <c r="G618" t="s">
        <v>1590</v>
      </c>
      <c r="H618" t="s">
        <v>7</v>
      </c>
      <c r="I618">
        <v>219</v>
      </c>
      <c r="J618" s="41">
        <f>I618/'enter the discount'!$D$7</f>
        <v>51.261645054070506</v>
      </c>
      <c r="K618" s="41">
        <f>J618*(1-IFERROR(VLOOKUP(H618,'enter the discount'!$D$10:$E$40,2,FALSE),0))</f>
        <v>51.261645054070506</v>
      </c>
      <c r="L618" s="43" t="s">
        <v>2549</v>
      </c>
      <c r="M618" t="s">
        <v>1591</v>
      </c>
      <c r="N618" t="s">
        <v>926</v>
      </c>
      <c r="O618" t="s">
        <v>2723</v>
      </c>
      <c r="P618">
        <v>8</v>
      </c>
      <c r="Q618">
        <v>0</v>
      </c>
      <c r="R618" t="s">
        <v>2465</v>
      </c>
      <c r="S618"/>
      <c r="T618" s="42" t="str">
        <f>HYPERLINK("https://eprel.ec.europa.eu/qr/NIE DOTYCZY    ")</f>
        <v xml:space="preserve">https://eprel.ec.europa.eu/qr/NIE DOTYCZY    </v>
      </c>
      <c r="U618">
        <v>0.73</v>
      </c>
      <c r="V618">
        <v>0</v>
      </c>
      <c r="W618">
        <v>0</v>
      </c>
      <c r="X618">
        <v>0</v>
      </c>
      <c r="Y618">
        <v>0</v>
      </c>
    </row>
    <row r="619" spans="1:25" ht="15" x14ac:dyDescent="0.25">
      <c r="A619" t="s">
        <v>23</v>
      </c>
      <c r="B619" t="s">
        <v>51</v>
      </c>
      <c r="C619" t="s">
        <v>1430</v>
      </c>
      <c r="D619" t="s">
        <v>111</v>
      </c>
      <c r="E619" t="s">
        <v>14</v>
      </c>
      <c r="F619" t="s">
        <v>2162</v>
      </c>
      <c r="G619" t="s">
        <v>1592</v>
      </c>
      <c r="H619" t="s">
        <v>7</v>
      </c>
      <c r="I619">
        <v>242.1</v>
      </c>
      <c r="J619" s="41">
        <f>I619/'enter the discount'!$D$7</f>
        <v>56.668695285801228</v>
      </c>
      <c r="K619" s="41">
        <f>J619*(1-IFERROR(VLOOKUP(H619,'enter the discount'!$D$10:$E$40,2,FALSE),0))</f>
        <v>56.668695285801228</v>
      </c>
      <c r="L619" s="43" t="s">
        <v>2549</v>
      </c>
      <c r="M619" t="s">
        <v>1593</v>
      </c>
      <c r="N619" t="s">
        <v>926</v>
      </c>
      <c r="O619" t="s">
        <v>2723</v>
      </c>
      <c r="P619">
        <v>4</v>
      </c>
      <c r="Q619">
        <v>0</v>
      </c>
      <c r="R619" t="s">
        <v>2465</v>
      </c>
      <c r="S619"/>
      <c r="T619" s="42" t="str">
        <f>HYPERLINK("https://eprel.ec.europa.eu/qr/NIE DOTYCZY    ")</f>
        <v xml:space="preserve">https://eprel.ec.europa.eu/qr/NIE DOTYCZY    </v>
      </c>
      <c r="U619">
        <v>1.08</v>
      </c>
      <c r="V619">
        <v>0</v>
      </c>
      <c r="W619">
        <v>0</v>
      </c>
      <c r="X619">
        <v>0</v>
      </c>
      <c r="Y619">
        <v>0</v>
      </c>
    </row>
    <row r="620" spans="1:25" ht="15" x14ac:dyDescent="0.25">
      <c r="A620" t="s">
        <v>23</v>
      </c>
      <c r="B620" t="s">
        <v>51</v>
      </c>
      <c r="C620" t="s">
        <v>1430</v>
      </c>
      <c r="D620" t="s">
        <v>111</v>
      </c>
      <c r="E620" t="s">
        <v>14</v>
      </c>
      <c r="F620" t="s">
        <v>2163</v>
      </c>
      <c r="G620" t="s">
        <v>1688</v>
      </c>
      <c r="H620" t="s">
        <v>7</v>
      </c>
      <c r="I620">
        <v>201.42</v>
      </c>
      <c r="J620" s="41">
        <f>I620/'enter the discount'!$D$7</f>
        <v>47.146669163428676</v>
      </c>
      <c r="K620" s="41">
        <f>J620*(1-IFERROR(VLOOKUP(H620,'enter the discount'!$D$10:$E$40,2,FALSE),0))</f>
        <v>47.146669163428676</v>
      </c>
      <c r="L620" s="43" t="s">
        <v>2549</v>
      </c>
      <c r="M620" t="s">
        <v>1689</v>
      </c>
      <c r="N620" t="s">
        <v>930</v>
      </c>
      <c r="O620" t="s">
        <v>2723</v>
      </c>
      <c r="P620">
        <v>4</v>
      </c>
      <c r="Q620">
        <v>0</v>
      </c>
      <c r="R620" t="s">
        <v>2465</v>
      </c>
      <c r="S620" s="42" t="str">
        <f>HYPERLINK("https://sklep.kobi.pl/produkt/kobi-baja-led-set-10m-10x1w-e27")</f>
        <v>https://sklep.kobi.pl/produkt/kobi-baja-led-set-10m-10x1w-e27</v>
      </c>
      <c r="T620" s="42" t="str">
        <f>HYPERLINK("https://eprel.ec.europa.eu/qr/NIE DOTYCZY    ")</f>
        <v xml:space="preserve">https://eprel.ec.europa.eu/qr/NIE DOTYCZY    </v>
      </c>
      <c r="U620">
        <v>1.74</v>
      </c>
      <c r="V620">
        <v>2.2000000000000002</v>
      </c>
      <c r="W620">
        <v>0</v>
      </c>
      <c r="X620">
        <v>0</v>
      </c>
      <c r="Y620">
        <v>0</v>
      </c>
    </row>
    <row r="621" spans="1:25" ht="15" x14ac:dyDescent="0.25">
      <c r="A621" t="s">
        <v>23</v>
      </c>
      <c r="B621" t="s">
        <v>51</v>
      </c>
      <c r="C621" t="s">
        <v>1430</v>
      </c>
      <c r="D621" t="s">
        <v>111</v>
      </c>
      <c r="E621" t="s">
        <v>14</v>
      </c>
      <c r="F621" t="s">
        <v>2164</v>
      </c>
      <c r="G621" t="s">
        <v>1690</v>
      </c>
      <c r="H621" t="s">
        <v>7</v>
      </c>
      <c r="I621">
        <v>306.29000000000002</v>
      </c>
      <c r="J621" s="41">
        <f>I621/'enter the discount'!$D$7</f>
        <v>71.69374092973176</v>
      </c>
      <c r="K621" s="41">
        <f>J621*(1-IFERROR(VLOOKUP(H621,'enter the discount'!$D$10:$E$40,2,FALSE),0))</f>
        <v>71.69374092973176</v>
      </c>
      <c r="L621" s="43" t="s">
        <v>2549</v>
      </c>
      <c r="M621" t="s">
        <v>1691</v>
      </c>
      <c r="N621" t="s">
        <v>930</v>
      </c>
      <c r="O621" t="s">
        <v>2723</v>
      </c>
      <c r="P621">
        <v>4</v>
      </c>
      <c r="Q621">
        <v>0</v>
      </c>
      <c r="R621" t="s">
        <v>2465</v>
      </c>
      <c r="S621" s="42" t="str">
        <f>HYPERLINK("https://sklep.kobi.pl/produkt/kobi-baja-led-set-10m-20x1w-e27")</f>
        <v>https://sklep.kobi.pl/produkt/kobi-baja-led-set-10m-20x1w-e27</v>
      </c>
      <c r="T621" s="42" t="str">
        <f>HYPERLINK("https://eprel.ec.europa.eu/qr/NIE DOTYCZY    ")</f>
        <v xml:space="preserve">https://eprel.ec.europa.eu/qr/NIE DOTYCZY    </v>
      </c>
      <c r="U621">
        <v>2.6</v>
      </c>
      <c r="V621">
        <v>0</v>
      </c>
      <c r="W621">
        <v>0</v>
      </c>
      <c r="X621">
        <v>0</v>
      </c>
      <c r="Y621">
        <v>0</v>
      </c>
    </row>
    <row r="622" spans="1:25" ht="15" x14ac:dyDescent="0.25">
      <c r="A622" t="s">
        <v>23</v>
      </c>
      <c r="B622" t="s">
        <v>51</v>
      </c>
      <c r="C622" t="s">
        <v>1430</v>
      </c>
      <c r="D622" t="s">
        <v>111</v>
      </c>
      <c r="E622" t="s">
        <v>14</v>
      </c>
      <c r="F622" t="s">
        <v>2165</v>
      </c>
      <c r="G622" t="s">
        <v>1692</v>
      </c>
      <c r="H622" t="s">
        <v>7</v>
      </c>
      <c r="I622">
        <v>256.38</v>
      </c>
      <c r="J622" s="41">
        <f>I622/'enter the discount'!$D$7</f>
        <v>60.011235429052952</v>
      </c>
      <c r="K622" s="41">
        <f>J622*(1-IFERROR(VLOOKUP(H622,'enter the discount'!$D$10:$E$40,2,FALSE),0))</f>
        <v>60.011235429052952</v>
      </c>
      <c r="L622" s="43" t="s">
        <v>2549</v>
      </c>
      <c r="M622" t="s">
        <v>1693</v>
      </c>
      <c r="N622" t="s">
        <v>930</v>
      </c>
      <c r="O622" t="s">
        <v>2723</v>
      </c>
      <c r="P622">
        <v>4</v>
      </c>
      <c r="Q622">
        <v>0</v>
      </c>
      <c r="R622" t="s">
        <v>2465</v>
      </c>
      <c r="S622" s="42" t="str">
        <f>HYPERLINK("https://sklep.kobi.pl/produkt/kobi-baja-led-set-15m-15x1w-e27")</f>
        <v>https://sklep.kobi.pl/produkt/kobi-baja-led-set-15m-15x1w-e27</v>
      </c>
      <c r="T622" s="42" t="str">
        <f>HYPERLINK("https://eprel.ec.europa.eu/qr/NIE DOTYCZY    ")</f>
        <v xml:space="preserve">https://eprel.ec.europa.eu/qr/NIE DOTYCZY    </v>
      </c>
      <c r="U622">
        <v>2.5499999999999998</v>
      </c>
      <c r="V622">
        <v>0</v>
      </c>
      <c r="W622">
        <v>0</v>
      </c>
      <c r="X622">
        <v>0</v>
      </c>
      <c r="Y622">
        <v>0</v>
      </c>
    </row>
    <row r="623" spans="1:25" ht="15" x14ac:dyDescent="0.25">
      <c r="A623" t="s">
        <v>23</v>
      </c>
      <c r="B623" t="s">
        <v>51</v>
      </c>
      <c r="C623" t="s">
        <v>1430</v>
      </c>
      <c r="D623" t="s">
        <v>111</v>
      </c>
      <c r="E623" t="s">
        <v>14</v>
      </c>
      <c r="F623" t="s">
        <v>2166</v>
      </c>
      <c r="G623" t="s">
        <v>1694</v>
      </c>
      <c r="H623" t="s">
        <v>7</v>
      </c>
      <c r="I623">
        <v>353.72</v>
      </c>
      <c r="J623" s="41">
        <f>I623/'enter the discount'!$D$7</f>
        <v>82.795749262674974</v>
      </c>
      <c r="K623" s="41">
        <f>J623*(1-IFERROR(VLOOKUP(H623,'enter the discount'!$D$10:$E$40,2,FALSE),0))</f>
        <v>82.795749262674974</v>
      </c>
      <c r="L623" s="43" t="s">
        <v>2549</v>
      </c>
      <c r="M623" t="s">
        <v>1695</v>
      </c>
      <c r="N623" t="s">
        <v>930</v>
      </c>
      <c r="O623" t="s">
        <v>2723</v>
      </c>
      <c r="P623">
        <v>4</v>
      </c>
      <c r="Q623">
        <v>0</v>
      </c>
      <c r="R623" t="s">
        <v>2465</v>
      </c>
      <c r="S623" s="42" t="str">
        <f>HYPERLINK("https://sklep.kobi.pl/produkt/kobi-baja-led-set-20m-20x1w-e27")</f>
        <v>https://sklep.kobi.pl/produkt/kobi-baja-led-set-20m-20x1w-e27</v>
      </c>
      <c r="T623" s="42" t="str">
        <f>HYPERLINK("https://eprel.ec.europa.eu/qr/NIE DOTYCZY    ")</f>
        <v xml:space="preserve">https://eprel.ec.europa.eu/qr/NIE DOTYCZY    </v>
      </c>
      <c r="U623">
        <v>3.1</v>
      </c>
      <c r="V623">
        <v>0</v>
      </c>
      <c r="W623">
        <v>0</v>
      </c>
      <c r="X623">
        <v>0</v>
      </c>
      <c r="Y623">
        <v>0</v>
      </c>
    </row>
    <row r="624" spans="1:25" ht="15" x14ac:dyDescent="0.25">
      <c r="A624" t="s">
        <v>23</v>
      </c>
      <c r="B624" t="s">
        <v>51</v>
      </c>
      <c r="C624" t="s">
        <v>1491</v>
      </c>
      <c r="D624" t="s">
        <v>111</v>
      </c>
      <c r="E624" t="s">
        <v>14</v>
      </c>
      <c r="F624" t="s">
        <v>2167</v>
      </c>
      <c r="G624" t="s">
        <v>1492</v>
      </c>
      <c r="H624" t="s">
        <v>7</v>
      </c>
      <c r="I624">
        <v>61.8</v>
      </c>
      <c r="J624" s="41">
        <f>I624/'enter the discount'!$D$7</f>
        <v>14.465614905669211</v>
      </c>
      <c r="K624" s="41">
        <f>J624*(1-IFERROR(VLOOKUP(H624,'enter the discount'!$D$10:$E$40,2,FALSE),0))</f>
        <v>14.465614905669211</v>
      </c>
      <c r="L624" s="43" t="s">
        <v>2549</v>
      </c>
      <c r="M624" t="s">
        <v>1493</v>
      </c>
      <c r="N624" t="s">
        <v>930</v>
      </c>
      <c r="O624" t="s">
        <v>2723</v>
      </c>
      <c r="P624">
        <v>10</v>
      </c>
      <c r="Q624">
        <v>110</v>
      </c>
      <c r="R624" t="s">
        <v>2465</v>
      </c>
      <c r="S624" s="42" t="str">
        <f>HYPERLINK("https://sklep.kobi.pl/produkt/lampa-ogrodowa-lo4102-czarna-alu")</f>
        <v>https://sklep.kobi.pl/produkt/lampa-ogrodowa-lo4102-czarna-alu</v>
      </c>
      <c r="T624" s="42" t="str">
        <f>HYPERLINK("https://eprel.ec.europa.eu/qr/NIE DOTYCZY    ")</f>
        <v xml:space="preserve">https://eprel.ec.europa.eu/qr/NIE DOTYCZY    </v>
      </c>
      <c r="U624">
        <v>0.68</v>
      </c>
      <c r="V624">
        <v>0.92600000000000005</v>
      </c>
      <c r="W624">
        <v>151</v>
      </c>
      <c r="X624">
        <v>210</v>
      </c>
      <c r="Y624">
        <v>313</v>
      </c>
    </row>
    <row r="625" spans="1:25" ht="15" x14ac:dyDescent="0.25">
      <c r="A625" t="s">
        <v>23</v>
      </c>
      <c r="B625" t="s">
        <v>51</v>
      </c>
      <c r="C625" t="s">
        <v>1491</v>
      </c>
      <c r="D625" t="s">
        <v>111</v>
      </c>
      <c r="E625" t="s">
        <v>14</v>
      </c>
      <c r="F625" t="s">
        <v>2168</v>
      </c>
      <c r="G625" t="s">
        <v>1494</v>
      </c>
      <c r="H625" t="s">
        <v>7</v>
      </c>
      <c r="I625">
        <v>61.8</v>
      </c>
      <c r="J625" s="41">
        <f>I625/'enter the discount'!$D$7</f>
        <v>14.465614905669211</v>
      </c>
      <c r="K625" s="41">
        <f>J625*(1-IFERROR(VLOOKUP(H625,'enter the discount'!$D$10:$E$40,2,FALSE),0))</f>
        <v>14.465614905669211</v>
      </c>
      <c r="L625" s="43" t="s">
        <v>2549</v>
      </c>
      <c r="M625" t="s">
        <v>1495</v>
      </c>
      <c r="N625" t="s">
        <v>930</v>
      </c>
      <c r="O625" t="s">
        <v>2723</v>
      </c>
      <c r="P625">
        <v>10</v>
      </c>
      <c r="Q625">
        <v>110</v>
      </c>
      <c r="R625" t="s">
        <v>2465</v>
      </c>
      <c r="S625" s="42" t="str">
        <f>HYPERLINK("https://sklep.kobi.pl/produkt/lampa-ogrodowa-lo4102-zlota-alu")</f>
        <v>https://sklep.kobi.pl/produkt/lampa-ogrodowa-lo4102-zlota-alu</v>
      </c>
      <c r="T625" s="42" t="str">
        <f>HYPERLINK("https://eprel.ec.europa.eu/qr/NIE DOTYCZY    ")</f>
        <v xml:space="preserve">https://eprel.ec.europa.eu/qr/NIE DOTYCZY    </v>
      </c>
      <c r="U625">
        <v>0.68</v>
      </c>
      <c r="V625">
        <v>0.92600000000000005</v>
      </c>
      <c r="W625">
        <v>151</v>
      </c>
      <c r="X625">
        <v>210</v>
      </c>
      <c r="Y625">
        <v>313</v>
      </c>
    </row>
    <row r="626" spans="1:25" ht="15" x14ac:dyDescent="0.25">
      <c r="A626" t="s">
        <v>23</v>
      </c>
      <c r="B626" t="s">
        <v>51</v>
      </c>
      <c r="C626" t="s">
        <v>87</v>
      </c>
      <c r="D626" t="s">
        <v>111</v>
      </c>
      <c r="E626" t="s">
        <v>14</v>
      </c>
      <c r="F626" t="s">
        <v>2169</v>
      </c>
      <c r="G626" t="s">
        <v>375</v>
      </c>
      <c r="H626" t="s">
        <v>7</v>
      </c>
      <c r="I626">
        <v>113</v>
      </c>
      <c r="J626" s="41">
        <f>I626/'enter the discount'!$D$7</f>
        <v>26.450072562145969</v>
      </c>
      <c r="K626" s="41">
        <f>J626*(1-IFERROR(VLOOKUP(H626,'enter the discount'!$D$10:$E$40,2,FALSE),0))</f>
        <v>26.450072562145969</v>
      </c>
      <c r="L626" s="43" t="s">
        <v>2549</v>
      </c>
      <c r="M626" t="s">
        <v>739</v>
      </c>
      <c r="N626" t="s">
        <v>930</v>
      </c>
      <c r="O626" t="s">
        <v>2723</v>
      </c>
      <c r="P626">
        <v>24</v>
      </c>
      <c r="Q626">
        <v>864</v>
      </c>
      <c r="R626" t="s">
        <v>2465</v>
      </c>
      <c r="S626" s="42" t="str">
        <f>HYPERLINK("https://sklep.kobi.pl/produkt/lampa-ogrodowa-quazar-15-czarna-1xgu10")</f>
        <v>https://sklep.kobi.pl/produkt/lampa-ogrodowa-quazar-15-czarna-1xgu10</v>
      </c>
      <c r="T626" s="42" t="str">
        <f>HYPERLINK("https://eprel.ec.europa.eu/qr/NIE DOTYCZY    ")</f>
        <v xml:space="preserve">https://eprel.ec.europa.eu/qr/NIE DOTYCZY    </v>
      </c>
      <c r="U626">
        <v>0.47</v>
      </c>
      <c r="V626">
        <v>0.55500000000000005</v>
      </c>
      <c r="W626">
        <v>85</v>
      </c>
      <c r="X626">
        <v>110</v>
      </c>
      <c r="Y626">
        <v>108</v>
      </c>
    </row>
    <row r="627" spans="1:25" ht="15" x14ac:dyDescent="0.25">
      <c r="A627" t="s">
        <v>23</v>
      </c>
      <c r="B627" t="s">
        <v>51</v>
      </c>
      <c r="C627" t="s">
        <v>87</v>
      </c>
      <c r="D627" t="s">
        <v>111</v>
      </c>
      <c r="E627" t="s">
        <v>14</v>
      </c>
      <c r="F627" t="s">
        <v>2170</v>
      </c>
      <c r="G627" t="s">
        <v>376</v>
      </c>
      <c r="H627" t="s">
        <v>7</v>
      </c>
      <c r="I627">
        <v>105</v>
      </c>
      <c r="J627" s="41">
        <f>I627/'enter the discount'!$D$7</f>
        <v>24.577501053321473</v>
      </c>
      <c r="K627" s="41">
        <f>J627*(1-IFERROR(VLOOKUP(H627,'enter the discount'!$D$10:$E$40,2,FALSE),0))</f>
        <v>24.577501053321473</v>
      </c>
      <c r="L627" s="43" t="s">
        <v>2549</v>
      </c>
      <c r="M627" t="s">
        <v>740</v>
      </c>
      <c r="N627" t="s">
        <v>930</v>
      </c>
      <c r="O627" t="s">
        <v>2723</v>
      </c>
      <c r="P627">
        <v>24</v>
      </c>
      <c r="Q627">
        <v>864</v>
      </c>
      <c r="R627" t="s">
        <v>2465</v>
      </c>
      <c r="S627" s="42" t="str">
        <f>HYPERLINK("https://sklep.kobi.pl/produkt/lampa-ogrodowa-quazar-15-szara-1xgu10")</f>
        <v>https://sklep.kobi.pl/produkt/lampa-ogrodowa-quazar-15-szara-1xgu10</v>
      </c>
      <c r="T627" s="42" t="str">
        <f>HYPERLINK("https://eprel.ec.europa.eu/qr/NIE DOTYCZY    ")</f>
        <v xml:space="preserve">https://eprel.ec.europa.eu/qr/NIE DOTYCZY    </v>
      </c>
      <c r="U627">
        <v>0.47</v>
      </c>
      <c r="V627">
        <v>0.55500000000000005</v>
      </c>
      <c r="W627">
        <v>85</v>
      </c>
      <c r="X627">
        <v>110</v>
      </c>
      <c r="Y627">
        <v>108</v>
      </c>
    </row>
    <row r="628" spans="1:25" ht="15" x14ac:dyDescent="0.25">
      <c r="A628" t="s">
        <v>23</v>
      </c>
      <c r="B628" t="s">
        <v>51</v>
      </c>
      <c r="C628" t="s">
        <v>78</v>
      </c>
      <c r="D628" t="s">
        <v>111</v>
      </c>
      <c r="E628" t="s">
        <v>14</v>
      </c>
      <c r="F628" t="s">
        <v>2171</v>
      </c>
      <c r="G628" t="s">
        <v>377</v>
      </c>
      <c r="H628" t="s">
        <v>7</v>
      </c>
      <c r="I628">
        <v>138</v>
      </c>
      <c r="J628" s="41">
        <f>I628/'enter the discount'!$D$7</f>
        <v>32.301858527222507</v>
      </c>
      <c r="K628" s="41">
        <f>J628*(1-IFERROR(VLOOKUP(H628,'enter the discount'!$D$10:$E$40,2,FALSE),0))</f>
        <v>32.301858527222507</v>
      </c>
      <c r="L628" s="43" t="s">
        <v>2549</v>
      </c>
      <c r="M628" t="s">
        <v>741</v>
      </c>
      <c r="N628" t="s">
        <v>930</v>
      </c>
      <c r="O628" t="s">
        <v>2723</v>
      </c>
      <c r="P628">
        <v>16</v>
      </c>
      <c r="Q628">
        <v>576</v>
      </c>
      <c r="R628" t="s">
        <v>2465</v>
      </c>
      <c r="S628" s="42" t="str">
        <f>HYPERLINK("https://sklep.kobi.pl/produkt/lampa-ogrodowa-quazar-11-czarna-1xgu10")</f>
        <v>https://sklep.kobi.pl/produkt/lampa-ogrodowa-quazar-11-czarna-1xgu10</v>
      </c>
      <c r="T628" s="42" t="str">
        <f>HYPERLINK("https://eprel.ec.europa.eu/qr/NIE DOTYCZY    ")</f>
        <v xml:space="preserve">https://eprel.ec.europa.eu/qr/NIE DOTYCZY    </v>
      </c>
      <c r="U628">
        <v>0.55100000000000005</v>
      </c>
      <c r="V628">
        <v>0.64100000000000001</v>
      </c>
      <c r="W628">
        <v>95</v>
      </c>
      <c r="X628">
        <v>95</v>
      </c>
      <c r="Y628">
        <v>160</v>
      </c>
    </row>
    <row r="629" spans="1:25" ht="15" x14ac:dyDescent="0.25">
      <c r="A629" t="s">
        <v>23</v>
      </c>
      <c r="B629" t="s">
        <v>51</v>
      </c>
      <c r="C629" t="s">
        <v>78</v>
      </c>
      <c r="D629" t="s">
        <v>111</v>
      </c>
      <c r="E629" t="s">
        <v>14</v>
      </c>
      <c r="F629" t="s">
        <v>2172</v>
      </c>
      <c r="G629" t="s">
        <v>378</v>
      </c>
      <c r="H629" t="s">
        <v>7</v>
      </c>
      <c r="I629">
        <v>118.18</v>
      </c>
      <c r="J629" s="41">
        <f>I629/'enter the discount'!$D$7</f>
        <v>27.662562614109831</v>
      </c>
      <c r="K629" s="41">
        <f>J629*(1-IFERROR(VLOOKUP(H629,'enter the discount'!$D$10:$E$40,2,FALSE),0))</f>
        <v>27.662562614109831</v>
      </c>
      <c r="L629" s="43" t="s">
        <v>2549</v>
      </c>
      <c r="M629" t="s">
        <v>742</v>
      </c>
      <c r="N629" t="s">
        <v>930</v>
      </c>
      <c r="O629" t="s">
        <v>2723</v>
      </c>
      <c r="P629">
        <v>16</v>
      </c>
      <c r="Q629">
        <v>576</v>
      </c>
      <c r="R629" t="s">
        <v>2465</v>
      </c>
      <c r="S629" s="42" t="str">
        <f>HYPERLINK("https://sklep.kobi.pl/produkt/lampa-ogrodowa-quazar-11-szara-1xgu10")</f>
        <v>https://sklep.kobi.pl/produkt/lampa-ogrodowa-quazar-11-szara-1xgu10</v>
      </c>
      <c r="T629" s="42" t="str">
        <f>HYPERLINK("https://eprel.ec.europa.eu/qr/NIE DOTYCZY    ")</f>
        <v xml:space="preserve">https://eprel.ec.europa.eu/qr/NIE DOTYCZY    </v>
      </c>
      <c r="U629">
        <v>0.55100000000000005</v>
      </c>
      <c r="V629">
        <v>0.64100000000000001</v>
      </c>
      <c r="W629">
        <v>95</v>
      </c>
      <c r="X629">
        <v>95</v>
      </c>
      <c r="Y629">
        <v>160</v>
      </c>
    </row>
    <row r="630" spans="1:25" ht="15" x14ac:dyDescent="0.25">
      <c r="A630" t="s">
        <v>23</v>
      </c>
      <c r="B630" t="s">
        <v>51</v>
      </c>
      <c r="C630" t="s">
        <v>90</v>
      </c>
      <c r="D630" t="s">
        <v>111</v>
      </c>
      <c r="E630" t="s">
        <v>14</v>
      </c>
      <c r="F630" t="s">
        <v>2173</v>
      </c>
      <c r="G630" t="s">
        <v>379</v>
      </c>
      <c r="H630" t="s">
        <v>7</v>
      </c>
      <c r="I630">
        <v>195</v>
      </c>
      <c r="J630" s="41">
        <f>I630/'enter the discount'!$D$7</f>
        <v>45.643930527597028</v>
      </c>
      <c r="K630" s="41">
        <f>J630*(1-IFERROR(VLOOKUP(H630,'enter the discount'!$D$10:$E$40,2,FALSE),0))</f>
        <v>45.643930527597028</v>
      </c>
      <c r="L630" s="43" t="s">
        <v>2549</v>
      </c>
      <c r="M630" t="s">
        <v>743</v>
      </c>
      <c r="N630" t="s">
        <v>930</v>
      </c>
      <c r="O630" t="s">
        <v>2723</v>
      </c>
      <c r="P630">
        <v>16</v>
      </c>
      <c r="Q630">
        <v>576</v>
      </c>
      <c r="R630" t="s">
        <v>2465</v>
      </c>
      <c r="S630" s="42" t="str">
        <f>HYPERLINK("https://sklep.kobi.pl/produkt/lampa-ogrodowa-quazar-15-lx-czar-1xgu10")</f>
        <v>https://sklep.kobi.pl/produkt/lampa-ogrodowa-quazar-15-lx-czar-1xgu10</v>
      </c>
      <c r="T630" s="42" t="str">
        <f>HYPERLINK("https://eprel.ec.europa.eu/qr/NIE DOTYCZY    ")</f>
        <v xml:space="preserve">https://eprel.ec.europa.eu/qr/NIE DOTYCZY    </v>
      </c>
      <c r="U630">
        <v>0.59099999999999997</v>
      </c>
      <c r="V630">
        <v>0.67700000000000005</v>
      </c>
      <c r="W630">
        <v>85</v>
      </c>
      <c r="X630">
        <v>175</v>
      </c>
      <c r="Y630">
        <v>115</v>
      </c>
    </row>
    <row r="631" spans="1:25" ht="15" x14ac:dyDescent="0.25">
      <c r="A631" t="s">
        <v>23</v>
      </c>
      <c r="B631" t="s">
        <v>51</v>
      </c>
      <c r="C631" t="s">
        <v>90</v>
      </c>
      <c r="D631" t="s">
        <v>111</v>
      </c>
      <c r="E631" t="s">
        <v>14</v>
      </c>
      <c r="F631" t="s">
        <v>2174</v>
      </c>
      <c r="G631" t="s">
        <v>380</v>
      </c>
      <c r="H631" t="s">
        <v>7</v>
      </c>
      <c r="I631">
        <v>195</v>
      </c>
      <c r="J631" s="41">
        <f>I631/'enter the discount'!$D$7</f>
        <v>45.643930527597028</v>
      </c>
      <c r="K631" s="41">
        <f>J631*(1-IFERROR(VLOOKUP(H631,'enter the discount'!$D$10:$E$40,2,FALSE),0))</f>
        <v>45.643930527597028</v>
      </c>
      <c r="L631" s="43" t="s">
        <v>2549</v>
      </c>
      <c r="M631" t="s">
        <v>744</v>
      </c>
      <c r="N631" t="s">
        <v>930</v>
      </c>
      <c r="O631" t="s">
        <v>2723</v>
      </c>
      <c r="P631">
        <v>16</v>
      </c>
      <c r="Q631">
        <v>576</v>
      </c>
      <c r="R631" t="s">
        <v>2465</v>
      </c>
      <c r="S631" s="42" t="str">
        <f>HYPERLINK("https://sklep.kobi.pl/produkt/lampa-ogrodowa-quazar-15-lx-szar-1xgu10")</f>
        <v>https://sklep.kobi.pl/produkt/lampa-ogrodowa-quazar-15-lx-szar-1xgu10</v>
      </c>
      <c r="T631" s="42" t="str">
        <f>HYPERLINK("https://eprel.ec.europa.eu/qr/NIE DOTYCZY    ")</f>
        <v xml:space="preserve">https://eprel.ec.europa.eu/qr/NIE DOTYCZY    </v>
      </c>
      <c r="U631">
        <v>0.59099999999999997</v>
      </c>
      <c r="V631">
        <v>0.67700000000000005</v>
      </c>
      <c r="W631">
        <v>85</v>
      </c>
      <c r="X631">
        <v>175</v>
      </c>
      <c r="Y631">
        <v>115</v>
      </c>
    </row>
    <row r="632" spans="1:25" ht="15" x14ac:dyDescent="0.25">
      <c r="A632" t="s">
        <v>23</v>
      </c>
      <c r="B632" t="s">
        <v>51</v>
      </c>
      <c r="C632" t="s">
        <v>1496</v>
      </c>
      <c r="D632" t="s">
        <v>111</v>
      </c>
      <c r="E632" t="s">
        <v>14</v>
      </c>
      <c r="F632" t="s">
        <v>2175</v>
      </c>
      <c r="G632" t="s">
        <v>1497</v>
      </c>
      <c r="H632" t="s">
        <v>7</v>
      </c>
      <c r="I632">
        <v>61.8</v>
      </c>
      <c r="J632" s="41">
        <f>I632/'enter the discount'!$D$7</f>
        <v>14.465614905669211</v>
      </c>
      <c r="K632" s="41">
        <f>J632*(1-IFERROR(VLOOKUP(H632,'enter the discount'!$D$10:$E$40,2,FALSE),0))</f>
        <v>14.465614905669211</v>
      </c>
      <c r="L632" s="43" t="s">
        <v>2549</v>
      </c>
      <c r="M632" t="s">
        <v>1498</v>
      </c>
      <c r="N632" t="s">
        <v>930</v>
      </c>
      <c r="O632" t="s">
        <v>2723</v>
      </c>
      <c r="P632">
        <v>10</v>
      </c>
      <c r="Q632">
        <v>110</v>
      </c>
      <c r="R632" t="s">
        <v>2465</v>
      </c>
      <c r="S632" s="42" t="str">
        <f>HYPERLINK("https://sklep.kobi.pl/produkt/lampa-ogrodowa-lo4101-czarna-alu")</f>
        <v>https://sklep.kobi.pl/produkt/lampa-ogrodowa-lo4101-czarna-alu</v>
      </c>
      <c r="T632" s="42" t="str">
        <f>HYPERLINK("https://eprel.ec.europa.eu/qr/NIE DOTYCZY    ")</f>
        <v xml:space="preserve">https://eprel.ec.europa.eu/qr/NIE DOTYCZY    </v>
      </c>
      <c r="U632">
        <v>0.68</v>
      </c>
      <c r="V632">
        <v>0.92600000000000005</v>
      </c>
      <c r="W632">
        <v>155</v>
      </c>
      <c r="X632">
        <v>107</v>
      </c>
      <c r="Y632">
        <v>261</v>
      </c>
    </row>
    <row r="633" spans="1:25" ht="15" x14ac:dyDescent="0.25">
      <c r="A633" t="s">
        <v>23</v>
      </c>
      <c r="B633" t="s">
        <v>51</v>
      </c>
      <c r="C633" t="s">
        <v>1496</v>
      </c>
      <c r="D633" t="s">
        <v>111</v>
      </c>
      <c r="E633" t="s">
        <v>14</v>
      </c>
      <c r="F633" t="s">
        <v>2176</v>
      </c>
      <c r="G633" t="s">
        <v>1499</v>
      </c>
      <c r="H633" t="s">
        <v>7</v>
      </c>
      <c r="I633">
        <v>61.8</v>
      </c>
      <c r="J633" s="41">
        <f>I633/'enter the discount'!$D$7</f>
        <v>14.465614905669211</v>
      </c>
      <c r="K633" s="41">
        <f>J633*(1-IFERROR(VLOOKUP(H633,'enter the discount'!$D$10:$E$40,2,FALSE),0))</f>
        <v>14.465614905669211</v>
      </c>
      <c r="L633" s="43" t="s">
        <v>2549</v>
      </c>
      <c r="M633" t="s">
        <v>1500</v>
      </c>
      <c r="N633" t="s">
        <v>930</v>
      </c>
      <c r="O633" t="s">
        <v>2723</v>
      </c>
      <c r="P633">
        <v>10</v>
      </c>
      <c r="Q633">
        <v>110</v>
      </c>
      <c r="R633" t="s">
        <v>2465</v>
      </c>
      <c r="S633" s="42" t="str">
        <f>HYPERLINK("https://sklep.kobi.pl/produkt/lampa-ogrodowa-lo4101-zlota-alu")</f>
        <v>https://sklep.kobi.pl/produkt/lampa-ogrodowa-lo4101-zlota-alu</v>
      </c>
      <c r="T633" s="42" t="str">
        <f>HYPERLINK("https://eprel.ec.europa.eu/qr/NIE DOTYCZY    ")</f>
        <v xml:space="preserve">https://eprel.ec.europa.eu/qr/NIE DOTYCZY    </v>
      </c>
      <c r="U633">
        <v>0.68</v>
      </c>
      <c r="V633">
        <v>0.92600000000000005</v>
      </c>
      <c r="W633">
        <v>155</v>
      </c>
      <c r="X633">
        <v>207</v>
      </c>
      <c r="Y633">
        <v>261</v>
      </c>
    </row>
    <row r="634" spans="1:25" ht="15" x14ac:dyDescent="0.25">
      <c r="A634" t="s">
        <v>23</v>
      </c>
      <c r="B634" t="s">
        <v>51</v>
      </c>
      <c r="C634" t="s">
        <v>61</v>
      </c>
      <c r="D634" t="s">
        <v>111</v>
      </c>
      <c r="E634" t="s">
        <v>14</v>
      </c>
      <c r="F634" t="s">
        <v>2177</v>
      </c>
      <c r="G634" t="s">
        <v>381</v>
      </c>
      <c r="H634" t="s">
        <v>7</v>
      </c>
      <c r="I634">
        <v>214</v>
      </c>
      <c r="J634" s="41">
        <f>I634/'enter the discount'!$D$7</f>
        <v>50.0912878610552</v>
      </c>
      <c r="K634" s="41">
        <f>J634*(1-IFERROR(VLOOKUP(H634,'enter the discount'!$D$10:$E$40,2,FALSE),0))</f>
        <v>50.0912878610552</v>
      </c>
      <c r="L634" s="43" t="s">
        <v>2549</v>
      </c>
      <c r="M634" t="s">
        <v>745</v>
      </c>
      <c r="N634" t="s">
        <v>930</v>
      </c>
      <c r="O634" t="s">
        <v>2723</v>
      </c>
      <c r="P634">
        <v>10</v>
      </c>
      <c r="Q634">
        <v>240</v>
      </c>
      <c r="R634" t="s">
        <v>2465</v>
      </c>
      <c r="S634" s="42" t="str">
        <f>HYPERLINK("https://sklep.kobi.pl/produkt/lampa-ogrodowa-quazar-4")</f>
        <v>https://sklep.kobi.pl/produkt/lampa-ogrodowa-quazar-4</v>
      </c>
      <c r="T634" s="42" t="str">
        <f>HYPERLINK("https://eprel.ec.europa.eu/qr/NIE DOTYCZY    ")</f>
        <v xml:space="preserve">https://eprel.ec.europa.eu/qr/NIE DOTYCZY    </v>
      </c>
      <c r="U634">
        <v>0.86399999999999999</v>
      </c>
      <c r="V634">
        <v>0.98399999999999999</v>
      </c>
      <c r="W634">
        <v>95</v>
      </c>
      <c r="X634">
        <v>165</v>
      </c>
      <c r="Y634">
        <v>270</v>
      </c>
    </row>
    <row r="635" spans="1:25" ht="15" x14ac:dyDescent="0.25">
      <c r="A635" t="s">
        <v>23</v>
      </c>
      <c r="B635" t="s">
        <v>51</v>
      </c>
      <c r="C635" t="s">
        <v>61</v>
      </c>
      <c r="D635" t="s">
        <v>111</v>
      </c>
      <c r="E635" t="s">
        <v>14</v>
      </c>
      <c r="F635" t="s">
        <v>2178</v>
      </c>
      <c r="G635" t="s">
        <v>382</v>
      </c>
      <c r="H635" t="s">
        <v>7</v>
      </c>
      <c r="I635">
        <v>172</v>
      </c>
      <c r="J635" s="41">
        <f>I635/'enter the discount'!$D$7</f>
        <v>40.260287439726604</v>
      </c>
      <c r="K635" s="41">
        <f>J635*(1-IFERROR(VLOOKUP(H635,'enter the discount'!$D$10:$E$40,2,FALSE),0))</f>
        <v>40.260287439726604</v>
      </c>
      <c r="L635" s="43" t="s">
        <v>2549</v>
      </c>
      <c r="M635" t="s">
        <v>746</v>
      </c>
      <c r="N635" t="s">
        <v>930</v>
      </c>
      <c r="O635" t="s">
        <v>2723</v>
      </c>
      <c r="P635">
        <v>10</v>
      </c>
      <c r="Q635">
        <v>0</v>
      </c>
      <c r="R635" t="s">
        <v>2465</v>
      </c>
      <c r="S635" s="42" t="str">
        <f>HYPERLINK("https://sklep.kobi.pl/produkt/lampa-ogrodowa-quazar-5")</f>
        <v>https://sklep.kobi.pl/produkt/lampa-ogrodowa-quazar-5</v>
      </c>
      <c r="T635" s="42" t="str">
        <f>HYPERLINK("https://eprel.ec.europa.eu/qr/NIE DOTYCZY    ")</f>
        <v xml:space="preserve">https://eprel.ec.europa.eu/qr/NIE DOTYCZY    </v>
      </c>
      <c r="U635">
        <v>0.64100000000000001</v>
      </c>
      <c r="V635">
        <v>0.80700000000000005</v>
      </c>
      <c r="W635">
        <v>95</v>
      </c>
      <c r="X635">
        <v>93</v>
      </c>
      <c r="Y635">
        <v>270</v>
      </c>
    </row>
    <row r="636" spans="1:25" ht="15" x14ac:dyDescent="0.25">
      <c r="A636" t="s">
        <v>23</v>
      </c>
      <c r="B636" t="s">
        <v>51</v>
      </c>
      <c r="C636" t="s">
        <v>76</v>
      </c>
      <c r="D636" t="s">
        <v>111</v>
      </c>
      <c r="E636" t="s">
        <v>2722</v>
      </c>
      <c r="F636" t="s">
        <v>2179</v>
      </c>
      <c r="G636" t="s">
        <v>383</v>
      </c>
      <c r="H636" t="s">
        <v>7</v>
      </c>
      <c r="I636">
        <v>119</v>
      </c>
      <c r="J636" s="41">
        <f>I636/'enter the discount'!$D$7</f>
        <v>27.854501193764339</v>
      </c>
      <c r="K636" s="41">
        <f>J636*(1-IFERROR(VLOOKUP(H636,'enter the discount'!$D$10:$E$40,2,FALSE),0))</f>
        <v>27.854501193764339</v>
      </c>
      <c r="L636" s="43" t="s">
        <v>2549</v>
      </c>
      <c r="M636" t="s">
        <v>747</v>
      </c>
      <c r="N636" t="s">
        <v>930</v>
      </c>
      <c r="O636" t="s">
        <v>2723</v>
      </c>
      <c r="P636">
        <v>16</v>
      </c>
      <c r="Q636">
        <v>384</v>
      </c>
      <c r="R636" t="s">
        <v>2465</v>
      </c>
      <c r="S636" s="42" t="str">
        <f>HYPERLINK("https://sklep.kobi.pl/produkt/lampa-ogrodowa-quazar-10-stal-2xgu10")</f>
        <v>https://sklep.kobi.pl/produkt/lampa-ogrodowa-quazar-10-stal-2xgu10</v>
      </c>
      <c r="T636" s="42" t="str">
        <f>HYPERLINK("https://eprel.ec.europa.eu/qr/NIE DOTYCZY    ")</f>
        <v xml:space="preserve">https://eprel.ec.europa.eu/qr/NIE DOTYCZY    </v>
      </c>
      <c r="U636">
        <v>0.47799999999999998</v>
      </c>
      <c r="V636">
        <v>0.61799999999999999</v>
      </c>
      <c r="W636">
        <v>86</v>
      </c>
      <c r="X636">
        <v>120</v>
      </c>
      <c r="Y636">
        <v>220</v>
      </c>
    </row>
    <row r="637" spans="1:25" ht="15" x14ac:dyDescent="0.25">
      <c r="A637" t="s">
        <v>23</v>
      </c>
      <c r="B637" t="s">
        <v>51</v>
      </c>
      <c r="C637" t="s">
        <v>75</v>
      </c>
      <c r="D637" t="s">
        <v>111</v>
      </c>
      <c r="E637" t="s">
        <v>14</v>
      </c>
      <c r="F637" t="s">
        <v>2180</v>
      </c>
      <c r="G637" t="s">
        <v>384</v>
      </c>
      <c r="H637" t="s">
        <v>7</v>
      </c>
      <c r="I637">
        <v>206</v>
      </c>
      <c r="J637" s="41">
        <f>I637/'enter the discount'!$D$7</f>
        <v>48.2187163522307</v>
      </c>
      <c r="K637" s="41">
        <f>J637*(1-IFERROR(VLOOKUP(H637,'enter the discount'!$D$10:$E$40,2,FALSE),0))</f>
        <v>48.2187163522307</v>
      </c>
      <c r="L637" s="43" t="s">
        <v>2549</v>
      </c>
      <c r="M637" t="s">
        <v>748</v>
      </c>
      <c r="N637" t="s">
        <v>930</v>
      </c>
      <c r="O637" t="s">
        <v>2723</v>
      </c>
      <c r="P637">
        <v>12</v>
      </c>
      <c r="Q637">
        <v>384</v>
      </c>
      <c r="R637" t="s">
        <v>2465</v>
      </c>
      <c r="S637" s="42" t="str">
        <f>HYPERLINK("https://sklep.kobi.pl/produkt/lampa-ogrodowa-quazar-7-czarna-2xgu10")</f>
        <v>https://sklep.kobi.pl/produkt/lampa-ogrodowa-quazar-7-czarna-2xgu10</v>
      </c>
      <c r="T637" s="42" t="str">
        <f>HYPERLINK("https://eprel.ec.europa.eu/qr/NIE DOTYCZY    ")</f>
        <v xml:space="preserve">https://eprel.ec.europa.eu/qr/NIE DOTYCZY    </v>
      </c>
      <c r="U637">
        <v>0.83099999999999996</v>
      </c>
      <c r="V637">
        <v>0.95099999999999996</v>
      </c>
      <c r="W637">
        <v>95</v>
      </c>
      <c r="X637">
        <v>398</v>
      </c>
      <c r="Y637">
        <v>261</v>
      </c>
    </row>
    <row r="638" spans="1:25" ht="15" x14ac:dyDescent="0.25">
      <c r="A638" t="s">
        <v>23</v>
      </c>
      <c r="B638" t="s">
        <v>51</v>
      </c>
      <c r="C638" t="s">
        <v>75</v>
      </c>
      <c r="D638" t="s">
        <v>111</v>
      </c>
      <c r="E638" t="s">
        <v>14</v>
      </c>
      <c r="F638" t="s">
        <v>2181</v>
      </c>
      <c r="G638" t="s">
        <v>385</v>
      </c>
      <c r="H638" t="s">
        <v>7</v>
      </c>
      <c r="I638">
        <v>173.07</v>
      </c>
      <c r="J638" s="41">
        <f>I638/'enter the discount'!$D$7</f>
        <v>40.510743879031878</v>
      </c>
      <c r="K638" s="41">
        <f>J638*(1-IFERROR(VLOOKUP(H638,'enter the discount'!$D$10:$E$40,2,FALSE),0))</f>
        <v>40.510743879031878</v>
      </c>
      <c r="L638" s="43" t="s">
        <v>2549</v>
      </c>
      <c r="M638" t="s">
        <v>749</v>
      </c>
      <c r="N638" t="s">
        <v>930</v>
      </c>
      <c r="O638" t="s">
        <v>2723</v>
      </c>
      <c r="P638">
        <v>12</v>
      </c>
      <c r="Q638">
        <v>384</v>
      </c>
      <c r="R638" t="s">
        <v>2465</v>
      </c>
      <c r="S638" s="42" t="str">
        <f>HYPERLINK("https://sklep.kobi.pl/produkt/lampa-ogrodowa-quazar-7-szara-2xgu10")</f>
        <v>https://sklep.kobi.pl/produkt/lampa-ogrodowa-quazar-7-szara-2xgu10</v>
      </c>
      <c r="T638" s="42" t="str">
        <f>HYPERLINK("https://eprel.ec.europa.eu/qr/NIE DOTYCZY    ")</f>
        <v xml:space="preserve">https://eprel.ec.europa.eu/qr/NIE DOTYCZY    </v>
      </c>
      <c r="U638">
        <v>0.83099999999999996</v>
      </c>
      <c r="V638">
        <v>0.95099999999999996</v>
      </c>
      <c r="W638">
        <v>95</v>
      </c>
      <c r="X638">
        <v>98</v>
      </c>
      <c r="Y638">
        <v>261</v>
      </c>
    </row>
    <row r="639" spans="1:25" ht="15" x14ac:dyDescent="0.25">
      <c r="A639" t="s">
        <v>23</v>
      </c>
      <c r="B639" t="s">
        <v>51</v>
      </c>
      <c r="C639" t="s">
        <v>1594</v>
      </c>
      <c r="D639" t="s">
        <v>111</v>
      </c>
      <c r="E639" t="s">
        <v>2722</v>
      </c>
      <c r="F639" t="s">
        <v>2182</v>
      </c>
      <c r="G639" t="s">
        <v>1595</v>
      </c>
      <c r="H639" t="s">
        <v>7</v>
      </c>
      <c r="I639">
        <v>106.22</v>
      </c>
      <c r="J639" s="41">
        <f>I639/'enter the discount'!$D$7</f>
        <v>24.863068208417211</v>
      </c>
      <c r="K639" s="41">
        <f>J639*(1-IFERROR(VLOOKUP(H639,'enter the discount'!$D$10:$E$40,2,FALSE),0))</f>
        <v>24.863068208417211</v>
      </c>
      <c r="L639" s="43" t="s">
        <v>2549</v>
      </c>
      <c r="M639" t="s">
        <v>1596</v>
      </c>
      <c r="N639" t="s">
        <v>930</v>
      </c>
      <c r="O639" t="s">
        <v>2723</v>
      </c>
      <c r="P639">
        <v>16</v>
      </c>
      <c r="Q639">
        <v>720</v>
      </c>
      <c r="R639" t="s">
        <v>2465</v>
      </c>
      <c r="S639"/>
      <c r="T639" s="42" t="str">
        <f>HYPERLINK("https://eprel.ec.europa.eu/qr/NIE DOTYCZY    ")</f>
        <v xml:space="preserve">https://eprel.ec.europa.eu/qr/NIE DOTYCZY    </v>
      </c>
      <c r="U639">
        <v>0.46899999999999997</v>
      </c>
      <c r="V639">
        <v>0.56799999999999995</v>
      </c>
      <c r="W639">
        <v>80</v>
      </c>
      <c r="X639">
        <v>105</v>
      </c>
      <c r="Y639">
        <v>161</v>
      </c>
    </row>
    <row r="640" spans="1:25" ht="15" x14ac:dyDescent="0.25">
      <c r="A640" t="s">
        <v>23</v>
      </c>
      <c r="B640" t="s">
        <v>51</v>
      </c>
      <c r="C640" t="s">
        <v>1594</v>
      </c>
      <c r="D640" t="s">
        <v>111</v>
      </c>
      <c r="E640" t="s">
        <v>2722</v>
      </c>
      <c r="F640" t="s">
        <v>2183</v>
      </c>
      <c r="G640" t="s">
        <v>1597</v>
      </c>
      <c r="H640" t="s">
        <v>7</v>
      </c>
      <c r="I640">
        <v>106.22</v>
      </c>
      <c r="J640" s="41">
        <f>I640/'enter the discount'!$D$7</f>
        <v>24.863068208417211</v>
      </c>
      <c r="K640" s="41">
        <f>J640*(1-IFERROR(VLOOKUP(H640,'enter the discount'!$D$10:$E$40,2,FALSE),0))</f>
        <v>24.863068208417211</v>
      </c>
      <c r="L640" s="43" t="s">
        <v>2549</v>
      </c>
      <c r="M640" t="s">
        <v>1598</v>
      </c>
      <c r="N640" t="s">
        <v>930</v>
      </c>
      <c r="O640" t="s">
        <v>2723</v>
      </c>
      <c r="P640">
        <v>16</v>
      </c>
      <c r="Q640">
        <v>720</v>
      </c>
      <c r="R640" t="s">
        <v>2465</v>
      </c>
      <c r="S640" s="42" t="str">
        <f>HYPERLINK("https://sklep.kobi.pl/produkt/lampa-ogrodowa-quazar-9-szara-2xgu10")</f>
        <v>https://sklep.kobi.pl/produkt/lampa-ogrodowa-quazar-9-szara-2xgu10</v>
      </c>
      <c r="T640" s="42" t="str">
        <f>HYPERLINK("https://eprel.ec.europa.eu/qr/NIE DOTYCZY    ")</f>
        <v xml:space="preserve">https://eprel.ec.europa.eu/qr/NIE DOTYCZY    </v>
      </c>
      <c r="U640">
        <v>0.46899999999999997</v>
      </c>
      <c r="V640">
        <v>0.56799999999999995</v>
      </c>
      <c r="W640">
        <v>80</v>
      </c>
      <c r="X640">
        <v>105</v>
      </c>
      <c r="Y640">
        <v>161</v>
      </c>
    </row>
    <row r="641" spans="1:25" ht="15" x14ac:dyDescent="0.25">
      <c r="A641" t="s">
        <v>23</v>
      </c>
      <c r="B641" t="s">
        <v>51</v>
      </c>
      <c r="C641" t="s">
        <v>88</v>
      </c>
      <c r="D641" t="s">
        <v>111</v>
      </c>
      <c r="E641" t="s">
        <v>14</v>
      </c>
      <c r="F641" t="s">
        <v>2184</v>
      </c>
      <c r="G641" t="s">
        <v>386</v>
      </c>
      <c r="H641" t="s">
        <v>7</v>
      </c>
      <c r="I641">
        <v>292.29000000000002</v>
      </c>
      <c r="J641" s="41">
        <f>I641/'enter the discount'!$D$7</f>
        <v>68.416740789288895</v>
      </c>
      <c r="K641" s="41">
        <f>J641*(1-IFERROR(VLOOKUP(H641,'enter the discount'!$D$10:$E$40,2,FALSE),0))</f>
        <v>68.416740789288895</v>
      </c>
      <c r="L641" s="43" t="s">
        <v>2549</v>
      </c>
      <c r="M641" t="s">
        <v>750</v>
      </c>
      <c r="N641" t="s">
        <v>928</v>
      </c>
      <c r="O641" t="s">
        <v>2723</v>
      </c>
      <c r="P641">
        <v>1</v>
      </c>
      <c r="Q641">
        <v>24</v>
      </c>
      <c r="R641" t="s">
        <v>2465</v>
      </c>
      <c r="S641" s="42" t="str">
        <f>HYPERLINK("https://sklep.kobi.pl/produkt/led-garden-ball-l")</f>
        <v>https://sklep.kobi.pl/produkt/led-garden-ball-l</v>
      </c>
      <c r="T641" s="42" t="str">
        <f>HYPERLINK("https://eprel.ec.europa.eu/qr/NIE DOTYCZY    ")</f>
        <v xml:space="preserve">https://eprel.ec.europa.eu/qr/NIE DOTYCZY    </v>
      </c>
      <c r="U641">
        <v>1.7549999999999999</v>
      </c>
      <c r="V641">
        <v>2.41</v>
      </c>
      <c r="W641">
        <v>400</v>
      </c>
      <c r="X641">
        <v>400</v>
      </c>
      <c r="Y641">
        <v>380</v>
      </c>
    </row>
    <row r="642" spans="1:25" ht="15" x14ac:dyDescent="0.25">
      <c r="A642" t="s">
        <v>23</v>
      </c>
      <c r="B642" t="s">
        <v>51</v>
      </c>
      <c r="C642" t="s">
        <v>88</v>
      </c>
      <c r="D642" t="s">
        <v>111</v>
      </c>
      <c r="E642" t="s">
        <v>14</v>
      </c>
      <c r="F642" t="s">
        <v>2185</v>
      </c>
      <c r="G642" t="s">
        <v>387</v>
      </c>
      <c r="H642" t="s">
        <v>7</v>
      </c>
      <c r="I642">
        <v>227.21</v>
      </c>
      <c r="J642" s="41">
        <f>I642/'enter the discount'!$D$7</f>
        <v>53.183371565001643</v>
      </c>
      <c r="K642" s="41">
        <f>J642*(1-IFERROR(VLOOKUP(H642,'enter the discount'!$D$10:$E$40,2,FALSE),0))</f>
        <v>53.183371565001643</v>
      </c>
      <c r="L642" s="43" t="s">
        <v>2549</v>
      </c>
      <c r="M642" t="s">
        <v>751</v>
      </c>
      <c r="N642" t="s">
        <v>928</v>
      </c>
      <c r="O642" t="s">
        <v>2723</v>
      </c>
      <c r="P642">
        <v>4</v>
      </c>
      <c r="Q642">
        <v>48</v>
      </c>
      <c r="R642" t="s">
        <v>2465</v>
      </c>
      <c r="S642" s="42" t="str">
        <f>HYPERLINK("https://sklep.kobi.pl/produkt/led-garden-ball-m")</f>
        <v>https://sklep.kobi.pl/produkt/led-garden-ball-m</v>
      </c>
      <c r="T642" s="42" t="str">
        <f>HYPERLINK("https://eprel.ec.europa.eu/qr/NIE DOTYCZY    ")</f>
        <v xml:space="preserve">https://eprel.ec.europa.eu/qr/NIE DOTYCZY    </v>
      </c>
      <c r="U642">
        <v>0.99199999999999999</v>
      </c>
      <c r="V642">
        <v>1.2569999999999999</v>
      </c>
      <c r="W642">
        <v>290</v>
      </c>
      <c r="X642">
        <v>290</v>
      </c>
      <c r="Y642">
        <v>275</v>
      </c>
    </row>
    <row r="643" spans="1:25" ht="15" x14ac:dyDescent="0.25">
      <c r="A643" t="s">
        <v>23</v>
      </c>
      <c r="B643" t="s">
        <v>51</v>
      </c>
      <c r="C643" t="s">
        <v>88</v>
      </c>
      <c r="D643" t="s">
        <v>111</v>
      </c>
      <c r="E643" t="s">
        <v>14</v>
      </c>
      <c r="F643" t="s">
        <v>2186</v>
      </c>
      <c r="G643" t="s">
        <v>388</v>
      </c>
      <c r="H643" t="s">
        <v>7</v>
      </c>
      <c r="I643">
        <v>167.1</v>
      </c>
      <c r="J643" s="41">
        <f>I643/'enter the discount'!$D$7</f>
        <v>39.113337390571601</v>
      </c>
      <c r="K643" s="41">
        <f>J643*(1-IFERROR(VLOOKUP(H643,'enter the discount'!$D$10:$E$40,2,FALSE),0))</f>
        <v>39.113337390571601</v>
      </c>
      <c r="L643" s="43" t="s">
        <v>2549</v>
      </c>
      <c r="M643" t="s">
        <v>752</v>
      </c>
      <c r="N643" t="s">
        <v>928</v>
      </c>
      <c r="O643" t="s">
        <v>2723</v>
      </c>
      <c r="P643">
        <v>4</v>
      </c>
      <c r="Q643">
        <v>72</v>
      </c>
      <c r="R643" t="s">
        <v>2465</v>
      </c>
      <c r="S643" s="42" t="str">
        <f>HYPERLINK("https://sklep.kobi.pl/produkt/led-garden-ball-s")</f>
        <v>https://sklep.kobi.pl/produkt/led-garden-ball-s</v>
      </c>
      <c r="T643" s="42" t="str">
        <f>HYPERLINK("https://eprel.ec.europa.eu/qr/NIE DOTYCZY    ")</f>
        <v xml:space="preserve">https://eprel.ec.europa.eu/qr/NIE DOTYCZY    </v>
      </c>
      <c r="U643">
        <v>0.78900000000000003</v>
      </c>
      <c r="V643">
        <v>0.98499999999999999</v>
      </c>
      <c r="W643">
        <v>255</v>
      </c>
      <c r="X643">
        <v>250</v>
      </c>
      <c r="Y643">
        <v>245</v>
      </c>
    </row>
    <row r="644" spans="1:25" ht="15" x14ac:dyDescent="0.25">
      <c r="A644" t="s">
        <v>23</v>
      </c>
      <c r="B644" t="s">
        <v>51</v>
      </c>
      <c r="C644" t="s">
        <v>74</v>
      </c>
      <c r="D644" t="s">
        <v>111</v>
      </c>
      <c r="E644" t="s">
        <v>2722</v>
      </c>
      <c r="F644" t="s">
        <v>2187</v>
      </c>
      <c r="G644" t="s">
        <v>389</v>
      </c>
      <c r="H644" t="s">
        <v>7</v>
      </c>
      <c r="I644">
        <v>98</v>
      </c>
      <c r="J644" s="41">
        <f>I644/'enter the discount'!$D$7</f>
        <v>22.939000983100044</v>
      </c>
      <c r="K644" s="41">
        <f>J644*(1-IFERROR(VLOOKUP(H644,'enter the discount'!$D$10:$E$40,2,FALSE),0))</f>
        <v>22.939000983100044</v>
      </c>
      <c r="L644" s="43" t="s">
        <v>2549</v>
      </c>
      <c r="M644" t="s">
        <v>753</v>
      </c>
      <c r="N644" t="s">
        <v>930</v>
      </c>
      <c r="O644" t="s">
        <v>2723</v>
      </c>
      <c r="P644">
        <v>24</v>
      </c>
      <c r="Q644">
        <v>720</v>
      </c>
      <c r="R644" t="s">
        <v>2465</v>
      </c>
      <c r="S644" s="42" t="str">
        <f>HYPERLINK("https://sklep.kobi.pl/produkt/lampa-ogrodowa-quazar-17-czarna")</f>
        <v>https://sklep.kobi.pl/produkt/lampa-ogrodowa-quazar-17-czarna</v>
      </c>
      <c r="T644" s="42" t="str">
        <f>HYPERLINK("https://eprel.ec.europa.eu/qr/NIE DOTYCZY    ")</f>
        <v xml:space="preserve">https://eprel.ec.europa.eu/qr/NIE DOTYCZY    </v>
      </c>
      <c r="U644">
        <v>0.39300000000000002</v>
      </c>
      <c r="V644">
        <v>0.45100000000000001</v>
      </c>
      <c r="W644">
        <v>105</v>
      </c>
      <c r="X644">
        <v>105</v>
      </c>
      <c r="Y644">
        <v>105</v>
      </c>
    </row>
    <row r="645" spans="1:25" ht="15" x14ac:dyDescent="0.25">
      <c r="A645" t="s">
        <v>23</v>
      </c>
      <c r="B645" t="s">
        <v>51</v>
      </c>
      <c r="C645" t="s">
        <v>74</v>
      </c>
      <c r="D645" t="s">
        <v>111</v>
      </c>
      <c r="E645" t="s">
        <v>2722</v>
      </c>
      <c r="F645" t="s">
        <v>2188</v>
      </c>
      <c r="G645" t="s">
        <v>390</v>
      </c>
      <c r="H645" t="s">
        <v>7</v>
      </c>
      <c r="I645">
        <v>98</v>
      </c>
      <c r="J645" s="41">
        <f>I645/'enter the discount'!$D$7</f>
        <v>22.939000983100044</v>
      </c>
      <c r="K645" s="41">
        <f>J645*(1-IFERROR(VLOOKUP(H645,'enter the discount'!$D$10:$E$40,2,FALSE),0))</f>
        <v>22.939000983100044</v>
      </c>
      <c r="L645" s="43" t="s">
        <v>2549</v>
      </c>
      <c r="M645" t="s">
        <v>754</v>
      </c>
      <c r="N645" t="s">
        <v>930</v>
      </c>
      <c r="O645" t="s">
        <v>2723</v>
      </c>
      <c r="P645">
        <v>24</v>
      </c>
      <c r="Q645">
        <v>720</v>
      </c>
      <c r="R645" t="s">
        <v>2465</v>
      </c>
      <c r="S645" s="42" t="str">
        <f>HYPERLINK("https://sklep.kobi.pl/produkt/lampa-ogrodowa-quazar-17-szara")</f>
        <v>https://sklep.kobi.pl/produkt/lampa-ogrodowa-quazar-17-szara</v>
      </c>
      <c r="T645" s="42" t="str">
        <f>HYPERLINK("https://eprel.ec.europa.eu/qr/NIE DOTYCZY    ")</f>
        <v xml:space="preserve">https://eprel.ec.europa.eu/qr/NIE DOTYCZY    </v>
      </c>
      <c r="U645">
        <v>0.39300000000000002</v>
      </c>
      <c r="V645">
        <v>0.45100000000000001</v>
      </c>
      <c r="W645">
        <v>105</v>
      </c>
      <c r="X645">
        <v>105</v>
      </c>
      <c r="Y645">
        <v>105</v>
      </c>
    </row>
    <row r="646" spans="1:25" ht="15" x14ac:dyDescent="0.25">
      <c r="A646" t="s">
        <v>23</v>
      </c>
      <c r="B646" t="s">
        <v>51</v>
      </c>
      <c r="C646" t="s">
        <v>74</v>
      </c>
      <c r="D646" t="s">
        <v>111</v>
      </c>
      <c r="E646" t="s">
        <v>2722</v>
      </c>
      <c r="F646" t="s">
        <v>2189</v>
      </c>
      <c r="G646" t="s">
        <v>391</v>
      </c>
      <c r="H646" t="s">
        <v>7</v>
      </c>
      <c r="I646">
        <v>92.95</v>
      </c>
      <c r="J646" s="41">
        <f>I646/'enter the discount'!$D$7</f>
        <v>21.756940218154583</v>
      </c>
      <c r="K646" s="41">
        <f>J646*(1-IFERROR(VLOOKUP(H646,'enter the discount'!$D$10:$E$40,2,FALSE),0))</f>
        <v>21.756940218154583</v>
      </c>
      <c r="L646" s="43" t="s">
        <v>2549</v>
      </c>
      <c r="M646" t="s">
        <v>755</v>
      </c>
      <c r="N646" t="s">
        <v>930</v>
      </c>
      <c r="O646" t="s">
        <v>2723</v>
      </c>
      <c r="P646">
        <v>24</v>
      </c>
      <c r="Q646">
        <v>720</v>
      </c>
      <c r="R646" t="s">
        <v>2465</v>
      </c>
      <c r="S646" s="42" t="str">
        <f>HYPERLINK("https://sklep.kobi.pl/produkt/lampa-ogrodowa-quazar-18-czarna")</f>
        <v>https://sklep.kobi.pl/produkt/lampa-ogrodowa-quazar-18-czarna</v>
      </c>
      <c r="T646" s="42" t="str">
        <f>HYPERLINK("https://eprel.ec.europa.eu/qr/NIE DOTYCZY    ")</f>
        <v xml:space="preserve">https://eprel.ec.europa.eu/qr/NIE DOTYCZY    </v>
      </c>
      <c r="U646">
        <v>0.28299999999999997</v>
      </c>
      <c r="V646">
        <v>0.35499999999999998</v>
      </c>
      <c r="W646">
        <v>100</v>
      </c>
      <c r="X646">
        <v>105</v>
      </c>
      <c r="Y646">
        <v>105</v>
      </c>
    </row>
    <row r="647" spans="1:25" ht="15" x14ac:dyDescent="0.25">
      <c r="A647" t="s">
        <v>23</v>
      </c>
      <c r="B647" t="s">
        <v>51</v>
      </c>
      <c r="C647" t="s">
        <v>74</v>
      </c>
      <c r="D647" t="s">
        <v>111</v>
      </c>
      <c r="E647" t="s">
        <v>2722</v>
      </c>
      <c r="F647" t="s">
        <v>2190</v>
      </c>
      <c r="G647" t="s">
        <v>392</v>
      </c>
      <c r="H647" t="s">
        <v>7</v>
      </c>
      <c r="I647">
        <v>92.95</v>
      </c>
      <c r="J647" s="41">
        <f>I647/'enter the discount'!$D$7</f>
        <v>21.756940218154583</v>
      </c>
      <c r="K647" s="41">
        <f>J647*(1-IFERROR(VLOOKUP(H647,'enter the discount'!$D$10:$E$40,2,FALSE),0))</f>
        <v>21.756940218154583</v>
      </c>
      <c r="L647" s="43" t="s">
        <v>2549</v>
      </c>
      <c r="M647" t="s">
        <v>756</v>
      </c>
      <c r="N647" t="s">
        <v>930</v>
      </c>
      <c r="O647" t="s">
        <v>2723</v>
      </c>
      <c r="P647">
        <v>24</v>
      </c>
      <c r="Q647">
        <v>720</v>
      </c>
      <c r="R647" t="s">
        <v>2465</v>
      </c>
      <c r="S647" s="42" t="str">
        <f>HYPERLINK("https://sklep.kobi.pl/produkt/lampa-ogrodowa-quazar-18-szara")</f>
        <v>https://sklep.kobi.pl/produkt/lampa-ogrodowa-quazar-18-szara</v>
      </c>
      <c r="T647" s="42" t="str">
        <f>HYPERLINK("https://eprel.ec.europa.eu/qr/NIE DOTYCZY    ")</f>
        <v xml:space="preserve">https://eprel.ec.europa.eu/qr/NIE DOTYCZY    </v>
      </c>
      <c r="U647">
        <v>0.28299999999999997</v>
      </c>
      <c r="V647">
        <v>0.35499999999999998</v>
      </c>
      <c r="W647">
        <v>105</v>
      </c>
      <c r="X647">
        <v>105</v>
      </c>
      <c r="Y647">
        <v>105</v>
      </c>
    </row>
    <row r="648" spans="1:25" ht="15" x14ac:dyDescent="0.25">
      <c r="A648" t="s">
        <v>23</v>
      </c>
      <c r="B648" t="s">
        <v>51</v>
      </c>
      <c r="C648" t="s">
        <v>91</v>
      </c>
      <c r="D648" t="s">
        <v>111</v>
      </c>
      <c r="E648" t="s">
        <v>14</v>
      </c>
      <c r="F648" t="s">
        <v>2191</v>
      </c>
      <c r="G648" t="s">
        <v>393</v>
      </c>
      <c r="H648" t="s">
        <v>7</v>
      </c>
      <c r="I648">
        <v>259</v>
      </c>
      <c r="J648" s="41">
        <f>I648/'enter the discount'!$D$7</f>
        <v>60.624502598192969</v>
      </c>
      <c r="K648" s="41">
        <f>J648*(1-IFERROR(VLOOKUP(H648,'enter the discount'!$D$10:$E$40,2,FALSE),0))</f>
        <v>60.624502598192969</v>
      </c>
      <c r="L648" s="43" t="s">
        <v>2549</v>
      </c>
      <c r="M648" t="s">
        <v>757</v>
      </c>
      <c r="N648" t="s">
        <v>930</v>
      </c>
      <c r="O648" t="s">
        <v>2723</v>
      </c>
      <c r="P648">
        <v>6</v>
      </c>
      <c r="Q648">
        <v>60</v>
      </c>
      <c r="R648" t="s">
        <v>2465</v>
      </c>
      <c r="S648" s="42" t="str">
        <f>HYPERLINK("https://sklep.kobi.pl/produkt/lampa-ogrodowa-quazar-15s-czarna-1xgu10")</f>
        <v>https://sklep.kobi.pl/produkt/lampa-ogrodowa-quazar-15s-czarna-1xgu10</v>
      </c>
      <c r="T648" s="42" t="str">
        <f>HYPERLINK("https://eprel.ec.europa.eu/qr/NIE DOTYCZY    ")</f>
        <v xml:space="preserve">https://eprel.ec.europa.eu/qr/NIE DOTYCZY    </v>
      </c>
      <c r="U648">
        <v>1.645</v>
      </c>
      <c r="V648">
        <v>1.95</v>
      </c>
      <c r="W648">
        <v>130</v>
      </c>
      <c r="X648">
        <v>1015</v>
      </c>
      <c r="Y648">
        <v>130</v>
      </c>
    </row>
    <row r="649" spans="1:25" ht="15" x14ac:dyDescent="0.25">
      <c r="A649" t="s">
        <v>23</v>
      </c>
      <c r="B649" t="s">
        <v>51</v>
      </c>
      <c r="C649" t="s">
        <v>91</v>
      </c>
      <c r="D649" t="s">
        <v>111</v>
      </c>
      <c r="E649" t="s">
        <v>14</v>
      </c>
      <c r="F649" t="s">
        <v>2192</v>
      </c>
      <c r="G649" t="s">
        <v>394</v>
      </c>
      <c r="H649" t="s">
        <v>7</v>
      </c>
      <c r="I649">
        <v>204.45</v>
      </c>
      <c r="J649" s="41">
        <f>I649/'enter the discount'!$D$7</f>
        <v>47.855905622395952</v>
      </c>
      <c r="K649" s="41">
        <f>J649*(1-IFERROR(VLOOKUP(H649,'enter the discount'!$D$10:$E$40,2,FALSE),0))</f>
        <v>47.855905622395952</v>
      </c>
      <c r="L649" s="43" t="s">
        <v>2549</v>
      </c>
      <c r="M649" t="s">
        <v>758</v>
      </c>
      <c r="N649" t="s">
        <v>930</v>
      </c>
      <c r="O649" t="s">
        <v>2723</v>
      </c>
      <c r="P649">
        <v>6</v>
      </c>
      <c r="Q649">
        <v>60</v>
      </c>
      <c r="R649" t="s">
        <v>2465</v>
      </c>
      <c r="S649" s="42" t="str">
        <f>HYPERLINK("https://sklep.kobi.pl/produkt/lampa-ogrodowa-quazar-15s-szara-1xgu10")</f>
        <v>https://sklep.kobi.pl/produkt/lampa-ogrodowa-quazar-15s-szara-1xgu10</v>
      </c>
      <c r="T649" s="42" t="str">
        <f>HYPERLINK("https://eprel.ec.europa.eu/qr/NIE DOTYCZY    ")</f>
        <v xml:space="preserve">https://eprel.ec.europa.eu/qr/NIE DOTYCZY    </v>
      </c>
      <c r="U649">
        <v>1.645</v>
      </c>
      <c r="V649">
        <v>1.95</v>
      </c>
      <c r="W649">
        <v>130</v>
      </c>
      <c r="X649">
        <v>1015</v>
      </c>
      <c r="Y649">
        <v>130</v>
      </c>
    </row>
    <row r="650" spans="1:25" ht="15" x14ac:dyDescent="0.25">
      <c r="A650" t="s">
        <v>23</v>
      </c>
      <c r="B650" t="s">
        <v>51</v>
      </c>
      <c r="C650" t="s">
        <v>79</v>
      </c>
      <c r="D650" t="s">
        <v>111</v>
      </c>
      <c r="E650" t="s">
        <v>14</v>
      </c>
      <c r="F650" t="s">
        <v>2193</v>
      </c>
      <c r="G650" t="s">
        <v>395</v>
      </c>
      <c r="H650" t="s">
        <v>7</v>
      </c>
      <c r="I650">
        <v>377</v>
      </c>
      <c r="J650" s="41">
        <f>I650/'enter the discount'!$D$7</f>
        <v>88.244932353354244</v>
      </c>
      <c r="K650" s="41">
        <f>J650*(1-IFERROR(VLOOKUP(H650,'enter the discount'!$D$10:$E$40,2,FALSE),0))</f>
        <v>88.244932353354244</v>
      </c>
      <c r="L650" s="43" t="s">
        <v>2549</v>
      </c>
      <c r="M650" t="s">
        <v>759</v>
      </c>
      <c r="N650" t="s">
        <v>930</v>
      </c>
      <c r="O650" t="s">
        <v>2723</v>
      </c>
      <c r="P650">
        <v>6</v>
      </c>
      <c r="Q650">
        <v>48</v>
      </c>
      <c r="R650" t="s">
        <v>2465</v>
      </c>
      <c r="S650" s="42" t="str">
        <f>HYPERLINK("https://sklep.kobi.pl/produkt/lampa-ogrodowa-quazar-12-czarna-1xgu10")</f>
        <v>https://sklep.kobi.pl/produkt/lampa-ogrodowa-quazar-12-czarna-1xgu10</v>
      </c>
      <c r="T650" s="42" t="str">
        <f>HYPERLINK("https://eprel.ec.europa.eu/qr/NIE DOTYCZY    ")</f>
        <v xml:space="preserve">https://eprel.ec.europa.eu/qr/NIE DOTYCZY    </v>
      </c>
      <c r="U650">
        <v>1.978</v>
      </c>
      <c r="V650">
        <v>2.2999999999999998</v>
      </c>
      <c r="W650">
        <v>140</v>
      </c>
      <c r="X650">
        <v>140</v>
      </c>
      <c r="Y650">
        <v>101</v>
      </c>
    </row>
    <row r="651" spans="1:25" ht="15" x14ac:dyDescent="0.25">
      <c r="A651" t="s">
        <v>23</v>
      </c>
      <c r="B651" t="s">
        <v>51</v>
      </c>
      <c r="C651" t="s">
        <v>79</v>
      </c>
      <c r="D651" t="s">
        <v>111</v>
      </c>
      <c r="E651" t="s">
        <v>14</v>
      </c>
      <c r="F651" t="s">
        <v>2194</v>
      </c>
      <c r="G651" t="s">
        <v>396</v>
      </c>
      <c r="H651" t="s">
        <v>7</v>
      </c>
      <c r="I651">
        <v>304.68</v>
      </c>
      <c r="J651" s="41">
        <f>I651/'enter the discount'!$D$7</f>
        <v>71.316885913580833</v>
      </c>
      <c r="K651" s="41">
        <f>J651*(1-IFERROR(VLOOKUP(H651,'enter the discount'!$D$10:$E$40,2,FALSE),0))</f>
        <v>71.316885913580833</v>
      </c>
      <c r="L651" s="43" t="s">
        <v>2549</v>
      </c>
      <c r="M651" t="s">
        <v>760</v>
      </c>
      <c r="N651" t="s">
        <v>930</v>
      </c>
      <c r="O651" t="s">
        <v>2723</v>
      </c>
      <c r="P651">
        <v>6</v>
      </c>
      <c r="Q651">
        <v>48</v>
      </c>
      <c r="R651" t="s">
        <v>2465</v>
      </c>
      <c r="S651" s="42" t="str">
        <f>HYPERLINK("https://sklep.kobi.pl/produkt/lampa-ogrodowa-quazar-12-szara-1xgu10")</f>
        <v>https://sklep.kobi.pl/produkt/lampa-ogrodowa-quazar-12-szara-1xgu10</v>
      </c>
      <c r="T651" s="42" t="str">
        <f>HYPERLINK("https://eprel.ec.europa.eu/qr/NIE DOTYCZY    ")</f>
        <v xml:space="preserve">https://eprel.ec.europa.eu/qr/NIE DOTYCZY    </v>
      </c>
      <c r="U651">
        <v>1.978</v>
      </c>
      <c r="V651">
        <v>2.2999999999999998</v>
      </c>
      <c r="W651">
        <v>140</v>
      </c>
      <c r="X651">
        <v>140</v>
      </c>
      <c r="Y651">
        <v>101</v>
      </c>
    </row>
    <row r="652" spans="1:25" ht="15" x14ac:dyDescent="0.25">
      <c r="A652" t="s">
        <v>23</v>
      </c>
      <c r="B652" t="s">
        <v>51</v>
      </c>
      <c r="C652" t="s">
        <v>1501</v>
      </c>
      <c r="D652" t="s">
        <v>111</v>
      </c>
      <c r="E652" t="s">
        <v>14</v>
      </c>
      <c r="F652" t="s">
        <v>2195</v>
      </c>
      <c r="G652" t="s">
        <v>1502</v>
      </c>
      <c r="H652" t="s">
        <v>7</v>
      </c>
      <c r="I652">
        <v>61.8</v>
      </c>
      <c r="J652" s="41">
        <f>I652/'enter the discount'!$D$7</f>
        <v>14.465614905669211</v>
      </c>
      <c r="K652" s="41">
        <f>J652*(1-IFERROR(VLOOKUP(H652,'enter the discount'!$D$10:$E$40,2,FALSE),0))</f>
        <v>14.465614905669211</v>
      </c>
      <c r="L652" s="43" t="s">
        <v>2549</v>
      </c>
      <c r="M652" t="s">
        <v>1503</v>
      </c>
      <c r="N652" t="s">
        <v>930</v>
      </c>
      <c r="O652" t="s">
        <v>2723</v>
      </c>
      <c r="P652">
        <v>10</v>
      </c>
      <c r="Q652">
        <v>150</v>
      </c>
      <c r="R652" t="s">
        <v>2465</v>
      </c>
      <c r="S652" s="42" t="str">
        <f>HYPERLINK("https://sklep.kobi.pl/produkt/lampa-ogrodowa-lo4105-czarna-alu")</f>
        <v>https://sklep.kobi.pl/produkt/lampa-ogrodowa-lo4105-czarna-alu</v>
      </c>
      <c r="T652" s="42" t="str">
        <f>HYPERLINK("https://eprel.ec.europa.eu/qr/NIE DOTYCZY    ")</f>
        <v xml:space="preserve">https://eprel.ec.europa.eu/qr/NIE DOTYCZY    </v>
      </c>
      <c r="U652">
        <v>0.69</v>
      </c>
      <c r="V652">
        <v>0.96299999999999997</v>
      </c>
      <c r="W652">
        <v>155</v>
      </c>
      <c r="X652">
        <v>185</v>
      </c>
      <c r="Y652">
        <v>270</v>
      </c>
    </row>
    <row r="653" spans="1:25" ht="15" x14ac:dyDescent="0.25">
      <c r="A653" t="s">
        <v>23</v>
      </c>
      <c r="B653" t="s">
        <v>51</v>
      </c>
      <c r="C653" t="s">
        <v>1501</v>
      </c>
      <c r="D653" t="s">
        <v>111</v>
      </c>
      <c r="E653" t="s">
        <v>14</v>
      </c>
      <c r="F653" t="s">
        <v>2196</v>
      </c>
      <c r="G653" t="s">
        <v>1504</v>
      </c>
      <c r="H653" t="s">
        <v>7</v>
      </c>
      <c r="I653">
        <v>61.8</v>
      </c>
      <c r="J653" s="41">
        <f>I653/'enter the discount'!$D$7</f>
        <v>14.465614905669211</v>
      </c>
      <c r="K653" s="41">
        <f>J653*(1-IFERROR(VLOOKUP(H653,'enter the discount'!$D$10:$E$40,2,FALSE),0))</f>
        <v>14.465614905669211</v>
      </c>
      <c r="L653" s="43" t="s">
        <v>478</v>
      </c>
      <c r="M653" t="s">
        <v>1505</v>
      </c>
      <c r="N653" t="s">
        <v>930</v>
      </c>
      <c r="O653" t="s">
        <v>2723</v>
      </c>
      <c r="P653">
        <v>10</v>
      </c>
      <c r="Q653">
        <v>150</v>
      </c>
      <c r="R653" t="s">
        <v>2465</v>
      </c>
      <c r="S653" s="42" t="str">
        <f>HYPERLINK("https://sklep.kobi.pl/produkt/lampa-ogrodowa-lo4105-zlota-alu")</f>
        <v>https://sklep.kobi.pl/produkt/lampa-ogrodowa-lo4105-zlota-alu</v>
      </c>
      <c r="T653" t="s">
        <v>14</v>
      </c>
      <c r="U653">
        <v>0.69</v>
      </c>
      <c r="V653">
        <v>0.96299999999999997</v>
      </c>
      <c r="W653">
        <v>155</v>
      </c>
      <c r="X653">
        <v>185</v>
      </c>
      <c r="Y653">
        <v>270</v>
      </c>
    </row>
    <row r="654" spans="1:25" ht="15" x14ac:dyDescent="0.25">
      <c r="A654" t="s">
        <v>23</v>
      </c>
      <c r="B654" t="s">
        <v>39</v>
      </c>
      <c r="C654"/>
      <c r="D654" t="s">
        <v>111</v>
      </c>
      <c r="E654" t="s">
        <v>2722</v>
      </c>
      <c r="F654" t="s">
        <v>2197</v>
      </c>
      <c r="G654" t="s">
        <v>853</v>
      </c>
      <c r="H654" t="s">
        <v>884</v>
      </c>
      <c r="I654">
        <v>61.4</v>
      </c>
      <c r="J654" s="41">
        <f>I654/'enter the discount'!$D$7</f>
        <v>14.371986330227987</v>
      </c>
      <c r="K654" s="41">
        <f>J654*(1-IFERROR(VLOOKUP(H654,'enter the discount'!$D$10:$E$40,2,FALSE),0))</f>
        <v>14.371986330227987</v>
      </c>
      <c r="L654" s="43" t="s">
        <v>2549</v>
      </c>
      <c r="M654" t="s">
        <v>855</v>
      </c>
      <c r="N654" t="s">
        <v>935</v>
      </c>
      <c r="O654" t="s">
        <v>2723</v>
      </c>
      <c r="P654">
        <v>20</v>
      </c>
      <c r="Q654">
        <v>420</v>
      </c>
      <c r="R654" t="s">
        <v>2465</v>
      </c>
      <c r="S654" s="42" t="str">
        <f>HYPERLINK("https://sklep.kobi.pl/produkt/nuuk-pt-1xgu10-bialy")</f>
        <v>https://sklep.kobi.pl/produkt/nuuk-pt-1xgu10-bialy</v>
      </c>
      <c r="T654" s="42" t="str">
        <f>HYPERLINK("https://eprel.ec.europa.eu/qr/NIE DOTYCZY    ")</f>
        <v xml:space="preserve">https://eprel.ec.europa.eu/qr/NIE DOTYCZY    </v>
      </c>
      <c r="U654">
        <v>0.27600000000000002</v>
      </c>
      <c r="V654">
        <v>0.37</v>
      </c>
      <c r="W654">
        <v>145</v>
      </c>
      <c r="X654">
        <v>100</v>
      </c>
      <c r="Y654">
        <v>65</v>
      </c>
    </row>
    <row r="655" spans="1:25" ht="15" x14ac:dyDescent="0.25">
      <c r="A655" t="s">
        <v>23</v>
      </c>
      <c r="B655" t="s">
        <v>39</v>
      </c>
      <c r="C655"/>
      <c r="D655" t="s">
        <v>111</v>
      </c>
      <c r="E655" t="s">
        <v>2722</v>
      </c>
      <c r="F655" t="s">
        <v>2198</v>
      </c>
      <c r="G655" t="s">
        <v>854</v>
      </c>
      <c r="H655" t="s">
        <v>884</v>
      </c>
      <c r="I655">
        <v>61.4</v>
      </c>
      <c r="J655" s="41">
        <f>I655/'enter the discount'!$D$7</f>
        <v>14.371986330227987</v>
      </c>
      <c r="K655" s="41">
        <f>J655*(1-IFERROR(VLOOKUP(H655,'enter the discount'!$D$10:$E$40,2,FALSE),0))</f>
        <v>14.371986330227987</v>
      </c>
      <c r="L655" s="43" t="s">
        <v>2549</v>
      </c>
      <c r="M655" t="s">
        <v>856</v>
      </c>
      <c r="N655" t="s">
        <v>935</v>
      </c>
      <c r="O655" t="s">
        <v>2723</v>
      </c>
      <c r="P655">
        <v>20</v>
      </c>
      <c r="Q655">
        <v>420</v>
      </c>
      <c r="R655" t="s">
        <v>2465</v>
      </c>
      <c r="S655"/>
      <c r="T655" s="42" t="str">
        <f>HYPERLINK("https://eprel.ec.europa.eu/qr/NIE DOTYCZY    ")</f>
        <v xml:space="preserve">https://eprel.ec.europa.eu/qr/NIE DOTYCZY    </v>
      </c>
      <c r="U655">
        <v>0.27600000000000002</v>
      </c>
      <c r="V655">
        <v>0.37</v>
      </c>
      <c r="W655">
        <v>145</v>
      </c>
      <c r="X655">
        <v>100</v>
      </c>
      <c r="Y655">
        <v>65</v>
      </c>
    </row>
    <row r="656" spans="1:25" ht="15" x14ac:dyDescent="0.25">
      <c r="A656" t="s">
        <v>23</v>
      </c>
      <c r="B656" t="s">
        <v>39</v>
      </c>
      <c r="C656"/>
      <c r="D656" t="s">
        <v>111</v>
      </c>
      <c r="E656" t="s">
        <v>14</v>
      </c>
      <c r="F656" t="s">
        <v>2199</v>
      </c>
      <c r="G656" t="s">
        <v>397</v>
      </c>
      <c r="H656" t="s">
        <v>884</v>
      </c>
      <c r="I656">
        <v>9.11</v>
      </c>
      <c r="J656" s="41">
        <f>I656/'enter the discount'!$D$7</f>
        <v>2.1323908056738916</v>
      </c>
      <c r="K656" s="41">
        <f>J656*(1-IFERROR(VLOOKUP(H656,'enter the discount'!$D$10:$E$40,2,FALSE),0))</f>
        <v>2.1323908056738916</v>
      </c>
      <c r="L656" s="43" t="s">
        <v>2549</v>
      </c>
      <c r="M656" t="s">
        <v>761</v>
      </c>
      <c r="N656" t="s">
        <v>633</v>
      </c>
      <c r="O656" t="s">
        <v>2723</v>
      </c>
      <c r="P656">
        <v>50</v>
      </c>
      <c r="Q656">
        <v>2800</v>
      </c>
      <c r="R656" t="s">
        <v>2465</v>
      </c>
      <c r="S656" s="42" t="str">
        <f>HYPERLINK("https://sklep.kobi.pl/produkt/pierscien-ozdobny-oh14-bialy")</f>
        <v>https://sklep.kobi.pl/produkt/pierscien-ozdobny-oh14-bialy</v>
      </c>
      <c r="T656" s="42" t="str">
        <f>HYPERLINK("https://eprel.ec.europa.eu/qr/NIE DOTYCZY    ")</f>
        <v xml:space="preserve">https://eprel.ec.europa.eu/qr/NIE DOTYCZY    </v>
      </c>
      <c r="U656">
        <v>3.9E-2</v>
      </c>
      <c r="V656">
        <v>6.3E-2</v>
      </c>
      <c r="W656">
        <v>42</v>
      </c>
      <c r="X656">
        <v>87</v>
      </c>
      <c r="Y656">
        <v>90</v>
      </c>
    </row>
    <row r="657" spans="1:25" ht="15" x14ac:dyDescent="0.25">
      <c r="A657" t="s">
        <v>23</v>
      </c>
      <c r="B657" t="s">
        <v>39</v>
      </c>
      <c r="C657"/>
      <c r="D657" t="s">
        <v>111</v>
      </c>
      <c r="E657" t="s">
        <v>14</v>
      </c>
      <c r="F657" t="s">
        <v>2200</v>
      </c>
      <c r="G657" t="s">
        <v>398</v>
      </c>
      <c r="H657" t="s">
        <v>884</v>
      </c>
      <c r="I657">
        <v>9.94</v>
      </c>
      <c r="J657" s="41">
        <f>I657/'enter the discount'!$D$7</f>
        <v>2.3266700997144327</v>
      </c>
      <c r="K657" s="41">
        <f>J657*(1-IFERROR(VLOOKUP(H657,'enter the discount'!$D$10:$E$40,2,FALSE),0))</f>
        <v>2.3266700997144327</v>
      </c>
      <c r="L657" s="43" t="s">
        <v>2549</v>
      </c>
      <c r="M657" t="s">
        <v>762</v>
      </c>
      <c r="N657" t="s">
        <v>633</v>
      </c>
      <c r="O657" t="s">
        <v>2723</v>
      </c>
      <c r="P657">
        <v>50</v>
      </c>
      <c r="Q657">
        <v>2800</v>
      </c>
      <c r="R657" t="s">
        <v>2465</v>
      </c>
      <c r="S657" s="42" t="str">
        <f>HYPERLINK("https://sklep.kobi.pl/produkt/pierscien-ozdobny-oh14-chrom")</f>
        <v>https://sklep.kobi.pl/produkt/pierscien-ozdobny-oh14-chrom</v>
      </c>
      <c r="T657" s="42" t="str">
        <f>HYPERLINK("https://eprel.ec.europa.eu/qr/NIE DOTYCZY    ")</f>
        <v xml:space="preserve">https://eprel.ec.europa.eu/qr/NIE DOTYCZY    </v>
      </c>
      <c r="U657">
        <v>3.9E-2</v>
      </c>
      <c r="V657">
        <v>6.3E-2</v>
      </c>
      <c r="W657">
        <v>42</v>
      </c>
      <c r="X657">
        <v>87</v>
      </c>
      <c r="Y657">
        <v>90</v>
      </c>
    </row>
    <row r="658" spans="1:25" ht="15" x14ac:dyDescent="0.25">
      <c r="A658" t="s">
        <v>23</v>
      </c>
      <c r="B658" t="s">
        <v>39</v>
      </c>
      <c r="C658"/>
      <c r="D658" t="s">
        <v>111</v>
      </c>
      <c r="E658" t="s">
        <v>14</v>
      </c>
      <c r="F658" t="s">
        <v>2201</v>
      </c>
      <c r="G658" t="s">
        <v>399</v>
      </c>
      <c r="H658" t="s">
        <v>884</v>
      </c>
      <c r="I658">
        <v>9.94</v>
      </c>
      <c r="J658" s="41">
        <f>I658/'enter the discount'!$D$7</f>
        <v>2.3266700997144327</v>
      </c>
      <c r="K658" s="41">
        <f>J658*(1-IFERROR(VLOOKUP(H658,'enter the discount'!$D$10:$E$40,2,FALSE),0))</f>
        <v>2.3266700997144327</v>
      </c>
      <c r="L658" s="43" t="s">
        <v>2549</v>
      </c>
      <c r="M658" t="s">
        <v>763</v>
      </c>
      <c r="N658" t="s">
        <v>633</v>
      </c>
      <c r="O658" t="s">
        <v>2723</v>
      </c>
      <c r="P658">
        <v>50</v>
      </c>
      <c r="Q658">
        <v>2800</v>
      </c>
      <c r="R658" t="s">
        <v>2465</v>
      </c>
      <c r="S658" s="42" t="str">
        <f>HYPERLINK("https://sklep.kobi.pl/produkt/pierscien-ozdobny-oh14-mat-chrom")</f>
        <v>https://sklep.kobi.pl/produkt/pierscien-ozdobny-oh14-mat-chrom</v>
      </c>
      <c r="T658" s="42" t="str">
        <f>HYPERLINK("https://eprel.ec.europa.eu/qr/NIE DOTYCZY    ")</f>
        <v xml:space="preserve">https://eprel.ec.europa.eu/qr/NIE DOTYCZY    </v>
      </c>
      <c r="U658">
        <v>3.9E-2</v>
      </c>
      <c r="V658">
        <v>6.3E-2</v>
      </c>
      <c r="W658">
        <v>42</v>
      </c>
      <c r="X658">
        <v>87</v>
      </c>
      <c r="Y658">
        <v>90</v>
      </c>
    </row>
    <row r="659" spans="1:25" ht="15" x14ac:dyDescent="0.25">
      <c r="A659" t="s">
        <v>23</v>
      </c>
      <c r="B659" t="s">
        <v>39</v>
      </c>
      <c r="C659"/>
      <c r="D659" t="s">
        <v>111</v>
      </c>
      <c r="E659" t="s">
        <v>14</v>
      </c>
      <c r="F659" t="s">
        <v>2202</v>
      </c>
      <c r="G659" t="s">
        <v>900</v>
      </c>
      <c r="H659" t="s">
        <v>884</v>
      </c>
      <c r="I659">
        <v>9.94</v>
      </c>
      <c r="J659" s="41">
        <f>I659/'enter the discount'!$D$7</f>
        <v>2.3266700997144327</v>
      </c>
      <c r="K659" s="41">
        <f>J659*(1-IFERROR(VLOOKUP(H659,'enter the discount'!$D$10:$E$40,2,FALSE),0))</f>
        <v>2.3266700997144327</v>
      </c>
      <c r="L659" s="43" t="s">
        <v>2549</v>
      </c>
      <c r="M659" t="s">
        <v>901</v>
      </c>
      <c r="N659" t="s">
        <v>633</v>
      </c>
      <c r="O659" t="s">
        <v>2723</v>
      </c>
      <c r="P659">
        <v>50</v>
      </c>
      <c r="Q659">
        <v>2800</v>
      </c>
      <c r="R659" t="s">
        <v>2465</v>
      </c>
      <c r="S659" s="42" t="str">
        <f>HYPERLINK("https://sklep.kobi.pl/produkt/pierscien-ozdobny-oh14-mat-czarny")</f>
        <v>https://sklep.kobi.pl/produkt/pierscien-ozdobny-oh14-mat-czarny</v>
      </c>
      <c r="T659" s="42" t="str">
        <f>HYPERLINK("https://eprel.ec.europa.eu/qr/NIE DOTYCZY    ")</f>
        <v xml:space="preserve">https://eprel.ec.europa.eu/qr/NIE DOTYCZY    </v>
      </c>
      <c r="U659">
        <v>3.9E-2</v>
      </c>
      <c r="V659">
        <v>6.3E-2</v>
      </c>
      <c r="W659">
        <v>42</v>
      </c>
      <c r="X659">
        <v>87</v>
      </c>
      <c r="Y659">
        <v>90</v>
      </c>
    </row>
    <row r="660" spans="1:25" ht="15" x14ac:dyDescent="0.25">
      <c r="A660" t="s">
        <v>23</v>
      </c>
      <c r="B660" t="s">
        <v>39</v>
      </c>
      <c r="C660"/>
      <c r="D660" t="s">
        <v>111</v>
      </c>
      <c r="E660" t="s">
        <v>14</v>
      </c>
      <c r="F660" t="s">
        <v>2203</v>
      </c>
      <c r="G660" t="s">
        <v>400</v>
      </c>
      <c r="H660" t="s">
        <v>884</v>
      </c>
      <c r="I660">
        <v>9.94</v>
      </c>
      <c r="J660" s="41">
        <f>I660/'enter the discount'!$D$7</f>
        <v>2.3266700997144327</v>
      </c>
      <c r="K660" s="41">
        <f>J660*(1-IFERROR(VLOOKUP(H660,'enter the discount'!$D$10:$E$40,2,FALSE),0))</f>
        <v>2.3266700997144327</v>
      </c>
      <c r="L660" s="43" t="s">
        <v>2549</v>
      </c>
      <c r="M660" t="s">
        <v>764</v>
      </c>
      <c r="N660" t="s">
        <v>633</v>
      </c>
      <c r="O660" t="s">
        <v>2723</v>
      </c>
      <c r="P660">
        <v>50</v>
      </c>
      <c r="Q660">
        <v>2800</v>
      </c>
      <c r="R660" t="s">
        <v>2465</v>
      </c>
      <c r="S660" s="42" t="str">
        <f>HYPERLINK("https://sklep.kobi.pl/produkt/pierscien-ozdobny-oh14-patyna")</f>
        <v>https://sklep.kobi.pl/produkt/pierscien-ozdobny-oh14-patyna</v>
      </c>
      <c r="T660" s="42" t="str">
        <f>HYPERLINK("https://eprel.ec.europa.eu/qr/NIE DOTYCZY    ")</f>
        <v xml:space="preserve">https://eprel.ec.europa.eu/qr/NIE DOTYCZY    </v>
      </c>
      <c r="U660">
        <v>3.9E-2</v>
      </c>
      <c r="V660">
        <v>6.3E-2</v>
      </c>
      <c r="W660">
        <v>42</v>
      </c>
      <c r="X660">
        <v>87</v>
      </c>
      <c r="Y660">
        <v>90</v>
      </c>
    </row>
    <row r="661" spans="1:25" ht="15" x14ac:dyDescent="0.25">
      <c r="A661" t="s">
        <v>23</v>
      </c>
      <c r="B661" t="s">
        <v>39</v>
      </c>
      <c r="C661"/>
      <c r="D661" t="s">
        <v>111</v>
      </c>
      <c r="E661" t="s">
        <v>14</v>
      </c>
      <c r="F661" t="s">
        <v>2204</v>
      </c>
      <c r="G661" t="s">
        <v>401</v>
      </c>
      <c r="H661" t="s">
        <v>884</v>
      </c>
      <c r="I661">
        <v>21.58</v>
      </c>
      <c r="J661" s="41">
        <f>I661/'enter the discount'!$D$7</f>
        <v>5.0512616450540699</v>
      </c>
      <c r="K661" s="41">
        <f>J661*(1-IFERROR(VLOOKUP(H661,'enter the discount'!$D$10:$E$40,2,FALSE),0))</f>
        <v>5.0512616450540699</v>
      </c>
      <c r="L661" s="43" t="s">
        <v>2549</v>
      </c>
      <c r="M661" t="s">
        <v>765</v>
      </c>
      <c r="N661" t="s">
        <v>633</v>
      </c>
      <c r="O661" t="s">
        <v>2723</v>
      </c>
      <c r="P661">
        <v>100</v>
      </c>
      <c r="Q661">
        <v>4000</v>
      </c>
      <c r="R661" t="s">
        <v>2465</v>
      </c>
      <c r="S661" s="42" t="str">
        <f>HYPERLINK("https://sklep.kobi.pl/produkt/pierscien-ozdobny-oh21-chrom")</f>
        <v>https://sklep.kobi.pl/produkt/pierscien-ozdobny-oh21-chrom</v>
      </c>
      <c r="T661" s="42" t="str">
        <f>HYPERLINK("https://eprel.ec.europa.eu/qr/NIE DOTYCZY    ")</f>
        <v xml:space="preserve">https://eprel.ec.europa.eu/qr/NIE DOTYCZY    </v>
      </c>
      <c r="U661">
        <v>3.2000000000000001E-2</v>
      </c>
      <c r="V661">
        <v>5.5E-2</v>
      </c>
      <c r="W661">
        <v>35</v>
      </c>
      <c r="X661">
        <v>80</v>
      </c>
      <c r="Y661">
        <v>85</v>
      </c>
    </row>
    <row r="662" spans="1:25" ht="15" x14ac:dyDescent="0.25">
      <c r="A662" t="s">
        <v>23</v>
      </c>
      <c r="B662" t="s">
        <v>39</v>
      </c>
      <c r="C662"/>
      <c r="D662" t="s">
        <v>111</v>
      </c>
      <c r="E662" t="s">
        <v>14</v>
      </c>
      <c r="F662" t="s">
        <v>2205</v>
      </c>
      <c r="G662" t="s">
        <v>402</v>
      </c>
      <c r="H662" t="s">
        <v>884</v>
      </c>
      <c r="I662">
        <v>21.58</v>
      </c>
      <c r="J662" s="41">
        <f>I662/'enter the discount'!$D$7</f>
        <v>5.0512616450540699</v>
      </c>
      <c r="K662" s="41">
        <f>J662*(1-IFERROR(VLOOKUP(H662,'enter the discount'!$D$10:$E$40,2,FALSE),0))</f>
        <v>5.0512616450540699</v>
      </c>
      <c r="L662" s="43" t="s">
        <v>2549</v>
      </c>
      <c r="M662" t="s">
        <v>766</v>
      </c>
      <c r="N662" t="s">
        <v>633</v>
      </c>
      <c r="O662" t="s">
        <v>2723</v>
      </c>
      <c r="P662">
        <v>100</v>
      </c>
      <c r="Q662">
        <v>4000</v>
      </c>
      <c r="R662" t="s">
        <v>2465</v>
      </c>
      <c r="S662" s="42" t="str">
        <f>HYPERLINK("https://sklep.kobi.pl/produkt/pierscien-ozdobny-oh21-czarny")</f>
        <v>https://sklep.kobi.pl/produkt/pierscien-ozdobny-oh21-czarny</v>
      </c>
      <c r="T662" s="42" t="str">
        <f>HYPERLINK("https://eprel.ec.europa.eu/qr/NIE DOTYCZY    ")</f>
        <v xml:space="preserve">https://eprel.ec.europa.eu/qr/NIE DOTYCZY    </v>
      </c>
      <c r="U662">
        <v>3.2000000000000001E-2</v>
      </c>
      <c r="V662">
        <v>5.5E-2</v>
      </c>
      <c r="W662">
        <v>34</v>
      </c>
      <c r="X662">
        <v>80</v>
      </c>
      <c r="Y662">
        <v>85</v>
      </c>
    </row>
    <row r="663" spans="1:25" ht="15" x14ac:dyDescent="0.25">
      <c r="A663" t="s">
        <v>23</v>
      </c>
      <c r="B663" t="s">
        <v>39</v>
      </c>
      <c r="C663"/>
      <c r="D663" t="s">
        <v>111</v>
      </c>
      <c r="E663" t="s">
        <v>2722</v>
      </c>
      <c r="F663" t="s">
        <v>2206</v>
      </c>
      <c r="G663" t="s">
        <v>914</v>
      </c>
      <c r="H663" t="s">
        <v>884</v>
      </c>
      <c r="I663">
        <v>14.64</v>
      </c>
      <c r="J663" s="41">
        <f>I663/'enter the discount'!$D$7</f>
        <v>3.4268058611488228</v>
      </c>
      <c r="K663" s="41">
        <f>J663*(1-IFERROR(VLOOKUP(H663,'enter the discount'!$D$10:$E$40,2,FALSE),0))</f>
        <v>3.4268058611488228</v>
      </c>
      <c r="L663" s="43" t="s">
        <v>2549</v>
      </c>
      <c r="M663" t="s">
        <v>915</v>
      </c>
      <c r="N663" t="s">
        <v>633</v>
      </c>
      <c r="O663" t="s">
        <v>2723</v>
      </c>
      <c r="P663">
        <v>50</v>
      </c>
      <c r="Q663">
        <v>2400</v>
      </c>
      <c r="R663" t="s">
        <v>2465</v>
      </c>
      <c r="S663" s="42" t="str">
        <f>HYPERLINK("https://sklep.kobi.pl/produkt/pierscien-ozdobny-oh22-mat-czarny")</f>
        <v>https://sklep.kobi.pl/produkt/pierscien-ozdobny-oh22-mat-czarny</v>
      </c>
      <c r="T663" s="42" t="str">
        <f>HYPERLINK("https://eprel.ec.europa.eu/qr/NIE DOTYCZY    ")</f>
        <v xml:space="preserve">https://eprel.ec.europa.eu/qr/NIE DOTYCZY    </v>
      </c>
      <c r="U663">
        <v>2.9000000000000001E-2</v>
      </c>
      <c r="V663">
        <v>5.8999999999999997E-2</v>
      </c>
      <c r="W663">
        <v>85</v>
      </c>
      <c r="X663">
        <v>85</v>
      </c>
      <c r="Y663">
        <v>45</v>
      </c>
    </row>
    <row r="664" spans="1:25" ht="15" x14ac:dyDescent="0.25">
      <c r="A664" t="s">
        <v>23</v>
      </c>
      <c r="B664" t="s">
        <v>39</v>
      </c>
      <c r="C664"/>
      <c r="D664" t="s">
        <v>111</v>
      </c>
      <c r="E664" t="s">
        <v>2722</v>
      </c>
      <c r="F664" t="s">
        <v>2207</v>
      </c>
      <c r="G664" t="s">
        <v>403</v>
      </c>
      <c r="H664" t="s">
        <v>884</v>
      </c>
      <c r="I664">
        <v>21.58</v>
      </c>
      <c r="J664" s="41">
        <f>I664/'enter the discount'!$D$7</f>
        <v>5.0512616450540699</v>
      </c>
      <c r="K664" s="41">
        <f>J664*(1-IFERROR(VLOOKUP(H664,'enter the discount'!$D$10:$E$40,2,FALSE),0))</f>
        <v>5.0512616450540699</v>
      </c>
      <c r="L664" s="43" t="s">
        <v>2549</v>
      </c>
      <c r="M664" t="s">
        <v>767</v>
      </c>
      <c r="N664" t="s">
        <v>699</v>
      </c>
      <c r="O664" t="s">
        <v>2723</v>
      </c>
      <c r="P664">
        <v>50</v>
      </c>
      <c r="Q664">
        <v>3150</v>
      </c>
      <c r="R664" t="s">
        <v>2465</v>
      </c>
      <c r="S664" s="42" t="str">
        <f>HYPERLINK("https://sklep.kobi.pl/produkt/oprawka-halogenowa-oh26-black")</f>
        <v>https://sklep.kobi.pl/produkt/oprawka-halogenowa-oh26-black</v>
      </c>
      <c r="T664" s="42" t="str">
        <f>HYPERLINK("https://eprel.ec.europa.eu/qr/NIE DOTYCZY    ")</f>
        <v xml:space="preserve">https://eprel.ec.europa.eu/qr/NIE DOTYCZY    </v>
      </c>
      <c r="U664">
        <v>0.126</v>
      </c>
      <c r="V664">
        <v>0.157</v>
      </c>
      <c r="W664">
        <v>105</v>
      </c>
      <c r="X664">
        <v>105</v>
      </c>
      <c r="Y664">
        <v>30</v>
      </c>
    </row>
    <row r="665" spans="1:25" ht="15" x14ac:dyDescent="0.25">
      <c r="A665" t="s">
        <v>23</v>
      </c>
      <c r="B665" t="s">
        <v>39</v>
      </c>
      <c r="C665"/>
      <c r="D665" t="s">
        <v>111</v>
      </c>
      <c r="E665" t="s">
        <v>14</v>
      </c>
      <c r="F665" t="s">
        <v>2208</v>
      </c>
      <c r="G665" t="s">
        <v>404</v>
      </c>
      <c r="H665" t="s">
        <v>884</v>
      </c>
      <c r="I665">
        <v>19.12</v>
      </c>
      <c r="J665" s="41">
        <f>I665/'enter the discount'!$D$7</f>
        <v>4.4754459060905392</v>
      </c>
      <c r="K665" s="41">
        <f>J665*(1-IFERROR(VLOOKUP(H665,'enter the discount'!$D$10:$E$40,2,FALSE),0))</f>
        <v>4.4754459060905392</v>
      </c>
      <c r="L665" s="43" t="s">
        <v>2549</v>
      </c>
      <c r="M665" t="s">
        <v>768</v>
      </c>
      <c r="N665" t="s">
        <v>699</v>
      </c>
      <c r="O665" t="s">
        <v>2723</v>
      </c>
      <c r="P665">
        <v>50</v>
      </c>
      <c r="Q665">
        <v>3150</v>
      </c>
      <c r="R665" t="s">
        <v>2465</v>
      </c>
      <c r="S665" s="42" t="str">
        <f>HYPERLINK("https://sklep.kobi.pl/produkt/pierscien-ozdobny-oh26n-czarny")</f>
        <v>https://sklep.kobi.pl/produkt/pierscien-ozdobny-oh26n-czarny</v>
      </c>
      <c r="T665" s="42" t="str">
        <f>HYPERLINK("https://eprel.ec.europa.eu/qr/NIE DOTYCZY    ")</f>
        <v xml:space="preserve">https://eprel.ec.europa.eu/qr/NIE DOTYCZY    </v>
      </c>
      <c r="U665">
        <v>0.11</v>
      </c>
      <c r="V665">
        <v>0.15</v>
      </c>
      <c r="W665">
        <v>100</v>
      </c>
      <c r="X665">
        <v>100</v>
      </c>
      <c r="Y665">
        <v>30</v>
      </c>
    </row>
    <row r="666" spans="1:25" ht="15" x14ac:dyDescent="0.25">
      <c r="A666" t="s">
        <v>23</v>
      </c>
      <c r="B666" t="s">
        <v>39</v>
      </c>
      <c r="C666"/>
      <c r="D666" t="s">
        <v>111</v>
      </c>
      <c r="E666" t="s">
        <v>14</v>
      </c>
      <c r="F666" t="s">
        <v>2209</v>
      </c>
      <c r="G666" t="s">
        <v>405</v>
      </c>
      <c r="H666" t="s">
        <v>884</v>
      </c>
      <c r="I666">
        <v>19.12</v>
      </c>
      <c r="J666" s="41">
        <f>I666/'enter the discount'!$D$7</f>
        <v>4.4754459060905392</v>
      </c>
      <c r="K666" s="41">
        <f>J666*(1-IFERROR(VLOOKUP(H666,'enter the discount'!$D$10:$E$40,2,FALSE),0))</f>
        <v>4.4754459060905392</v>
      </c>
      <c r="L666" s="43" t="s">
        <v>2549</v>
      </c>
      <c r="M666" t="s">
        <v>769</v>
      </c>
      <c r="N666" t="s">
        <v>699</v>
      </c>
      <c r="O666" t="s">
        <v>2723</v>
      </c>
      <c r="P666">
        <v>50</v>
      </c>
      <c r="Q666">
        <v>3150</v>
      </c>
      <c r="R666" t="s">
        <v>2465</v>
      </c>
      <c r="S666" s="42" t="str">
        <f>HYPERLINK("https://sklep.kobi.pl/produkt/pierscien-ozdobny-oh26n-przezroczysty")</f>
        <v>https://sklep.kobi.pl/produkt/pierscien-ozdobny-oh26n-przezroczysty</v>
      </c>
      <c r="T666" s="42" t="str">
        <f>HYPERLINK("https://eprel.ec.europa.eu/qr/NIE DOTYCZY    ")</f>
        <v xml:space="preserve">https://eprel.ec.europa.eu/qr/NIE DOTYCZY    </v>
      </c>
      <c r="U666">
        <v>0.11</v>
      </c>
      <c r="V666">
        <v>0.14399999999999999</v>
      </c>
      <c r="W666">
        <v>100</v>
      </c>
      <c r="X666">
        <v>100</v>
      </c>
      <c r="Y666">
        <v>30</v>
      </c>
    </row>
    <row r="667" spans="1:25" ht="15" x14ac:dyDescent="0.25">
      <c r="A667" t="s">
        <v>23</v>
      </c>
      <c r="B667" t="s">
        <v>39</v>
      </c>
      <c r="C667"/>
      <c r="D667" t="s">
        <v>111</v>
      </c>
      <c r="E667" t="s">
        <v>2722</v>
      </c>
      <c r="F667" t="s">
        <v>2210</v>
      </c>
      <c r="G667" t="s">
        <v>406</v>
      </c>
      <c r="H667" t="s">
        <v>884</v>
      </c>
      <c r="I667">
        <v>21.58</v>
      </c>
      <c r="J667" s="41">
        <f>I667/'enter the discount'!$D$7</f>
        <v>5.0512616450540699</v>
      </c>
      <c r="K667" s="41">
        <f>J667*(1-IFERROR(VLOOKUP(H667,'enter the discount'!$D$10:$E$40,2,FALSE),0))</f>
        <v>5.0512616450540699</v>
      </c>
      <c r="L667" s="43" t="s">
        <v>2549</v>
      </c>
      <c r="M667" t="s">
        <v>770</v>
      </c>
      <c r="N667" t="s">
        <v>699</v>
      </c>
      <c r="O667" t="s">
        <v>2723</v>
      </c>
      <c r="P667">
        <v>50</v>
      </c>
      <c r="Q667">
        <v>3150</v>
      </c>
      <c r="R667" t="s">
        <v>2465</v>
      </c>
      <c r="S667"/>
      <c r="T667" s="42" t="str">
        <f>HYPERLINK("https://eprel.ec.europa.eu/qr/NIE DOTYCZY    ")</f>
        <v xml:space="preserve">https://eprel.ec.europa.eu/qr/NIE DOTYCZY    </v>
      </c>
      <c r="U667">
        <v>0.13800000000000001</v>
      </c>
      <c r="V667">
        <v>0.18</v>
      </c>
      <c r="W667">
        <v>100</v>
      </c>
      <c r="X667">
        <v>100</v>
      </c>
      <c r="Y667">
        <v>30</v>
      </c>
    </row>
    <row r="668" spans="1:25" ht="15" x14ac:dyDescent="0.25">
      <c r="A668" t="s">
        <v>23</v>
      </c>
      <c r="B668" t="s">
        <v>39</v>
      </c>
      <c r="C668"/>
      <c r="D668" t="s">
        <v>111</v>
      </c>
      <c r="E668" t="s">
        <v>14</v>
      </c>
      <c r="F668" t="s">
        <v>2211</v>
      </c>
      <c r="G668" t="s">
        <v>407</v>
      </c>
      <c r="H668" t="s">
        <v>884</v>
      </c>
      <c r="I668">
        <v>19.12</v>
      </c>
      <c r="J668" s="41">
        <f>I668/'enter the discount'!$D$7</f>
        <v>4.4754459060905392</v>
      </c>
      <c r="K668" s="41">
        <f>J668*(1-IFERROR(VLOOKUP(H668,'enter the discount'!$D$10:$E$40,2,FALSE),0))</f>
        <v>4.4754459060905392</v>
      </c>
      <c r="L668" s="43" t="s">
        <v>2549</v>
      </c>
      <c r="M668" t="s">
        <v>771</v>
      </c>
      <c r="N668" t="s">
        <v>699</v>
      </c>
      <c r="O668" t="s">
        <v>2723</v>
      </c>
      <c r="P668">
        <v>50</v>
      </c>
      <c r="Q668">
        <v>3150</v>
      </c>
      <c r="R668" t="s">
        <v>2465</v>
      </c>
      <c r="S668" s="42" t="str">
        <f>HYPERLINK("https://sklep.kobi.pl/produkt/pierscien-ozdobny-oh27n-czarny")</f>
        <v>https://sklep.kobi.pl/produkt/pierscien-ozdobny-oh27n-czarny</v>
      </c>
      <c r="T668" s="42" t="str">
        <f>HYPERLINK("https://eprel.ec.europa.eu/qr/NIE DOTYCZY    ")</f>
        <v xml:space="preserve">https://eprel.ec.europa.eu/qr/NIE DOTYCZY    </v>
      </c>
      <c r="U668">
        <v>0.14000000000000001</v>
      </c>
      <c r="V668">
        <v>0.18099999999999999</v>
      </c>
      <c r="W668">
        <v>105</v>
      </c>
      <c r="X668">
        <v>100</v>
      </c>
      <c r="Y668">
        <v>30</v>
      </c>
    </row>
    <row r="669" spans="1:25" ht="15" x14ac:dyDescent="0.25">
      <c r="A669" t="s">
        <v>23</v>
      </c>
      <c r="B669" t="s">
        <v>39</v>
      </c>
      <c r="C669"/>
      <c r="D669" t="s">
        <v>111</v>
      </c>
      <c r="E669" t="s">
        <v>14</v>
      </c>
      <c r="F669" t="s">
        <v>2212</v>
      </c>
      <c r="G669" t="s">
        <v>408</v>
      </c>
      <c r="H669" t="s">
        <v>884</v>
      </c>
      <c r="I669">
        <v>19.12</v>
      </c>
      <c r="J669" s="41">
        <f>I669/'enter the discount'!$D$7</f>
        <v>4.4754459060905392</v>
      </c>
      <c r="K669" s="41">
        <f>J669*(1-IFERROR(VLOOKUP(H669,'enter the discount'!$D$10:$E$40,2,FALSE),0))</f>
        <v>4.4754459060905392</v>
      </c>
      <c r="L669" s="43" t="s">
        <v>2549</v>
      </c>
      <c r="M669" t="s">
        <v>772</v>
      </c>
      <c r="N669" t="s">
        <v>699</v>
      </c>
      <c r="O669" t="s">
        <v>2723</v>
      </c>
      <c r="P669">
        <v>50</v>
      </c>
      <c r="Q669">
        <v>3150</v>
      </c>
      <c r="R669" t="s">
        <v>2465</v>
      </c>
      <c r="S669" s="42" t="str">
        <f>HYPERLINK("https://sklep.kobi.pl/produkt/pierscien-ozdobny-oh27n-przezroczysty")</f>
        <v>https://sklep.kobi.pl/produkt/pierscien-ozdobny-oh27n-przezroczysty</v>
      </c>
      <c r="T669" s="42" t="str">
        <f>HYPERLINK("https://eprel.ec.europa.eu/qr/NIE DOTYCZY    ")</f>
        <v xml:space="preserve">https://eprel.ec.europa.eu/qr/NIE DOTYCZY    </v>
      </c>
      <c r="U669">
        <v>0.14000000000000001</v>
      </c>
      <c r="V669">
        <v>0.18099999999999999</v>
      </c>
      <c r="W669">
        <v>105</v>
      </c>
      <c r="X669">
        <v>100</v>
      </c>
      <c r="Y669">
        <v>30</v>
      </c>
    </row>
    <row r="670" spans="1:25" ht="15" x14ac:dyDescent="0.25">
      <c r="A670" t="s">
        <v>23</v>
      </c>
      <c r="B670" t="s">
        <v>39</v>
      </c>
      <c r="C670"/>
      <c r="D670" t="s">
        <v>111</v>
      </c>
      <c r="E670" t="s">
        <v>2722</v>
      </c>
      <c r="F670" t="s">
        <v>2213</v>
      </c>
      <c r="G670" t="s">
        <v>409</v>
      </c>
      <c r="H670" t="s">
        <v>884</v>
      </c>
      <c r="I670">
        <v>38.85</v>
      </c>
      <c r="J670" s="41">
        <f>I670/'enter the discount'!$D$7</f>
        <v>9.0936753897289453</v>
      </c>
      <c r="K670" s="41">
        <f>J670*(1-IFERROR(VLOOKUP(H670,'enter the discount'!$D$10:$E$40,2,FALSE),0))</f>
        <v>9.0936753897289453</v>
      </c>
      <c r="L670" s="43" t="s">
        <v>2549</v>
      </c>
      <c r="M670" t="s">
        <v>773</v>
      </c>
      <c r="N670" t="s">
        <v>633</v>
      </c>
      <c r="O670" t="s">
        <v>2723</v>
      </c>
      <c r="P670">
        <v>50</v>
      </c>
      <c r="Q670">
        <v>2000</v>
      </c>
      <c r="R670" t="s">
        <v>2465</v>
      </c>
      <c r="S670" s="42" t="str">
        <f>HYPERLINK("https://sklep.kobi.pl/produkt/pierscien-ozdobny-oh34-chrom")</f>
        <v>https://sklep.kobi.pl/produkt/pierscien-ozdobny-oh34-chrom</v>
      </c>
      <c r="T670" s="42" t="str">
        <f>HYPERLINK("https://eprel.ec.europa.eu/qr/NIE DOTYCZY    ")</f>
        <v xml:space="preserve">https://eprel.ec.europa.eu/qr/NIE DOTYCZY    </v>
      </c>
      <c r="U670">
        <v>0.11899999999999999</v>
      </c>
      <c r="V670">
        <v>0.14699999999999999</v>
      </c>
      <c r="W670">
        <v>50</v>
      </c>
      <c r="X670">
        <v>87</v>
      </c>
      <c r="Y670">
        <v>87</v>
      </c>
    </row>
    <row r="671" spans="1:25" ht="15" x14ac:dyDescent="0.25">
      <c r="A671" t="s">
        <v>23</v>
      </c>
      <c r="B671" t="s">
        <v>39</v>
      </c>
      <c r="C671"/>
      <c r="D671" t="s">
        <v>111</v>
      </c>
      <c r="E671" t="s">
        <v>14</v>
      </c>
      <c r="F671" t="s">
        <v>2214</v>
      </c>
      <c r="G671" t="s">
        <v>410</v>
      </c>
      <c r="H671" t="s">
        <v>884</v>
      </c>
      <c r="I671">
        <v>38.85</v>
      </c>
      <c r="J671" s="41">
        <f>I671/'enter the discount'!$D$7</f>
        <v>9.0936753897289453</v>
      </c>
      <c r="K671" s="41">
        <f>J671*(1-IFERROR(VLOOKUP(H671,'enter the discount'!$D$10:$E$40,2,FALSE),0))</f>
        <v>9.0936753897289453</v>
      </c>
      <c r="L671" s="43" t="s">
        <v>2549</v>
      </c>
      <c r="M671" t="s">
        <v>774</v>
      </c>
      <c r="N671" t="s">
        <v>633</v>
      </c>
      <c r="O671" t="s">
        <v>2723</v>
      </c>
      <c r="P671">
        <v>50</v>
      </c>
      <c r="Q671">
        <v>2000</v>
      </c>
      <c r="R671" t="s">
        <v>2465</v>
      </c>
      <c r="S671" s="42" t="str">
        <f>HYPERLINK("https://sklep.kobi.pl/produkt/pierscien-ozdobny-oh34-mat-chrom")</f>
        <v>https://sklep.kobi.pl/produkt/pierscien-ozdobny-oh34-mat-chrom</v>
      </c>
      <c r="T671" s="42" t="str">
        <f>HYPERLINK("https://eprel.ec.europa.eu/qr/NIE DOTYCZY    ")</f>
        <v xml:space="preserve">https://eprel.ec.europa.eu/qr/NIE DOTYCZY    </v>
      </c>
      <c r="U671">
        <v>0.11899999999999999</v>
      </c>
      <c r="V671">
        <v>0.14699999999999999</v>
      </c>
      <c r="W671">
        <v>50</v>
      </c>
      <c r="X671">
        <v>87</v>
      </c>
      <c r="Y671">
        <v>87</v>
      </c>
    </row>
    <row r="672" spans="1:25" ht="15" x14ac:dyDescent="0.25">
      <c r="A672" t="s">
        <v>23</v>
      </c>
      <c r="B672" t="s">
        <v>39</v>
      </c>
      <c r="C672"/>
      <c r="D672" t="s">
        <v>111</v>
      </c>
      <c r="E672" t="s">
        <v>14</v>
      </c>
      <c r="F672" t="s">
        <v>2215</v>
      </c>
      <c r="G672" t="s">
        <v>916</v>
      </c>
      <c r="H672" t="s">
        <v>884</v>
      </c>
      <c r="I672">
        <v>38.85</v>
      </c>
      <c r="J672" s="41">
        <f>I672/'enter the discount'!$D$7</f>
        <v>9.0936753897289453</v>
      </c>
      <c r="K672" s="41">
        <f>J672*(1-IFERROR(VLOOKUP(H672,'enter the discount'!$D$10:$E$40,2,FALSE),0))</f>
        <v>9.0936753897289453</v>
      </c>
      <c r="L672" s="43" t="s">
        <v>2549</v>
      </c>
      <c r="M672" t="s">
        <v>917</v>
      </c>
      <c r="N672" t="s">
        <v>633</v>
      </c>
      <c r="O672" t="s">
        <v>2723</v>
      </c>
      <c r="P672">
        <v>50</v>
      </c>
      <c r="Q672">
        <v>2000</v>
      </c>
      <c r="R672" t="s">
        <v>2465</v>
      </c>
      <c r="S672" s="42" t="str">
        <f>HYPERLINK("https://sklep.kobi.pl/produkt/pierscien-ozdobny-oh34-mat-czarny")</f>
        <v>https://sklep.kobi.pl/produkt/pierscien-ozdobny-oh34-mat-czarny</v>
      </c>
      <c r="T672" s="42" t="str">
        <f>HYPERLINK("https://eprel.ec.europa.eu/qr/NIE DOTYCZY    ")</f>
        <v xml:space="preserve">https://eprel.ec.europa.eu/qr/NIE DOTYCZY    </v>
      </c>
      <c r="U672">
        <v>0.11899999999999999</v>
      </c>
      <c r="V672">
        <v>0.14699999999999999</v>
      </c>
      <c r="W672">
        <v>85</v>
      </c>
      <c r="X672">
        <v>85</v>
      </c>
      <c r="Y672">
        <v>35</v>
      </c>
    </row>
    <row r="673" spans="1:25" ht="15" x14ac:dyDescent="0.25">
      <c r="A673" t="s">
        <v>23</v>
      </c>
      <c r="B673" t="s">
        <v>39</v>
      </c>
      <c r="C673"/>
      <c r="D673" t="s">
        <v>111</v>
      </c>
      <c r="E673" t="s">
        <v>2722</v>
      </c>
      <c r="F673" t="s">
        <v>2216</v>
      </c>
      <c r="G673" t="s">
        <v>411</v>
      </c>
      <c r="H673" t="s">
        <v>884</v>
      </c>
      <c r="I673">
        <v>30.87</v>
      </c>
      <c r="J673" s="41">
        <f>I673/'enter the discount'!$D$7</f>
        <v>7.2257853096765139</v>
      </c>
      <c r="K673" s="41">
        <f>J673*(1-IFERROR(VLOOKUP(H673,'enter the discount'!$D$10:$E$40,2,FALSE),0))</f>
        <v>7.2257853096765139</v>
      </c>
      <c r="L673" s="43" t="s">
        <v>2549</v>
      </c>
      <c r="M673" t="s">
        <v>775</v>
      </c>
      <c r="N673" t="s">
        <v>633</v>
      </c>
      <c r="O673" t="s">
        <v>2723</v>
      </c>
      <c r="P673">
        <v>50</v>
      </c>
      <c r="Q673">
        <v>0</v>
      </c>
      <c r="R673" t="s">
        <v>2465</v>
      </c>
      <c r="S673" s="42" t="str">
        <f>HYPERLINK("https://sklep.kobi.pl/produkt/pierscien-ozdobny-oh35-bialy")</f>
        <v>https://sklep.kobi.pl/produkt/pierscien-ozdobny-oh35-bialy</v>
      </c>
      <c r="T673" s="42" t="str">
        <f>HYPERLINK("https://eprel.ec.europa.eu/qr/NIE DOTYCZY    ")</f>
        <v xml:space="preserve">https://eprel.ec.europa.eu/qr/NIE DOTYCZY    </v>
      </c>
      <c r="U673">
        <v>0.155</v>
      </c>
      <c r="V673">
        <v>0.19500000000000001</v>
      </c>
      <c r="W673">
        <v>50</v>
      </c>
      <c r="X673">
        <v>106</v>
      </c>
      <c r="Y673">
        <v>87</v>
      </c>
    </row>
    <row r="674" spans="1:25" ht="15" x14ac:dyDescent="0.25">
      <c r="A674" t="s">
        <v>23</v>
      </c>
      <c r="B674" t="s">
        <v>39</v>
      </c>
      <c r="C674"/>
      <c r="D674" t="s">
        <v>111</v>
      </c>
      <c r="E674" t="s">
        <v>2722</v>
      </c>
      <c r="F674" t="s">
        <v>2217</v>
      </c>
      <c r="G674" t="s">
        <v>412</v>
      </c>
      <c r="H674" t="s">
        <v>884</v>
      </c>
      <c r="I674">
        <v>30.87</v>
      </c>
      <c r="J674" s="41">
        <f>I674/'enter the discount'!$D$7</f>
        <v>7.2257853096765139</v>
      </c>
      <c r="K674" s="41">
        <f>J674*(1-IFERROR(VLOOKUP(H674,'enter the discount'!$D$10:$E$40,2,FALSE),0))</f>
        <v>7.2257853096765139</v>
      </c>
      <c r="L674" s="43" t="s">
        <v>2549</v>
      </c>
      <c r="M674" t="s">
        <v>776</v>
      </c>
      <c r="N674" t="s">
        <v>633</v>
      </c>
      <c r="O674" t="s">
        <v>2723</v>
      </c>
      <c r="P674">
        <v>50</v>
      </c>
      <c r="Q674">
        <v>0</v>
      </c>
      <c r="R674" t="s">
        <v>2465</v>
      </c>
      <c r="S674"/>
      <c r="T674" s="42" t="str">
        <f>HYPERLINK("https://eprel.ec.europa.eu/qr/NIE DOTYCZY    ")</f>
        <v xml:space="preserve">https://eprel.ec.europa.eu/qr/NIE DOTYCZY    </v>
      </c>
      <c r="U674">
        <v>0.155</v>
      </c>
      <c r="V674">
        <v>0.19500000000000001</v>
      </c>
      <c r="W674">
        <v>50</v>
      </c>
      <c r="X674">
        <v>106</v>
      </c>
      <c r="Y674">
        <v>93</v>
      </c>
    </row>
    <row r="675" spans="1:25" ht="15" x14ac:dyDescent="0.25">
      <c r="A675" t="s">
        <v>23</v>
      </c>
      <c r="B675" t="s">
        <v>39</v>
      </c>
      <c r="C675"/>
      <c r="D675" t="s">
        <v>111</v>
      </c>
      <c r="E675" t="s">
        <v>2722</v>
      </c>
      <c r="F675" t="s">
        <v>2218</v>
      </c>
      <c r="G675" t="s">
        <v>413</v>
      </c>
      <c r="H675" t="s">
        <v>884</v>
      </c>
      <c r="I675">
        <v>33.450000000000003</v>
      </c>
      <c r="J675" s="41">
        <f>I675/'enter the discount'!$D$7</f>
        <v>7.8296896212724132</v>
      </c>
      <c r="K675" s="41">
        <f>J675*(1-IFERROR(VLOOKUP(H675,'enter the discount'!$D$10:$E$40,2,FALSE),0))</f>
        <v>7.8296896212724132</v>
      </c>
      <c r="L675" s="43" t="s">
        <v>2549</v>
      </c>
      <c r="M675" t="s">
        <v>777</v>
      </c>
      <c r="N675" t="s">
        <v>699</v>
      </c>
      <c r="O675" t="s">
        <v>2723</v>
      </c>
      <c r="P675">
        <v>30</v>
      </c>
      <c r="Q675">
        <v>3150</v>
      </c>
      <c r="R675" t="s">
        <v>2465</v>
      </c>
      <c r="S675" s="42" t="str">
        <f>HYPERLINK("https://sklep.kobi.pl/produkt/pierscien-ozdobny-oh49-czarny")</f>
        <v>https://sklep.kobi.pl/produkt/pierscien-ozdobny-oh49-czarny</v>
      </c>
      <c r="T675" s="42" t="str">
        <f>HYPERLINK("https://eprel.ec.europa.eu/qr/NIE DOTYCZY    ")</f>
        <v xml:space="preserve">https://eprel.ec.europa.eu/qr/NIE DOTYCZY    </v>
      </c>
      <c r="U675">
        <v>0.192</v>
      </c>
      <c r="V675">
        <v>0.221</v>
      </c>
      <c r="W675">
        <v>44</v>
      </c>
      <c r="X675">
        <v>100</v>
      </c>
      <c r="Y675">
        <v>103</v>
      </c>
    </row>
    <row r="676" spans="1:25" ht="15" x14ac:dyDescent="0.25">
      <c r="A676" t="s">
        <v>23</v>
      </c>
      <c r="B676" t="s">
        <v>39</v>
      </c>
      <c r="C676"/>
      <c r="D676" t="s">
        <v>111</v>
      </c>
      <c r="E676" t="s">
        <v>2722</v>
      </c>
      <c r="F676" t="s">
        <v>2219</v>
      </c>
      <c r="G676" t="s">
        <v>414</v>
      </c>
      <c r="H676" t="s">
        <v>884</v>
      </c>
      <c r="I676">
        <v>33.450000000000003</v>
      </c>
      <c r="J676" s="41">
        <f>I676/'enter the discount'!$D$7</f>
        <v>7.8296896212724132</v>
      </c>
      <c r="K676" s="41">
        <f>J676*(1-IFERROR(VLOOKUP(H676,'enter the discount'!$D$10:$E$40,2,FALSE),0))</f>
        <v>7.8296896212724132</v>
      </c>
      <c r="L676" s="43" t="s">
        <v>2549</v>
      </c>
      <c r="M676" t="s">
        <v>778</v>
      </c>
      <c r="N676" t="s">
        <v>699</v>
      </c>
      <c r="O676" t="s">
        <v>2723</v>
      </c>
      <c r="P676">
        <v>30</v>
      </c>
      <c r="Q676">
        <v>3150</v>
      </c>
      <c r="R676" t="s">
        <v>2465</v>
      </c>
      <c r="S676" s="42" t="str">
        <f>HYPERLINK("https://sklep.kobi.pl/produkt/pierscien-ozdobny-oh49-przezroczysty")</f>
        <v>https://sklep.kobi.pl/produkt/pierscien-ozdobny-oh49-przezroczysty</v>
      </c>
      <c r="T676" s="42" t="str">
        <f>HYPERLINK("https://eprel.ec.europa.eu/qr/NIE DOTYCZY    ")</f>
        <v xml:space="preserve">https://eprel.ec.europa.eu/qr/NIE DOTYCZY    </v>
      </c>
      <c r="U676">
        <v>0.192</v>
      </c>
      <c r="V676">
        <v>0.221</v>
      </c>
      <c r="W676">
        <v>44</v>
      </c>
      <c r="X676">
        <v>100</v>
      </c>
      <c r="Y676">
        <v>103</v>
      </c>
    </row>
    <row r="677" spans="1:25" ht="15" x14ac:dyDescent="0.25">
      <c r="A677" t="s">
        <v>23</v>
      </c>
      <c r="B677" t="s">
        <v>39</v>
      </c>
      <c r="C677"/>
      <c r="D677" t="s">
        <v>111</v>
      </c>
      <c r="E677" t="s">
        <v>2722</v>
      </c>
      <c r="F677" t="s">
        <v>2220</v>
      </c>
      <c r="G677" t="s">
        <v>415</v>
      </c>
      <c r="H677" t="s">
        <v>884</v>
      </c>
      <c r="I677">
        <v>31.93</v>
      </c>
      <c r="J677" s="41">
        <f>I677/'enter the discount'!$D$7</f>
        <v>7.4739010345957588</v>
      </c>
      <c r="K677" s="41">
        <f>J677*(1-IFERROR(VLOOKUP(H677,'enter the discount'!$D$10:$E$40,2,FALSE),0))</f>
        <v>7.4739010345957588</v>
      </c>
      <c r="L677" s="43" t="s">
        <v>478</v>
      </c>
      <c r="M677" t="s">
        <v>779</v>
      </c>
      <c r="N677" t="s">
        <v>699</v>
      </c>
      <c r="O677" t="s">
        <v>2723</v>
      </c>
      <c r="P677">
        <v>50</v>
      </c>
      <c r="Q677">
        <v>0</v>
      </c>
      <c r="R677" t="s">
        <v>2465</v>
      </c>
      <c r="S677" s="42" t="str">
        <f>HYPERLINK("https://sklep.kobi.pl/produkt/pierscien-ozdobny-oh51-czarny")</f>
        <v>https://sklep.kobi.pl/produkt/pierscien-ozdobny-oh51-czarny</v>
      </c>
      <c r="T677" t="s">
        <v>14</v>
      </c>
      <c r="U677">
        <v>0.14099999999999999</v>
      </c>
      <c r="V677">
        <v>0.16800000000000001</v>
      </c>
      <c r="W677">
        <v>105</v>
      </c>
      <c r="X677">
        <v>100</v>
      </c>
      <c r="Y677">
        <v>30</v>
      </c>
    </row>
    <row r="678" spans="1:25" ht="15" x14ac:dyDescent="0.25">
      <c r="A678" t="s">
        <v>23</v>
      </c>
      <c r="B678" t="s">
        <v>39</v>
      </c>
      <c r="C678"/>
      <c r="D678" t="s">
        <v>111</v>
      </c>
      <c r="E678" t="s">
        <v>2722</v>
      </c>
      <c r="F678" t="s">
        <v>2221</v>
      </c>
      <c r="G678" t="s">
        <v>416</v>
      </c>
      <c r="H678" t="s">
        <v>884</v>
      </c>
      <c r="I678">
        <v>31.93</v>
      </c>
      <c r="J678" s="41">
        <f>I678/'enter the discount'!$D$7</f>
        <v>7.4739010345957588</v>
      </c>
      <c r="K678" s="41">
        <f>J678*(1-IFERROR(VLOOKUP(H678,'enter the discount'!$D$10:$E$40,2,FALSE),0))</f>
        <v>7.4739010345957588</v>
      </c>
      <c r="L678" s="43" t="s">
        <v>478</v>
      </c>
      <c r="M678" t="s">
        <v>780</v>
      </c>
      <c r="N678" t="s">
        <v>699</v>
      </c>
      <c r="O678" t="s">
        <v>2723</v>
      </c>
      <c r="P678">
        <v>50</v>
      </c>
      <c r="Q678">
        <v>0</v>
      </c>
      <c r="R678" t="s">
        <v>2465</v>
      </c>
      <c r="S678" s="42" t="str">
        <f>HYPERLINK("https://sklep.kobi.pl/produkt/pierscien-ozdobny-oh51-przezroczysty")</f>
        <v>https://sklep.kobi.pl/produkt/pierscien-ozdobny-oh51-przezroczysty</v>
      </c>
      <c r="T678" t="s">
        <v>14</v>
      </c>
      <c r="U678">
        <v>0.14099999999999999</v>
      </c>
      <c r="V678">
        <v>0.16800000000000001</v>
      </c>
      <c r="W678">
        <v>105</v>
      </c>
      <c r="X678">
        <v>100</v>
      </c>
      <c r="Y678">
        <v>30</v>
      </c>
    </row>
    <row r="679" spans="1:25" ht="15" x14ac:dyDescent="0.25">
      <c r="A679" t="s">
        <v>23</v>
      </c>
      <c r="B679" t="s">
        <v>39</v>
      </c>
      <c r="C679" t="s">
        <v>48</v>
      </c>
      <c r="D679" t="s">
        <v>111</v>
      </c>
      <c r="E679" t="s">
        <v>14</v>
      </c>
      <c r="F679" t="s">
        <v>2222</v>
      </c>
      <c r="G679" t="s">
        <v>417</v>
      </c>
      <c r="H679" t="s">
        <v>884</v>
      </c>
      <c r="I679">
        <v>12.24</v>
      </c>
      <c r="J679" s="41">
        <f>I679/'enter the discount'!$D$7</f>
        <v>2.8650344085014749</v>
      </c>
      <c r="K679" s="41">
        <f>J679*(1-IFERROR(VLOOKUP(H679,'enter the discount'!$D$10:$E$40,2,FALSE),0))</f>
        <v>2.8650344085014749</v>
      </c>
      <c r="L679" s="43" t="s">
        <v>2549</v>
      </c>
      <c r="M679" t="s">
        <v>781</v>
      </c>
      <c r="N679" t="s">
        <v>633</v>
      </c>
      <c r="O679" t="s">
        <v>2723</v>
      </c>
      <c r="P679">
        <v>50</v>
      </c>
      <c r="Q679">
        <v>2450</v>
      </c>
      <c r="R679" t="s">
        <v>2465</v>
      </c>
      <c r="S679" s="42" t="str">
        <f>HYPERLINK("https://sklep.kobi.pl/produkt/pierscien-ozdobny-oh15-bialy")</f>
        <v>https://sklep.kobi.pl/produkt/pierscien-ozdobny-oh15-bialy</v>
      </c>
      <c r="T679" s="42" t="str">
        <f>HYPERLINK("https://eprel.ec.europa.eu/qr/NIE DOTYCZY    ")</f>
        <v xml:space="preserve">https://eprel.ec.europa.eu/qr/NIE DOTYCZY    </v>
      </c>
      <c r="U679">
        <v>7.6999999999999999E-2</v>
      </c>
      <c r="V679">
        <v>0.10100000000000001</v>
      </c>
      <c r="W679">
        <v>100</v>
      </c>
      <c r="X679">
        <v>100</v>
      </c>
      <c r="Y679">
        <v>40</v>
      </c>
    </row>
    <row r="680" spans="1:25" ht="15" x14ac:dyDescent="0.25">
      <c r="A680" t="s">
        <v>23</v>
      </c>
      <c r="B680" t="s">
        <v>39</v>
      </c>
      <c r="C680" t="s">
        <v>48</v>
      </c>
      <c r="D680" t="s">
        <v>111</v>
      </c>
      <c r="E680" t="s">
        <v>14</v>
      </c>
      <c r="F680" t="s">
        <v>2223</v>
      </c>
      <c r="G680" t="s">
        <v>418</v>
      </c>
      <c r="H680" t="s">
        <v>884</v>
      </c>
      <c r="I680">
        <v>13.82</v>
      </c>
      <c r="J680" s="41">
        <f>I680/'enter the discount'!$D$7</f>
        <v>3.2348672814943122</v>
      </c>
      <c r="K680" s="41">
        <f>J680*(1-IFERROR(VLOOKUP(H680,'enter the discount'!$D$10:$E$40,2,FALSE),0))</f>
        <v>3.2348672814943122</v>
      </c>
      <c r="L680" s="43" t="s">
        <v>2549</v>
      </c>
      <c r="M680" t="s">
        <v>782</v>
      </c>
      <c r="N680" t="s">
        <v>633</v>
      </c>
      <c r="O680" t="s">
        <v>2723</v>
      </c>
      <c r="P680">
        <v>50</v>
      </c>
      <c r="Q680">
        <v>2450</v>
      </c>
      <c r="R680" t="s">
        <v>2465</v>
      </c>
      <c r="S680" s="42" t="str">
        <f>HYPERLINK("https://sklep.kobi.pl/produkt/pierscien-ozdobny-oh15-chrom")</f>
        <v>https://sklep.kobi.pl/produkt/pierscien-ozdobny-oh15-chrom</v>
      </c>
      <c r="T680" s="42" t="str">
        <f>HYPERLINK("https://eprel.ec.europa.eu/qr/NIE DOTYCZY    ")</f>
        <v xml:space="preserve">https://eprel.ec.europa.eu/qr/NIE DOTYCZY    </v>
      </c>
      <c r="U680">
        <v>7.6999999999999999E-2</v>
      </c>
      <c r="V680">
        <v>0.10100000000000001</v>
      </c>
      <c r="W680">
        <v>100</v>
      </c>
      <c r="X680">
        <v>100</v>
      </c>
      <c r="Y680">
        <v>40</v>
      </c>
    </row>
    <row r="681" spans="1:25" ht="15" x14ac:dyDescent="0.25">
      <c r="A681" t="s">
        <v>23</v>
      </c>
      <c r="B681" t="s">
        <v>39</v>
      </c>
      <c r="C681" t="s">
        <v>48</v>
      </c>
      <c r="D681" t="s">
        <v>111</v>
      </c>
      <c r="E681" t="s">
        <v>2722</v>
      </c>
      <c r="F681" t="s">
        <v>2224</v>
      </c>
      <c r="G681" t="s">
        <v>419</v>
      </c>
      <c r="H681" t="s">
        <v>884</v>
      </c>
      <c r="I681">
        <v>13.82</v>
      </c>
      <c r="J681" s="41">
        <f>I681/'enter the discount'!$D$7</f>
        <v>3.2348672814943122</v>
      </c>
      <c r="K681" s="41">
        <f>J681*(1-IFERROR(VLOOKUP(H681,'enter the discount'!$D$10:$E$40,2,FALSE),0))</f>
        <v>3.2348672814943122</v>
      </c>
      <c r="L681" s="43" t="s">
        <v>2549</v>
      </c>
      <c r="M681" t="s">
        <v>783</v>
      </c>
      <c r="N681" t="s">
        <v>633</v>
      </c>
      <c r="O681" t="s">
        <v>2723</v>
      </c>
      <c r="P681">
        <v>50</v>
      </c>
      <c r="Q681">
        <v>2450</v>
      </c>
      <c r="R681" t="s">
        <v>2465</v>
      </c>
      <c r="S681" s="42" t="str">
        <f>HYPERLINK("https://sklep.kobi.pl/produkt/pierscien-ozdobny-oh15-grafit")</f>
        <v>https://sklep.kobi.pl/produkt/pierscien-ozdobny-oh15-grafit</v>
      </c>
      <c r="T681" s="42" t="str">
        <f>HYPERLINK("https://eprel.ec.europa.eu/qr/NIE DOTYCZY    ")</f>
        <v xml:space="preserve">https://eprel.ec.europa.eu/qr/NIE DOTYCZY    </v>
      </c>
      <c r="U681">
        <v>7.6999999999999999E-2</v>
      </c>
      <c r="V681">
        <v>0.10100000000000001</v>
      </c>
      <c r="W681">
        <v>100</v>
      </c>
      <c r="X681">
        <v>100</v>
      </c>
      <c r="Y681">
        <v>40</v>
      </c>
    </row>
    <row r="682" spans="1:25" ht="15" x14ac:dyDescent="0.25">
      <c r="A682" t="s">
        <v>23</v>
      </c>
      <c r="B682" t="s">
        <v>39</v>
      </c>
      <c r="C682" t="s">
        <v>48</v>
      </c>
      <c r="D682" t="s">
        <v>111</v>
      </c>
      <c r="E682" t="s">
        <v>14</v>
      </c>
      <c r="F682" t="s">
        <v>2225</v>
      </c>
      <c r="G682" t="s">
        <v>420</v>
      </c>
      <c r="H682" t="s">
        <v>884</v>
      </c>
      <c r="I682">
        <v>13.82</v>
      </c>
      <c r="J682" s="41">
        <f>I682/'enter the discount'!$D$7</f>
        <v>3.2348672814943122</v>
      </c>
      <c r="K682" s="41">
        <f>J682*(1-IFERROR(VLOOKUP(H682,'enter the discount'!$D$10:$E$40,2,FALSE),0))</f>
        <v>3.2348672814943122</v>
      </c>
      <c r="L682" s="43" t="s">
        <v>2549</v>
      </c>
      <c r="M682" t="s">
        <v>784</v>
      </c>
      <c r="N682" t="s">
        <v>633</v>
      </c>
      <c r="O682" t="s">
        <v>2723</v>
      </c>
      <c r="P682">
        <v>50</v>
      </c>
      <c r="Q682">
        <v>2450</v>
      </c>
      <c r="R682" t="s">
        <v>2465</v>
      </c>
      <c r="S682" s="42" t="str">
        <f>HYPERLINK("https://sklep.kobi.pl/produkt/pierscien-ozdobny-oh15-mat-chrom")</f>
        <v>https://sklep.kobi.pl/produkt/pierscien-ozdobny-oh15-mat-chrom</v>
      </c>
      <c r="T682" s="42" t="str">
        <f>HYPERLINK("https://eprel.ec.europa.eu/qr/NIE DOTYCZY    ")</f>
        <v xml:space="preserve">https://eprel.ec.europa.eu/qr/NIE DOTYCZY    </v>
      </c>
      <c r="U682">
        <v>7.6999999999999999E-2</v>
      </c>
      <c r="V682">
        <v>0.10100000000000001</v>
      </c>
      <c r="W682">
        <v>100</v>
      </c>
      <c r="X682">
        <v>100</v>
      </c>
      <c r="Y682">
        <v>40</v>
      </c>
    </row>
    <row r="683" spans="1:25" ht="15" x14ac:dyDescent="0.25">
      <c r="A683" t="s">
        <v>23</v>
      </c>
      <c r="B683" t="s">
        <v>39</v>
      </c>
      <c r="C683" t="s">
        <v>48</v>
      </c>
      <c r="D683" t="s">
        <v>111</v>
      </c>
      <c r="E683" t="s">
        <v>14</v>
      </c>
      <c r="F683" t="s">
        <v>2226</v>
      </c>
      <c r="G683" t="s">
        <v>902</v>
      </c>
      <c r="H683" t="s">
        <v>884</v>
      </c>
      <c r="I683">
        <v>13.82</v>
      </c>
      <c r="J683" s="41">
        <f>I683/'enter the discount'!$D$7</f>
        <v>3.2348672814943122</v>
      </c>
      <c r="K683" s="41">
        <f>J683*(1-IFERROR(VLOOKUP(H683,'enter the discount'!$D$10:$E$40,2,FALSE),0))</f>
        <v>3.2348672814943122</v>
      </c>
      <c r="L683" s="43" t="s">
        <v>2549</v>
      </c>
      <c r="M683" t="s">
        <v>903</v>
      </c>
      <c r="N683" t="s">
        <v>633</v>
      </c>
      <c r="O683" t="s">
        <v>2723</v>
      </c>
      <c r="P683">
        <v>50</v>
      </c>
      <c r="Q683">
        <v>0</v>
      </c>
      <c r="R683" t="s">
        <v>14</v>
      </c>
      <c r="S683" s="42" t="str">
        <f>HYPERLINK("https://sklep.kobi.pl/produkt/pierscien-ozdobny-oh15-mat-czarny")</f>
        <v>https://sklep.kobi.pl/produkt/pierscien-ozdobny-oh15-mat-czarny</v>
      </c>
      <c r="T683" s="42" t="str">
        <f>HYPERLINK("https://eprel.ec.europa.eu/qr/NIE DOTYCZY    ")</f>
        <v xml:space="preserve">https://eprel.ec.europa.eu/qr/NIE DOTYCZY    </v>
      </c>
      <c r="U683">
        <v>7.6999999999999999E-2</v>
      </c>
      <c r="V683">
        <v>0.10100000000000001</v>
      </c>
      <c r="W683">
        <v>100</v>
      </c>
      <c r="X683">
        <v>100</v>
      </c>
      <c r="Y683">
        <v>40</v>
      </c>
    </row>
    <row r="684" spans="1:25" ht="15" x14ac:dyDescent="0.25">
      <c r="A684" t="s">
        <v>23</v>
      </c>
      <c r="B684" t="s">
        <v>39</v>
      </c>
      <c r="C684" t="s">
        <v>48</v>
      </c>
      <c r="D684" t="s">
        <v>111</v>
      </c>
      <c r="E684" t="s">
        <v>14</v>
      </c>
      <c r="F684" t="s">
        <v>2227</v>
      </c>
      <c r="G684" t="s">
        <v>421</v>
      </c>
      <c r="H684" t="s">
        <v>884</v>
      </c>
      <c r="I684">
        <v>13.82</v>
      </c>
      <c r="J684" s="41">
        <f>I684/'enter the discount'!$D$7</f>
        <v>3.2348672814943122</v>
      </c>
      <c r="K684" s="41">
        <f>J684*(1-IFERROR(VLOOKUP(H684,'enter the discount'!$D$10:$E$40,2,FALSE),0))</f>
        <v>3.2348672814943122</v>
      </c>
      <c r="L684" s="43" t="s">
        <v>2549</v>
      </c>
      <c r="M684" t="s">
        <v>785</v>
      </c>
      <c r="N684" t="s">
        <v>633</v>
      </c>
      <c r="O684" t="s">
        <v>2723</v>
      </c>
      <c r="P684">
        <v>50</v>
      </c>
      <c r="Q684">
        <v>2450</v>
      </c>
      <c r="R684" t="s">
        <v>2465</v>
      </c>
      <c r="S684" s="42" t="str">
        <f>HYPERLINK("https://sklep.kobi.pl/produkt/pierscien-ozdobny-oh15-patyna")</f>
        <v>https://sklep.kobi.pl/produkt/pierscien-ozdobny-oh15-patyna</v>
      </c>
      <c r="T684" s="42" t="str">
        <f>HYPERLINK("https://eprel.ec.europa.eu/qr/NIE DOTYCZY    ")</f>
        <v xml:space="preserve">https://eprel.ec.europa.eu/qr/NIE DOTYCZY    </v>
      </c>
      <c r="U684">
        <v>7.6999999999999999E-2</v>
      </c>
      <c r="V684">
        <v>0.10100000000000001</v>
      </c>
      <c r="W684">
        <v>100</v>
      </c>
      <c r="X684">
        <v>100</v>
      </c>
      <c r="Y684">
        <v>40</v>
      </c>
    </row>
    <row r="685" spans="1:25" ht="15" x14ac:dyDescent="0.25">
      <c r="A685" t="s">
        <v>23</v>
      </c>
      <c r="B685" t="s">
        <v>39</v>
      </c>
      <c r="C685" t="s">
        <v>48</v>
      </c>
      <c r="D685" t="s">
        <v>111</v>
      </c>
      <c r="E685" t="s">
        <v>2722</v>
      </c>
      <c r="F685" t="s">
        <v>2228</v>
      </c>
      <c r="G685" t="s">
        <v>422</v>
      </c>
      <c r="H685" t="s">
        <v>884</v>
      </c>
      <c r="I685">
        <v>44</v>
      </c>
      <c r="J685" s="41">
        <f>I685/'enter the discount'!$D$7</f>
        <v>10.299143298534714</v>
      </c>
      <c r="K685" s="41">
        <f>J685*(1-IFERROR(VLOOKUP(H685,'enter the discount'!$D$10:$E$40,2,FALSE),0))</f>
        <v>10.299143298534714</v>
      </c>
      <c r="L685" s="43" t="s">
        <v>2549</v>
      </c>
      <c r="M685" t="s">
        <v>786</v>
      </c>
      <c r="N685" t="s">
        <v>633</v>
      </c>
      <c r="O685" t="s">
        <v>2723</v>
      </c>
      <c r="P685">
        <v>30</v>
      </c>
      <c r="Q685">
        <v>0</v>
      </c>
      <c r="R685" t="s">
        <v>2465</v>
      </c>
      <c r="S685" s="42" t="str">
        <f>HYPERLINK("https://sklep.kobi.pl/produkt/pierscien-ozdobny-oh228-czarny")</f>
        <v>https://sklep.kobi.pl/produkt/pierscien-ozdobny-oh228-czarny</v>
      </c>
      <c r="T685" s="42" t="str">
        <f>HYPERLINK("https://eprel.ec.europa.eu/qr/NIE DOTYCZY    ")</f>
        <v xml:space="preserve">https://eprel.ec.europa.eu/qr/NIE DOTYCZY    </v>
      </c>
      <c r="U685">
        <v>0.18</v>
      </c>
      <c r="V685">
        <v>0.23200000000000001</v>
      </c>
      <c r="W685">
        <v>40</v>
      </c>
      <c r="X685">
        <v>175</v>
      </c>
      <c r="Y685">
        <v>120</v>
      </c>
    </row>
    <row r="686" spans="1:25" ht="15" x14ac:dyDescent="0.25">
      <c r="A686" t="s">
        <v>23</v>
      </c>
      <c r="B686" t="s">
        <v>39</v>
      </c>
      <c r="C686" t="s">
        <v>48</v>
      </c>
      <c r="D686" t="s">
        <v>111</v>
      </c>
      <c r="E686" t="s">
        <v>14</v>
      </c>
      <c r="F686" t="s">
        <v>2229</v>
      </c>
      <c r="G686" t="s">
        <v>423</v>
      </c>
      <c r="H686" t="s">
        <v>884</v>
      </c>
      <c r="I686">
        <v>31.8</v>
      </c>
      <c r="J686" s="41">
        <f>I686/'enter the discount'!$D$7</f>
        <v>7.4434717475773615</v>
      </c>
      <c r="K686" s="41">
        <f>J686*(1-IFERROR(VLOOKUP(H686,'enter the discount'!$D$10:$E$40,2,FALSE),0))</f>
        <v>7.4434717475773615</v>
      </c>
      <c r="L686" s="43" t="s">
        <v>2549</v>
      </c>
      <c r="M686" t="s">
        <v>787</v>
      </c>
      <c r="N686" t="s">
        <v>633</v>
      </c>
      <c r="O686" t="s">
        <v>2723</v>
      </c>
      <c r="P686">
        <v>100</v>
      </c>
      <c r="Q686">
        <v>2800</v>
      </c>
      <c r="R686" t="s">
        <v>2465</v>
      </c>
      <c r="S686" s="42" t="str">
        <f>HYPERLINK("https://sklep.kobi.pl/produkt/pierscien-ozdobny-oh28-chrom")</f>
        <v>https://sklep.kobi.pl/produkt/pierscien-ozdobny-oh28-chrom</v>
      </c>
      <c r="T686" s="42" t="str">
        <f>HYPERLINK("https://eprel.ec.europa.eu/qr/NIE DOTYCZY    ")</f>
        <v xml:space="preserve">https://eprel.ec.europa.eu/qr/NIE DOTYCZY    </v>
      </c>
      <c r="U686">
        <v>7.8E-2</v>
      </c>
      <c r="V686">
        <v>9.7000000000000003E-2</v>
      </c>
      <c r="W686">
        <v>115</v>
      </c>
      <c r="X686">
        <v>95</v>
      </c>
      <c r="Y686">
        <v>35</v>
      </c>
    </row>
    <row r="687" spans="1:25" ht="15" x14ac:dyDescent="0.25">
      <c r="A687" t="s">
        <v>23</v>
      </c>
      <c r="B687" t="s">
        <v>39</v>
      </c>
      <c r="C687" t="s">
        <v>48</v>
      </c>
      <c r="D687" t="s">
        <v>111</v>
      </c>
      <c r="E687" t="s">
        <v>14</v>
      </c>
      <c r="F687" t="s">
        <v>2230</v>
      </c>
      <c r="G687" t="s">
        <v>424</v>
      </c>
      <c r="H687" t="s">
        <v>884</v>
      </c>
      <c r="I687">
        <v>31.8</v>
      </c>
      <c r="J687" s="41">
        <f>I687/'enter the discount'!$D$7</f>
        <v>7.4434717475773615</v>
      </c>
      <c r="K687" s="41">
        <f>J687*(1-IFERROR(VLOOKUP(H687,'enter the discount'!$D$10:$E$40,2,FALSE),0))</f>
        <v>7.4434717475773615</v>
      </c>
      <c r="L687" s="43" t="s">
        <v>2549</v>
      </c>
      <c r="M687" t="s">
        <v>788</v>
      </c>
      <c r="N687" t="s">
        <v>633</v>
      </c>
      <c r="O687" t="s">
        <v>2723</v>
      </c>
      <c r="P687">
        <v>100</v>
      </c>
      <c r="Q687">
        <v>2800</v>
      </c>
      <c r="R687" t="s">
        <v>2465</v>
      </c>
      <c r="S687" s="42" t="str">
        <f>HYPERLINK("https://sklep.kobi.pl/produkt/pierscien-ozdobny-oh28-czarny")</f>
        <v>https://sklep.kobi.pl/produkt/pierscien-ozdobny-oh28-czarny</v>
      </c>
      <c r="T687" s="42" t="str">
        <f>HYPERLINK("https://eprel.ec.europa.eu/qr/NIE DOTYCZY    ")</f>
        <v xml:space="preserve">https://eprel.ec.europa.eu/qr/NIE DOTYCZY    </v>
      </c>
      <c r="U687">
        <v>7.8E-2</v>
      </c>
      <c r="V687">
        <v>9.7000000000000003E-2</v>
      </c>
      <c r="W687">
        <v>115</v>
      </c>
      <c r="X687">
        <v>95</v>
      </c>
      <c r="Y687">
        <v>35</v>
      </c>
    </row>
    <row r="688" spans="1:25" ht="15" x14ac:dyDescent="0.25">
      <c r="A688" t="s">
        <v>23</v>
      </c>
      <c r="B688" t="s">
        <v>39</v>
      </c>
      <c r="C688" t="s">
        <v>48</v>
      </c>
      <c r="D688" t="s">
        <v>111</v>
      </c>
      <c r="E688" t="s">
        <v>14</v>
      </c>
      <c r="F688" t="s">
        <v>2231</v>
      </c>
      <c r="G688" t="s">
        <v>425</v>
      </c>
      <c r="H688" t="s">
        <v>884</v>
      </c>
      <c r="I688">
        <v>31.8</v>
      </c>
      <c r="J688" s="41">
        <f>I688/'enter the discount'!$D$7</f>
        <v>7.4434717475773615</v>
      </c>
      <c r="K688" s="41">
        <f>J688*(1-IFERROR(VLOOKUP(H688,'enter the discount'!$D$10:$E$40,2,FALSE),0))</f>
        <v>7.4434717475773615</v>
      </c>
      <c r="L688" s="43" t="s">
        <v>2549</v>
      </c>
      <c r="M688" t="s">
        <v>789</v>
      </c>
      <c r="N688" t="s">
        <v>633</v>
      </c>
      <c r="O688" t="s">
        <v>2723</v>
      </c>
      <c r="P688">
        <v>100</v>
      </c>
      <c r="Q688">
        <v>2800</v>
      </c>
      <c r="R688" t="s">
        <v>2465</v>
      </c>
      <c r="S688" s="42" t="str">
        <f>HYPERLINK("https://sklep.kobi.pl/produkt/pierscien-ozdobny-oh28-mat-czarny")</f>
        <v>https://sklep.kobi.pl/produkt/pierscien-ozdobny-oh28-mat-czarny</v>
      </c>
      <c r="T688" s="42" t="str">
        <f>HYPERLINK("https://eprel.ec.europa.eu/qr/NIE DOTYCZY    ")</f>
        <v xml:space="preserve">https://eprel.ec.europa.eu/qr/NIE DOTYCZY    </v>
      </c>
      <c r="U688">
        <v>7.8E-2</v>
      </c>
      <c r="V688">
        <v>9.7000000000000003E-2</v>
      </c>
      <c r="W688">
        <v>115</v>
      </c>
      <c r="X688">
        <v>95</v>
      </c>
      <c r="Y688">
        <v>35</v>
      </c>
    </row>
    <row r="689" spans="1:25" ht="15" x14ac:dyDescent="0.25">
      <c r="A689" t="s">
        <v>23</v>
      </c>
      <c r="B689" t="s">
        <v>39</v>
      </c>
      <c r="C689" t="s">
        <v>48</v>
      </c>
      <c r="D689" t="s">
        <v>111</v>
      </c>
      <c r="E689" t="s">
        <v>14</v>
      </c>
      <c r="F689" t="s">
        <v>2232</v>
      </c>
      <c r="G689" t="s">
        <v>904</v>
      </c>
      <c r="H689" t="s">
        <v>884</v>
      </c>
      <c r="I689">
        <v>31.8</v>
      </c>
      <c r="J689" s="41">
        <f>I689/'enter the discount'!$D$7</f>
        <v>7.4434717475773615</v>
      </c>
      <c r="K689" s="41">
        <f>J689*(1-IFERROR(VLOOKUP(H689,'enter the discount'!$D$10:$E$40,2,FALSE),0))</f>
        <v>7.4434717475773615</v>
      </c>
      <c r="L689" s="43" t="s">
        <v>2549</v>
      </c>
      <c r="M689" t="s">
        <v>905</v>
      </c>
      <c r="N689" t="s">
        <v>633</v>
      </c>
      <c r="O689" t="s">
        <v>2723</v>
      </c>
      <c r="P689">
        <v>100</v>
      </c>
      <c r="Q689">
        <v>0</v>
      </c>
      <c r="R689" t="s">
        <v>2465</v>
      </c>
      <c r="S689" s="42" t="str">
        <f>HYPERLINK("https://sklep.kobi.pl/produkt/pierscien-ozdobny-oh28-mat-bialy")</f>
        <v>https://sklep.kobi.pl/produkt/pierscien-ozdobny-oh28-mat-bialy</v>
      </c>
      <c r="T689" s="42" t="str">
        <f>HYPERLINK("https://eprel.ec.europa.eu/qr/NIE DOTYCZY    ")</f>
        <v xml:space="preserve">https://eprel.ec.europa.eu/qr/NIE DOTYCZY    </v>
      </c>
      <c r="U689">
        <v>7.8E-2</v>
      </c>
      <c r="V689">
        <v>9.7000000000000003E-2</v>
      </c>
      <c r="W689">
        <v>115</v>
      </c>
      <c r="X689">
        <v>95</v>
      </c>
      <c r="Y689">
        <v>35</v>
      </c>
    </row>
    <row r="690" spans="1:25" ht="15" x14ac:dyDescent="0.25">
      <c r="A690" t="s">
        <v>23</v>
      </c>
      <c r="B690" t="s">
        <v>39</v>
      </c>
      <c r="C690" t="s">
        <v>48</v>
      </c>
      <c r="D690" t="s">
        <v>111</v>
      </c>
      <c r="E690" t="s">
        <v>14</v>
      </c>
      <c r="F690" t="s">
        <v>2233</v>
      </c>
      <c r="G690" t="s">
        <v>426</v>
      </c>
      <c r="H690" t="s">
        <v>884</v>
      </c>
      <c r="I690">
        <v>25.58</v>
      </c>
      <c r="J690" s="41">
        <f>I690/'enter the discount'!$D$7</f>
        <v>5.9875473994663171</v>
      </c>
      <c r="K690" s="41">
        <f>J690*(1-IFERROR(VLOOKUP(H690,'enter the discount'!$D$10:$E$40,2,FALSE),0))</f>
        <v>5.9875473994663171</v>
      </c>
      <c r="L690" s="43" t="s">
        <v>2549</v>
      </c>
      <c r="M690" t="s">
        <v>790</v>
      </c>
      <c r="N690" t="s">
        <v>633</v>
      </c>
      <c r="O690" t="s">
        <v>2723</v>
      </c>
      <c r="P690">
        <v>100</v>
      </c>
      <c r="Q690">
        <v>3200</v>
      </c>
      <c r="R690" t="s">
        <v>2465</v>
      </c>
      <c r="S690" s="42" t="str">
        <f>HYPERLINK("https://sklep.kobi.pl/produkt/pierscien-ozdobny-oh29-chrom")</f>
        <v>https://sklep.kobi.pl/produkt/pierscien-ozdobny-oh29-chrom</v>
      </c>
      <c r="T690" s="42" t="str">
        <f>HYPERLINK("https://eprel.ec.europa.eu/qr/NIE DOTYCZY    ")</f>
        <v xml:space="preserve">https://eprel.ec.europa.eu/qr/NIE DOTYCZY    </v>
      </c>
      <c r="U690">
        <v>5.6000000000000001E-2</v>
      </c>
      <c r="V690">
        <v>7.8E-2</v>
      </c>
      <c r="W690">
        <v>38</v>
      </c>
      <c r="X690">
        <v>89</v>
      </c>
      <c r="Y690">
        <v>90</v>
      </c>
    </row>
    <row r="691" spans="1:25" ht="15" x14ac:dyDescent="0.25">
      <c r="A691" t="s">
        <v>23</v>
      </c>
      <c r="B691" t="s">
        <v>39</v>
      </c>
      <c r="C691" t="s">
        <v>48</v>
      </c>
      <c r="D691" t="s">
        <v>111</v>
      </c>
      <c r="E691" t="s">
        <v>14</v>
      </c>
      <c r="F691" t="s">
        <v>2234</v>
      </c>
      <c r="G691" t="s">
        <v>427</v>
      </c>
      <c r="H691" t="s">
        <v>884</v>
      </c>
      <c r="I691">
        <v>25.58</v>
      </c>
      <c r="J691" s="41">
        <f>I691/'enter the discount'!$D$7</f>
        <v>5.9875473994663171</v>
      </c>
      <c r="K691" s="41">
        <f>J691*(1-IFERROR(VLOOKUP(H691,'enter the discount'!$D$10:$E$40,2,FALSE),0))</f>
        <v>5.9875473994663171</v>
      </c>
      <c r="L691" s="43" t="s">
        <v>2549</v>
      </c>
      <c r="M691" t="s">
        <v>791</v>
      </c>
      <c r="N691" t="s">
        <v>633</v>
      </c>
      <c r="O691" t="s">
        <v>2723</v>
      </c>
      <c r="P691">
        <v>100</v>
      </c>
      <c r="Q691">
        <v>3200</v>
      </c>
      <c r="R691" t="s">
        <v>2465</v>
      </c>
      <c r="S691" s="42" t="str">
        <f>HYPERLINK("https://sklep.kobi.pl/produkt/pierscien-ozdobny-oh29-czarny")</f>
        <v>https://sklep.kobi.pl/produkt/pierscien-ozdobny-oh29-czarny</v>
      </c>
      <c r="T691" s="42" t="str">
        <f>HYPERLINK("https://eprel.ec.europa.eu/qr/NIE DOTYCZY    ")</f>
        <v xml:space="preserve">https://eprel.ec.europa.eu/qr/NIE DOTYCZY    </v>
      </c>
      <c r="U691">
        <v>5.6000000000000001E-2</v>
      </c>
      <c r="V691">
        <v>7.8E-2</v>
      </c>
      <c r="W691">
        <v>38</v>
      </c>
      <c r="X691">
        <v>89</v>
      </c>
      <c r="Y691">
        <v>90</v>
      </c>
    </row>
    <row r="692" spans="1:25" ht="15" x14ac:dyDescent="0.25">
      <c r="A692" t="s">
        <v>23</v>
      </c>
      <c r="B692" t="s">
        <v>39</v>
      </c>
      <c r="C692" t="s">
        <v>48</v>
      </c>
      <c r="D692" t="s">
        <v>111</v>
      </c>
      <c r="E692" t="s">
        <v>14</v>
      </c>
      <c r="F692" t="s">
        <v>2235</v>
      </c>
      <c r="G692" t="s">
        <v>906</v>
      </c>
      <c r="H692" t="s">
        <v>884</v>
      </c>
      <c r="I692">
        <v>25.58</v>
      </c>
      <c r="J692" s="41">
        <f>I692/'enter the discount'!$D$7</f>
        <v>5.9875473994663171</v>
      </c>
      <c r="K692" s="41">
        <f>J692*(1-IFERROR(VLOOKUP(H692,'enter the discount'!$D$10:$E$40,2,FALSE),0))</f>
        <v>5.9875473994663171</v>
      </c>
      <c r="L692" s="43" t="s">
        <v>2549</v>
      </c>
      <c r="M692" t="s">
        <v>907</v>
      </c>
      <c r="N692" t="s">
        <v>633</v>
      </c>
      <c r="O692" t="s">
        <v>2723</v>
      </c>
      <c r="P692">
        <v>100</v>
      </c>
      <c r="Q692">
        <v>3200</v>
      </c>
      <c r="R692" t="s">
        <v>2465</v>
      </c>
      <c r="S692" s="42" t="str">
        <f>HYPERLINK("https://sklep.kobi.pl/produkt/pierscien-ozdobny-oh29-mat-bialy")</f>
        <v>https://sklep.kobi.pl/produkt/pierscien-ozdobny-oh29-mat-bialy</v>
      </c>
      <c r="T692" s="42" t="str">
        <f>HYPERLINK("https://eprel.ec.europa.eu/qr/NIE DOTYCZY    ")</f>
        <v xml:space="preserve">https://eprel.ec.europa.eu/qr/NIE DOTYCZY    </v>
      </c>
      <c r="U692">
        <v>5.6000000000000001E-2</v>
      </c>
      <c r="V692">
        <v>7.8E-2</v>
      </c>
      <c r="W692">
        <v>38</v>
      </c>
      <c r="X692">
        <v>89</v>
      </c>
      <c r="Y692">
        <v>90</v>
      </c>
    </row>
    <row r="693" spans="1:25" ht="15" x14ac:dyDescent="0.25">
      <c r="A693" t="s">
        <v>23</v>
      </c>
      <c r="B693" t="s">
        <v>39</v>
      </c>
      <c r="C693" t="s">
        <v>48</v>
      </c>
      <c r="D693" t="s">
        <v>111</v>
      </c>
      <c r="E693" t="s">
        <v>14</v>
      </c>
      <c r="F693" t="s">
        <v>2236</v>
      </c>
      <c r="G693" t="s">
        <v>918</v>
      </c>
      <c r="H693" t="s">
        <v>884</v>
      </c>
      <c r="I693">
        <v>25.58</v>
      </c>
      <c r="J693" s="41">
        <f>I693/'enter the discount'!$D$7</f>
        <v>5.9875473994663171</v>
      </c>
      <c r="K693" s="41">
        <f>J693*(1-IFERROR(VLOOKUP(H693,'enter the discount'!$D$10:$E$40,2,FALSE),0))</f>
        <v>5.9875473994663171</v>
      </c>
      <c r="L693" s="43" t="s">
        <v>2549</v>
      </c>
      <c r="M693" t="s">
        <v>919</v>
      </c>
      <c r="N693" t="s">
        <v>633</v>
      </c>
      <c r="O693" t="s">
        <v>2723</v>
      </c>
      <c r="P693">
        <v>100</v>
      </c>
      <c r="Q693">
        <v>3200</v>
      </c>
      <c r="R693" t="s">
        <v>2465</v>
      </c>
      <c r="S693" s="42" t="str">
        <f>HYPERLINK("https://sklep.kobi.pl/produkt/pierscien-ozdobny-oh29-mat-czarny")</f>
        <v>https://sklep.kobi.pl/produkt/pierscien-ozdobny-oh29-mat-czarny</v>
      </c>
      <c r="T693" s="42" t="str">
        <f>HYPERLINK("https://eprel.ec.europa.eu/qr/NIE DOTYCZY    ")</f>
        <v xml:space="preserve">https://eprel.ec.europa.eu/qr/NIE DOTYCZY    </v>
      </c>
      <c r="U693">
        <v>5.6000000000000001E-2</v>
      </c>
      <c r="V693">
        <v>7.8E-2</v>
      </c>
      <c r="W693">
        <v>90</v>
      </c>
      <c r="X693">
        <v>90</v>
      </c>
      <c r="Y693">
        <v>35</v>
      </c>
    </row>
    <row r="694" spans="1:25" ht="15" x14ac:dyDescent="0.25">
      <c r="A694" t="s">
        <v>23</v>
      </c>
      <c r="B694" t="s">
        <v>39</v>
      </c>
      <c r="C694" t="s">
        <v>59</v>
      </c>
      <c r="D694" t="s">
        <v>111</v>
      </c>
      <c r="E694" t="s">
        <v>14</v>
      </c>
      <c r="F694" t="s">
        <v>2237</v>
      </c>
      <c r="G694" t="s">
        <v>952</v>
      </c>
      <c r="H694" t="s">
        <v>885</v>
      </c>
      <c r="I694">
        <v>59.05</v>
      </c>
      <c r="J694" s="41">
        <f>I694/'enter the discount'!$D$7</f>
        <v>13.821918449510791</v>
      </c>
      <c r="K694" s="41">
        <f>J694*(1-IFERROR(VLOOKUP(H694,'enter the discount'!$D$10:$E$40,2,FALSE),0))</f>
        <v>13.821918449510791</v>
      </c>
      <c r="L694" s="43" t="s">
        <v>858</v>
      </c>
      <c r="M694" t="s">
        <v>953</v>
      </c>
      <c r="N694" t="s">
        <v>927</v>
      </c>
      <c r="O694" t="s">
        <v>2723</v>
      </c>
      <c r="P694">
        <v>50</v>
      </c>
      <c r="Q694">
        <v>2400</v>
      </c>
      <c r="R694" t="s">
        <v>2465</v>
      </c>
      <c r="S694" s="42" t="str">
        <f>HYPERLINK("https://sklep.kobi.pl/produkt/led-halo-5w-3000k")</f>
        <v>https://sklep.kobi.pl/produkt/led-halo-5w-3000k</v>
      </c>
      <c r="T694" s="42" t="str">
        <f>HYPERLINK("https://eprel.ec.europa.eu/qr/807386         ")</f>
        <v xml:space="preserve">https://eprel.ec.europa.eu/qr/807386         </v>
      </c>
      <c r="U694">
        <v>8.7999999999999995E-2</v>
      </c>
      <c r="V694">
        <v>0.107</v>
      </c>
      <c r="W694">
        <v>0</v>
      </c>
      <c r="X694">
        <v>0</v>
      </c>
      <c r="Y694">
        <v>0</v>
      </c>
    </row>
    <row r="695" spans="1:25" ht="15" x14ac:dyDescent="0.25">
      <c r="A695" t="s">
        <v>23</v>
      </c>
      <c r="B695" t="s">
        <v>39</v>
      </c>
      <c r="C695" t="s">
        <v>59</v>
      </c>
      <c r="D695" t="s">
        <v>111</v>
      </c>
      <c r="E695" t="s">
        <v>14</v>
      </c>
      <c r="F695" t="s">
        <v>2238</v>
      </c>
      <c r="G695" t="s">
        <v>920</v>
      </c>
      <c r="H695" t="s">
        <v>885</v>
      </c>
      <c r="I695">
        <v>59.05</v>
      </c>
      <c r="J695" s="41">
        <f>I695/'enter the discount'!$D$7</f>
        <v>13.821918449510791</v>
      </c>
      <c r="K695" s="41">
        <f>J695*(1-IFERROR(VLOOKUP(H695,'enter the discount'!$D$10:$E$40,2,FALSE),0))</f>
        <v>13.821918449510791</v>
      </c>
      <c r="L695" s="43" t="s">
        <v>858</v>
      </c>
      <c r="M695" t="s">
        <v>921</v>
      </c>
      <c r="N695" t="s">
        <v>927</v>
      </c>
      <c r="O695" t="s">
        <v>2723</v>
      </c>
      <c r="P695">
        <v>50</v>
      </c>
      <c r="Q695">
        <v>2400</v>
      </c>
      <c r="R695" t="s">
        <v>2465</v>
      </c>
      <c r="S695" s="42" t="str">
        <f>HYPERLINK("https://sklep.kobi.pl/produkt/led-halo-5w-4000k")</f>
        <v>https://sklep.kobi.pl/produkt/led-halo-5w-4000k</v>
      </c>
      <c r="T695" s="42" t="str">
        <f>HYPERLINK("https://eprel.ec.europa.eu/qr/807424         ")</f>
        <v xml:space="preserve">https://eprel.ec.europa.eu/qr/807424         </v>
      </c>
      <c r="U695">
        <v>8.7999999999999995E-2</v>
      </c>
      <c r="V695">
        <v>0.107</v>
      </c>
      <c r="W695">
        <v>85</v>
      </c>
      <c r="X695">
        <v>85</v>
      </c>
      <c r="Y695">
        <v>45</v>
      </c>
    </row>
    <row r="696" spans="1:25" ht="15" x14ac:dyDescent="0.25">
      <c r="A696" t="s">
        <v>23</v>
      </c>
      <c r="B696" t="s">
        <v>39</v>
      </c>
      <c r="C696" t="s">
        <v>59</v>
      </c>
      <c r="D696" t="s">
        <v>116</v>
      </c>
      <c r="E696" t="s">
        <v>2722</v>
      </c>
      <c r="F696" t="s">
        <v>2239</v>
      </c>
      <c r="G696" t="s">
        <v>428</v>
      </c>
      <c r="H696" t="s">
        <v>883</v>
      </c>
      <c r="I696">
        <v>288.39999999999998</v>
      </c>
      <c r="J696" s="41">
        <f>I696/'enter the discount'!$D$7</f>
        <v>67.506202893122975</v>
      </c>
      <c r="K696" s="41">
        <f>J696*(1-IFERROR(VLOOKUP(H696,'enter the discount'!$D$10:$E$40,2,FALSE),0))</f>
        <v>67.506202893122975</v>
      </c>
      <c r="L696" s="43" t="s">
        <v>860</v>
      </c>
      <c r="M696" t="s">
        <v>792</v>
      </c>
      <c r="N696" t="s">
        <v>932</v>
      </c>
      <c r="O696" t="s">
        <v>2723</v>
      </c>
      <c r="P696">
        <v>24</v>
      </c>
      <c r="Q696">
        <v>0</v>
      </c>
      <c r="R696" t="s">
        <v>2465</v>
      </c>
      <c r="S696" s="42" t="str">
        <f>HYPERLINK("https://sklep.kobi.pl/produkt/oprawa-oslo-10w-3000k-white")</f>
        <v>https://sklep.kobi.pl/produkt/oprawa-oslo-10w-3000k-white</v>
      </c>
      <c r="T696" s="42" t="str">
        <f>HYPERLINK("https://eprel.ec.europa.eu/qr/929242         ")</f>
        <v xml:space="preserve">https://eprel.ec.europa.eu/qr/929242         </v>
      </c>
      <c r="U696">
        <v>0.57999999999999996</v>
      </c>
      <c r="V696">
        <v>0.72099999999999997</v>
      </c>
      <c r="W696">
        <v>130</v>
      </c>
      <c r="X696">
        <v>130</v>
      </c>
      <c r="Y696">
        <v>135</v>
      </c>
    </row>
    <row r="697" spans="1:25" ht="15" x14ac:dyDescent="0.25">
      <c r="A697" t="s">
        <v>23</v>
      </c>
      <c r="B697" t="s">
        <v>39</v>
      </c>
      <c r="C697" t="s">
        <v>59</v>
      </c>
      <c r="D697" t="s">
        <v>116</v>
      </c>
      <c r="E697" t="s">
        <v>2722</v>
      </c>
      <c r="F697" t="s">
        <v>2240</v>
      </c>
      <c r="G697" t="s">
        <v>429</v>
      </c>
      <c r="H697" t="s">
        <v>883</v>
      </c>
      <c r="I697">
        <v>294.77</v>
      </c>
      <c r="J697" s="41">
        <f>I697/'enter the discount'!$D$7</f>
        <v>68.997237957024481</v>
      </c>
      <c r="K697" s="41">
        <f>J697*(1-IFERROR(VLOOKUP(H697,'enter the discount'!$D$10:$E$40,2,FALSE),0))</f>
        <v>68.997237957024481</v>
      </c>
      <c r="L697" s="43" t="s">
        <v>860</v>
      </c>
      <c r="M697" t="s">
        <v>793</v>
      </c>
      <c r="N697" t="s">
        <v>932</v>
      </c>
      <c r="O697" t="s">
        <v>2723</v>
      </c>
      <c r="P697">
        <v>24</v>
      </c>
      <c r="Q697">
        <v>0</v>
      </c>
      <c r="R697" t="s">
        <v>2465</v>
      </c>
      <c r="S697" s="42" t="str">
        <f>HYPERLINK("https://sklep.kobi.pl/produkt/oprawa-oslo-14w-3000k-white")</f>
        <v>https://sklep.kobi.pl/produkt/oprawa-oslo-14w-3000k-white</v>
      </c>
      <c r="T697" s="42" t="str">
        <f>HYPERLINK("https://eprel.ec.europa.eu/qr/929210         ")</f>
        <v xml:space="preserve">https://eprel.ec.europa.eu/qr/929210         </v>
      </c>
      <c r="U697">
        <v>0.6</v>
      </c>
      <c r="V697">
        <v>0.72</v>
      </c>
      <c r="W697">
        <v>132</v>
      </c>
      <c r="X697">
        <v>130</v>
      </c>
      <c r="Y697">
        <v>134</v>
      </c>
    </row>
    <row r="698" spans="1:25" ht="15" x14ac:dyDescent="0.25">
      <c r="A698" t="s">
        <v>23</v>
      </c>
      <c r="B698" t="s">
        <v>51</v>
      </c>
      <c r="C698" t="s">
        <v>2241</v>
      </c>
      <c r="D698" t="s">
        <v>112</v>
      </c>
      <c r="E698" t="s">
        <v>14</v>
      </c>
      <c r="F698" t="s">
        <v>2242</v>
      </c>
      <c r="G698" t="s">
        <v>1506</v>
      </c>
      <c r="H698" t="s">
        <v>7</v>
      </c>
      <c r="I698">
        <v>69.400000000000006</v>
      </c>
      <c r="J698" s="41">
        <f>I698/'enter the discount'!$D$7</f>
        <v>16.244557839052479</v>
      </c>
      <c r="K698" s="41">
        <f>J698*(1-IFERROR(VLOOKUP(H698,'enter the discount'!$D$10:$E$40,2,FALSE),0))</f>
        <v>16.244557839052479</v>
      </c>
      <c r="L698" s="43" t="s">
        <v>2549</v>
      </c>
      <c r="M698" t="s">
        <v>1507</v>
      </c>
      <c r="N698" t="s">
        <v>930</v>
      </c>
      <c r="O698" t="s">
        <v>2723</v>
      </c>
      <c r="P698">
        <v>30</v>
      </c>
      <c r="Q698">
        <v>0</v>
      </c>
      <c r="R698" t="s">
        <v>2465</v>
      </c>
      <c r="S698" s="42" t="str">
        <f>HYPERLINK("https://sklep.kobi.pl/produkt/querk-1-black-1xgu10-led2b")</f>
        <v>https://sklep.kobi.pl/produkt/querk-1-black-1xgu10-led2b</v>
      </c>
      <c r="T698" s="42" t="str">
        <f>HYPERLINK("https://eprel.ec.europa.eu/qr/NIE DOTYCZY    ")</f>
        <v xml:space="preserve">https://eprel.ec.europa.eu/qr/NIE DOTYCZY    </v>
      </c>
      <c r="U698">
        <v>0.28999999999999998</v>
      </c>
      <c r="V698">
        <v>0</v>
      </c>
      <c r="W698">
        <v>0</v>
      </c>
      <c r="X698">
        <v>0</v>
      </c>
      <c r="Y698">
        <v>0</v>
      </c>
    </row>
    <row r="699" spans="1:25" ht="15" x14ac:dyDescent="0.25">
      <c r="A699" t="s">
        <v>23</v>
      </c>
      <c r="B699" t="s">
        <v>51</v>
      </c>
      <c r="C699" t="s">
        <v>2241</v>
      </c>
      <c r="D699" t="s">
        <v>112</v>
      </c>
      <c r="E699" t="s">
        <v>14</v>
      </c>
      <c r="F699" t="s">
        <v>2243</v>
      </c>
      <c r="G699" t="s">
        <v>1508</v>
      </c>
      <c r="H699" t="s">
        <v>7</v>
      </c>
      <c r="I699">
        <v>63.46</v>
      </c>
      <c r="J699" s="41">
        <f>I699/'enter the discount'!$D$7</f>
        <v>14.854173493750293</v>
      </c>
      <c r="K699" s="41">
        <f>J699*(1-IFERROR(VLOOKUP(H699,'enter the discount'!$D$10:$E$40,2,FALSE),0))</f>
        <v>14.854173493750293</v>
      </c>
      <c r="L699" s="43" t="s">
        <v>2549</v>
      </c>
      <c r="M699" t="s">
        <v>1509</v>
      </c>
      <c r="N699" t="s">
        <v>930</v>
      </c>
      <c r="O699" t="s">
        <v>2723</v>
      </c>
      <c r="P699">
        <v>30</v>
      </c>
      <c r="Q699">
        <v>0</v>
      </c>
      <c r="R699" t="s">
        <v>2465</v>
      </c>
      <c r="S699" s="42" t="str">
        <f>HYPERLINK("https://sklep.kobi.pl/produkt/querk-2-black-1xgu10-led2b")</f>
        <v>https://sklep.kobi.pl/produkt/querk-2-black-1xgu10-led2b</v>
      </c>
      <c r="T699" s="42" t="str">
        <f>HYPERLINK("https://eprel.ec.europa.eu/qr/NIE DOTYCZY    ")</f>
        <v xml:space="preserve">https://eprel.ec.europa.eu/qr/NIE DOTYCZY    </v>
      </c>
      <c r="U699">
        <v>0.26</v>
      </c>
      <c r="V699">
        <v>0</v>
      </c>
      <c r="W699">
        <v>0</v>
      </c>
      <c r="X699">
        <v>0</v>
      </c>
      <c r="Y699">
        <v>0</v>
      </c>
    </row>
    <row r="700" spans="1:25" ht="15" x14ac:dyDescent="0.25">
      <c r="A700" t="s">
        <v>23</v>
      </c>
      <c r="B700" t="s">
        <v>51</v>
      </c>
      <c r="C700" t="s">
        <v>2241</v>
      </c>
      <c r="D700" t="s">
        <v>112</v>
      </c>
      <c r="E700" t="s">
        <v>14</v>
      </c>
      <c r="F700" t="s">
        <v>2244</v>
      </c>
      <c r="G700" t="s">
        <v>1510</v>
      </c>
      <c r="H700" t="s">
        <v>7</v>
      </c>
      <c r="I700">
        <v>79.95</v>
      </c>
      <c r="J700" s="41">
        <f>I700/'enter the discount'!$D$7</f>
        <v>18.71401151631478</v>
      </c>
      <c r="K700" s="41">
        <f>J700*(1-IFERROR(VLOOKUP(H700,'enter the discount'!$D$10:$E$40,2,FALSE),0))</f>
        <v>18.71401151631478</v>
      </c>
      <c r="L700" s="43" t="s">
        <v>2549</v>
      </c>
      <c r="M700" t="s">
        <v>1511</v>
      </c>
      <c r="N700" t="s">
        <v>930</v>
      </c>
      <c r="O700" t="s">
        <v>2723</v>
      </c>
      <c r="P700">
        <v>10</v>
      </c>
      <c r="Q700">
        <v>0</v>
      </c>
      <c r="R700" t="s">
        <v>2465</v>
      </c>
      <c r="S700" s="42" t="str">
        <f>HYPERLINK("https://sklep.kobi.pl/produkt/querk-3-black-2xgu10-led2b")</f>
        <v>https://sklep.kobi.pl/produkt/querk-3-black-2xgu10-led2b</v>
      </c>
      <c r="T700" s="42" t="str">
        <f>HYPERLINK("https://eprel.ec.europa.eu/qr/NIE DOTYCZY    ")</f>
        <v xml:space="preserve">https://eprel.ec.europa.eu/qr/NIE DOTYCZY    </v>
      </c>
      <c r="U700">
        <v>0.48</v>
      </c>
      <c r="V700">
        <v>0</v>
      </c>
      <c r="W700">
        <v>0</v>
      </c>
      <c r="X700">
        <v>0</v>
      </c>
      <c r="Y700">
        <v>0</v>
      </c>
    </row>
    <row r="701" spans="1:25" ht="15" x14ac:dyDescent="0.25">
      <c r="A701" t="s">
        <v>23</v>
      </c>
      <c r="B701" t="s">
        <v>51</v>
      </c>
      <c r="C701" t="s">
        <v>2241</v>
      </c>
      <c r="D701" t="s">
        <v>112</v>
      </c>
      <c r="E701" t="s">
        <v>14</v>
      </c>
      <c r="F701" t="s">
        <v>2245</v>
      </c>
      <c r="G701" t="s">
        <v>1512</v>
      </c>
      <c r="H701" t="s">
        <v>7</v>
      </c>
      <c r="I701">
        <v>126.45</v>
      </c>
      <c r="J701" s="41">
        <f>I701/'enter the discount'!$D$7</f>
        <v>29.598333411357149</v>
      </c>
      <c r="K701" s="41">
        <f>J701*(1-IFERROR(VLOOKUP(H701,'enter the discount'!$D$10:$E$40,2,FALSE),0))</f>
        <v>29.598333411357149</v>
      </c>
      <c r="L701" s="43" t="s">
        <v>2549</v>
      </c>
      <c r="M701" t="s">
        <v>1513</v>
      </c>
      <c r="N701" t="s">
        <v>930</v>
      </c>
      <c r="O701" t="s">
        <v>2723</v>
      </c>
      <c r="P701">
        <v>10</v>
      </c>
      <c r="Q701">
        <v>0</v>
      </c>
      <c r="R701" t="s">
        <v>2465</v>
      </c>
      <c r="S701" s="42" t="str">
        <f>HYPERLINK("https://sklep.kobi.pl/produkt/garden-lamp-querk-4-black-led2b")</f>
        <v>https://sklep.kobi.pl/produkt/garden-lamp-querk-4-black-led2b</v>
      </c>
      <c r="T701" s="42" t="str">
        <f>HYPERLINK("https://eprel.ec.europa.eu/qr/NIE DOTYCZY    ")</f>
        <v xml:space="preserve">https://eprel.ec.europa.eu/qr/NIE DOTYCZY    </v>
      </c>
      <c r="U701">
        <v>0.79</v>
      </c>
      <c r="V701">
        <v>0</v>
      </c>
      <c r="W701">
        <v>0</v>
      </c>
      <c r="X701">
        <v>0</v>
      </c>
      <c r="Y701">
        <v>0</v>
      </c>
    </row>
    <row r="702" spans="1:25" ht="15" x14ac:dyDescent="0.25">
      <c r="A702" t="s">
        <v>23</v>
      </c>
      <c r="B702" t="s">
        <v>51</v>
      </c>
      <c r="C702" t="s">
        <v>2241</v>
      </c>
      <c r="D702" t="s">
        <v>112</v>
      </c>
      <c r="E702" t="s">
        <v>14</v>
      </c>
      <c r="F702" t="s">
        <v>2246</v>
      </c>
      <c r="G702" t="s">
        <v>1514</v>
      </c>
      <c r="H702" t="s">
        <v>7</v>
      </c>
      <c r="I702">
        <v>116.6</v>
      </c>
      <c r="J702" s="41">
        <f>I702/'enter the discount'!$D$7</f>
        <v>27.29272974111699</v>
      </c>
      <c r="K702" s="41">
        <f>J702*(1-IFERROR(VLOOKUP(H702,'enter the discount'!$D$10:$E$40,2,FALSE),0))</f>
        <v>27.29272974111699</v>
      </c>
      <c r="L702" s="43" t="s">
        <v>2549</v>
      </c>
      <c r="M702" t="s">
        <v>1515</v>
      </c>
      <c r="N702" t="s">
        <v>930</v>
      </c>
      <c r="O702" t="s">
        <v>2723</v>
      </c>
      <c r="P702">
        <v>10</v>
      </c>
      <c r="Q702">
        <v>0</v>
      </c>
      <c r="R702" t="s">
        <v>2465</v>
      </c>
      <c r="S702" s="42" t="str">
        <f>HYPERLINK("https://sklep.kobi.pl/produkt/querk-5-black-2xgu10-led2b")</f>
        <v>https://sklep.kobi.pl/produkt/querk-5-black-2xgu10-led2b</v>
      </c>
      <c r="T702" s="42" t="str">
        <f>HYPERLINK("https://eprel.ec.europa.eu/qr/NIE DOTYCZY    ")</f>
        <v xml:space="preserve">https://eprel.ec.europa.eu/qr/NIE DOTYCZY    </v>
      </c>
      <c r="U702">
        <v>0.57999999999999996</v>
      </c>
      <c r="V702">
        <v>0</v>
      </c>
      <c r="W702">
        <v>0</v>
      </c>
      <c r="X702">
        <v>0</v>
      </c>
      <c r="Y702">
        <v>0</v>
      </c>
    </row>
    <row r="703" spans="1:25" ht="15" x14ac:dyDescent="0.25">
      <c r="A703" t="s">
        <v>23</v>
      </c>
      <c r="B703" t="s">
        <v>2247</v>
      </c>
      <c r="C703"/>
      <c r="D703" t="s">
        <v>112</v>
      </c>
      <c r="E703" t="s">
        <v>14</v>
      </c>
      <c r="F703" t="s">
        <v>2248</v>
      </c>
      <c r="G703" t="s">
        <v>1599</v>
      </c>
      <c r="H703" t="s">
        <v>7</v>
      </c>
      <c r="I703">
        <v>60.95</v>
      </c>
      <c r="J703" s="41">
        <f>I703/'enter the discount'!$D$7</f>
        <v>14.266654182856609</v>
      </c>
      <c r="K703" s="41">
        <f>J703*(1-IFERROR(VLOOKUP(H703,'enter the discount'!$D$10:$E$40,2,FALSE),0))</f>
        <v>14.266654182856609</v>
      </c>
      <c r="L703" s="43" t="s">
        <v>2549</v>
      </c>
      <c r="M703" t="s">
        <v>1600</v>
      </c>
      <c r="N703" t="s">
        <v>934</v>
      </c>
      <c r="O703" t="s">
        <v>2724</v>
      </c>
      <c r="P703">
        <v>24</v>
      </c>
      <c r="Q703">
        <v>0</v>
      </c>
      <c r="R703" t="s">
        <v>2465</v>
      </c>
      <c r="S703"/>
      <c r="T703" s="42" t="str">
        <f>HYPERLINK("https://eprel.ec.europa.eu/qr/NIE DOTYCZY    ")</f>
        <v xml:space="preserve">https://eprel.ec.europa.eu/qr/NIE DOTYCZY    </v>
      </c>
      <c r="U703">
        <v>0.4</v>
      </c>
      <c r="V703"/>
      <c r="W703"/>
      <c r="X703"/>
      <c r="Y703"/>
    </row>
    <row r="704" spans="1:25" ht="15" x14ac:dyDescent="0.25">
      <c r="A704" t="s">
        <v>23</v>
      </c>
      <c r="B704" t="s">
        <v>2247</v>
      </c>
      <c r="C704"/>
      <c r="D704" t="s">
        <v>112</v>
      </c>
      <c r="E704" t="s">
        <v>14</v>
      </c>
      <c r="F704" t="s">
        <v>2249</v>
      </c>
      <c r="G704" t="s">
        <v>1516</v>
      </c>
      <c r="H704" t="s">
        <v>7</v>
      </c>
      <c r="I704">
        <v>46.42</v>
      </c>
      <c r="J704" s="41">
        <f>I704/'enter the discount'!$D$7</f>
        <v>10.865596179954123</v>
      </c>
      <c r="K704" s="41">
        <f>J704*(1-IFERROR(VLOOKUP(H704,'enter the discount'!$D$10:$E$40,2,FALSE),0))</f>
        <v>10.865596179954123</v>
      </c>
      <c r="L704" s="43" t="s">
        <v>2549</v>
      </c>
      <c r="M704" t="s">
        <v>1517</v>
      </c>
      <c r="N704" t="s">
        <v>934</v>
      </c>
      <c r="O704" t="s">
        <v>2723</v>
      </c>
      <c r="P704">
        <v>24</v>
      </c>
      <c r="Q704">
        <v>0</v>
      </c>
      <c r="R704" t="s">
        <v>2465</v>
      </c>
      <c r="S704"/>
      <c r="T704" s="42" t="str">
        <f>HYPERLINK("https://eprel.ec.europa.eu/qr/NIE DOTYCZY    ")</f>
        <v xml:space="preserve">https://eprel.ec.europa.eu/qr/NIE DOTYCZY    </v>
      </c>
      <c r="U704">
        <v>0.21</v>
      </c>
      <c r="V704">
        <v>0</v>
      </c>
      <c r="W704">
        <v>0</v>
      </c>
      <c r="X704">
        <v>0</v>
      </c>
      <c r="Y704">
        <v>0</v>
      </c>
    </row>
    <row r="705" spans="1:25" ht="15" x14ac:dyDescent="0.25">
      <c r="A705" t="s">
        <v>23</v>
      </c>
      <c r="B705" t="s">
        <v>2247</v>
      </c>
      <c r="C705"/>
      <c r="D705" t="s">
        <v>112</v>
      </c>
      <c r="E705" t="s">
        <v>14</v>
      </c>
      <c r="F705" t="s">
        <v>2250</v>
      </c>
      <c r="G705" t="s">
        <v>1518</v>
      </c>
      <c r="H705" t="s">
        <v>7</v>
      </c>
      <c r="I705">
        <v>47.48</v>
      </c>
      <c r="J705" s="41">
        <f>I705/'enter the discount'!$D$7</f>
        <v>11.113711904873368</v>
      </c>
      <c r="K705" s="41">
        <f>J705*(1-IFERROR(VLOOKUP(H705,'enter the discount'!$D$10:$E$40,2,FALSE),0))</f>
        <v>11.113711904873368</v>
      </c>
      <c r="L705" s="43" t="s">
        <v>2549</v>
      </c>
      <c r="M705" t="s">
        <v>1519</v>
      </c>
      <c r="N705" t="s">
        <v>934</v>
      </c>
      <c r="O705" t="s">
        <v>2723</v>
      </c>
      <c r="P705">
        <v>24</v>
      </c>
      <c r="Q705">
        <v>0</v>
      </c>
      <c r="R705" t="s">
        <v>2465</v>
      </c>
      <c r="S705"/>
      <c r="T705" s="42" t="str">
        <f>HYPERLINK("https://eprel.ec.europa.eu/qr/NIE DOTYCZY    ")</f>
        <v xml:space="preserve">https://eprel.ec.europa.eu/qr/NIE DOTYCZY    </v>
      </c>
      <c r="U705">
        <v>0.16</v>
      </c>
      <c r="V705">
        <v>0</v>
      </c>
      <c r="W705">
        <v>0</v>
      </c>
      <c r="X705">
        <v>0</v>
      </c>
      <c r="Y705">
        <v>0</v>
      </c>
    </row>
    <row r="706" spans="1:25" ht="15" x14ac:dyDescent="0.25">
      <c r="A706" t="s">
        <v>23</v>
      </c>
      <c r="B706" t="s">
        <v>2247</v>
      </c>
      <c r="C706"/>
      <c r="D706" t="s">
        <v>112</v>
      </c>
      <c r="E706" t="s">
        <v>14</v>
      </c>
      <c r="F706" t="s">
        <v>2251</v>
      </c>
      <c r="G706" t="s">
        <v>1520</v>
      </c>
      <c r="H706" t="s">
        <v>7</v>
      </c>
      <c r="I706">
        <v>70.59</v>
      </c>
      <c r="J706" s="41">
        <f>I706/'enter the discount'!$D$7</f>
        <v>16.523102850990124</v>
      </c>
      <c r="K706" s="41">
        <f>J706*(1-IFERROR(VLOOKUP(H706,'enter the discount'!$D$10:$E$40,2,FALSE),0))</f>
        <v>16.523102850990124</v>
      </c>
      <c r="L706" s="43" t="s">
        <v>2549</v>
      </c>
      <c r="M706" t="s">
        <v>1521</v>
      </c>
      <c r="N706" t="s">
        <v>934</v>
      </c>
      <c r="O706" t="s">
        <v>2724</v>
      </c>
      <c r="P706">
        <v>12</v>
      </c>
      <c r="Q706">
        <v>0</v>
      </c>
      <c r="R706" t="s">
        <v>2465</v>
      </c>
      <c r="S706"/>
      <c r="T706" s="42" t="str">
        <f>HYPERLINK("https://eprel.ec.europa.eu/qr/NIE DOTYCZY    ")</f>
        <v xml:space="preserve">https://eprel.ec.europa.eu/qr/NIE DOTYCZY    </v>
      </c>
      <c r="U706">
        <v>0.83</v>
      </c>
      <c r="V706">
        <v>0</v>
      </c>
      <c r="W706">
        <v>0</v>
      </c>
      <c r="X706">
        <v>0</v>
      </c>
      <c r="Y706">
        <v>0</v>
      </c>
    </row>
    <row r="707" spans="1:25" ht="15" x14ac:dyDescent="0.25">
      <c r="A707" t="s">
        <v>23</v>
      </c>
      <c r="B707" t="s">
        <v>2247</v>
      </c>
      <c r="C707"/>
      <c r="D707" t="s">
        <v>112</v>
      </c>
      <c r="E707" t="s">
        <v>14</v>
      </c>
      <c r="F707" t="s">
        <v>2252</v>
      </c>
      <c r="G707" t="s">
        <v>1522</v>
      </c>
      <c r="H707" t="s">
        <v>7</v>
      </c>
      <c r="I707">
        <v>105.09</v>
      </c>
      <c r="J707" s="41">
        <f>I707/'enter the discount'!$D$7</f>
        <v>24.598567482795751</v>
      </c>
      <c r="K707" s="41">
        <f>J707*(1-IFERROR(VLOOKUP(H707,'enter the discount'!$D$10:$E$40,2,FALSE),0))</f>
        <v>24.598567482795751</v>
      </c>
      <c r="L707" s="43" t="s">
        <v>2549</v>
      </c>
      <c r="M707" t="s">
        <v>1523</v>
      </c>
      <c r="N707" t="s">
        <v>934</v>
      </c>
      <c r="O707" t="s">
        <v>2724</v>
      </c>
      <c r="P707">
        <v>8</v>
      </c>
      <c r="Q707">
        <v>0</v>
      </c>
      <c r="R707" t="s">
        <v>2465</v>
      </c>
      <c r="S707"/>
      <c r="T707" s="42" t="str">
        <f>HYPERLINK("https://eprel.ec.europa.eu/qr/NIE DOTYCZY    ")</f>
        <v xml:space="preserve">https://eprel.ec.europa.eu/qr/NIE DOTYCZY    </v>
      </c>
      <c r="U707">
        <v>1.24</v>
      </c>
      <c r="V707">
        <v>0</v>
      </c>
      <c r="W707">
        <v>0</v>
      </c>
      <c r="X707">
        <v>0</v>
      </c>
      <c r="Y707">
        <v>0</v>
      </c>
    </row>
    <row r="708" spans="1:25" ht="15" x14ac:dyDescent="0.25">
      <c r="A708" t="s">
        <v>23</v>
      </c>
      <c r="B708" t="s">
        <v>2247</v>
      </c>
      <c r="C708"/>
      <c r="D708" t="s">
        <v>112</v>
      </c>
      <c r="E708" t="s">
        <v>14</v>
      </c>
      <c r="F708" t="s">
        <v>2253</v>
      </c>
      <c r="G708" t="s">
        <v>1524</v>
      </c>
      <c r="H708" t="s">
        <v>7</v>
      </c>
      <c r="I708">
        <v>70.010000000000005</v>
      </c>
      <c r="J708" s="41">
        <f>I708/'enter the discount'!$D$7</f>
        <v>16.38734141660035</v>
      </c>
      <c r="K708" s="41">
        <f>J708*(1-IFERROR(VLOOKUP(H708,'enter the discount'!$D$10:$E$40,2,FALSE),0))</f>
        <v>16.38734141660035</v>
      </c>
      <c r="L708" s="43" t="s">
        <v>2549</v>
      </c>
      <c r="M708" t="s">
        <v>1525</v>
      </c>
      <c r="N708" t="s">
        <v>934</v>
      </c>
      <c r="O708" t="s">
        <v>2724</v>
      </c>
      <c r="P708">
        <v>24</v>
      </c>
      <c r="Q708">
        <v>0</v>
      </c>
      <c r="R708" t="s">
        <v>2465</v>
      </c>
      <c r="S708"/>
      <c r="T708" s="42" t="str">
        <f>HYPERLINK("https://eprel.ec.europa.eu/qr/NIE DOTYCZY    ")</f>
        <v xml:space="preserve">https://eprel.ec.europa.eu/qr/NIE DOTYCZY    </v>
      </c>
      <c r="U708">
        <v>0.45</v>
      </c>
      <c r="V708">
        <v>0</v>
      </c>
      <c r="W708">
        <v>0</v>
      </c>
      <c r="X708">
        <v>0</v>
      </c>
      <c r="Y708">
        <v>0</v>
      </c>
    </row>
    <row r="709" spans="1:25" ht="15" x14ac:dyDescent="0.25">
      <c r="A709" t="s">
        <v>23</v>
      </c>
      <c r="B709" t="s">
        <v>2247</v>
      </c>
      <c r="C709"/>
      <c r="D709" t="s">
        <v>112</v>
      </c>
      <c r="E709" t="s">
        <v>14</v>
      </c>
      <c r="F709" t="s">
        <v>2254</v>
      </c>
      <c r="G709" t="s">
        <v>1526</v>
      </c>
      <c r="H709" t="s">
        <v>7</v>
      </c>
      <c r="I709">
        <v>126.08</v>
      </c>
      <c r="J709" s="41">
        <f>I709/'enter the discount'!$D$7</f>
        <v>29.511726979074016</v>
      </c>
      <c r="K709" s="41">
        <f>J709*(1-IFERROR(VLOOKUP(H709,'enter the discount'!$D$10:$E$40,2,FALSE),0))</f>
        <v>29.511726979074016</v>
      </c>
      <c r="L709" s="43" t="s">
        <v>2549</v>
      </c>
      <c r="M709" t="s">
        <v>1527</v>
      </c>
      <c r="N709" t="s">
        <v>934</v>
      </c>
      <c r="O709" t="s">
        <v>2724</v>
      </c>
      <c r="P709">
        <v>24</v>
      </c>
      <c r="Q709">
        <v>0</v>
      </c>
      <c r="R709" t="s">
        <v>2465</v>
      </c>
      <c r="S709"/>
      <c r="T709" s="42" t="str">
        <f>HYPERLINK("https://eprel.ec.europa.eu/qr/NIE DOTYCZY    ")</f>
        <v xml:space="preserve">https://eprel.ec.europa.eu/qr/NIE DOTYCZY    </v>
      </c>
      <c r="U709">
        <v>0.95</v>
      </c>
      <c r="V709">
        <v>0</v>
      </c>
      <c r="W709">
        <v>0</v>
      </c>
      <c r="X709">
        <v>0</v>
      </c>
      <c r="Y709">
        <v>0</v>
      </c>
    </row>
    <row r="710" spans="1:25" ht="15" x14ac:dyDescent="0.25">
      <c r="A710" t="s">
        <v>23</v>
      </c>
      <c r="B710" t="s">
        <v>2247</v>
      </c>
      <c r="C710"/>
      <c r="D710" t="s">
        <v>112</v>
      </c>
      <c r="E710" t="s">
        <v>14</v>
      </c>
      <c r="F710" t="s">
        <v>2254</v>
      </c>
      <c r="G710" t="s">
        <v>1528</v>
      </c>
      <c r="H710" t="s">
        <v>7</v>
      </c>
      <c r="I710">
        <v>58.4</v>
      </c>
      <c r="J710" s="41">
        <f>I710/'enter the discount'!$D$7</f>
        <v>13.6697720144188</v>
      </c>
      <c r="K710" s="41">
        <f>J710*(1-IFERROR(VLOOKUP(H710,'enter the discount'!$D$10:$E$40,2,FALSE),0))</f>
        <v>13.6697720144188</v>
      </c>
      <c r="L710" s="43" t="s">
        <v>2549</v>
      </c>
      <c r="M710" t="s">
        <v>1529</v>
      </c>
      <c r="N710" t="s">
        <v>934</v>
      </c>
      <c r="O710" t="s">
        <v>2724</v>
      </c>
      <c r="P710">
        <v>6</v>
      </c>
      <c r="Q710">
        <v>0</v>
      </c>
      <c r="R710" t="s">
        <v>2465</v>
      </c>
      <c r="S710"/>
      <c r="T710" s="42" t="str">
        <f>HYPERLINK("https://eprel.ec.europa.eu/qr/NIE DOTYCZY    ")</f>
        <v xml:space="preserve">https://eprel.ec.europa.eu/qr/NIE DOTYCZY    </v>
      </c>
      <c r="U710">
        <v>0.38</v>
      </c>
      <c r="V710">
        <v>0</v>
      </c>
      <c r="W710">
        <v>0</v>
      </c>
      <c r="X710">
        <v>0</v>
      </c>
      <c r="Y710">
        <v>0</v>
      </c>
    </row>
    <row r="711" spans="1:25" ht="15" x14ac:dyDescent="0.25">
      <c r="A711" t="s">
        <v>23</v>
      </c>
      <c r="B711" t="s">
        <v>2247</v>
      </c>
      <c r="C711"/>
      <c r="D711" t="s">
        <v>112</v>
      </c>
      <c r="E711" t="s">
        <v>14</v>
      </c>
      <c r="F711" t="s">
        <v>2254</v>
      </c>
      <c r="G711" t="s">
        <v>1530</v>
      </c>
      <c r="H711" t="s">
        <v>7</v>
      </c>
      <c r="I711">
        <v>58.4</v>
      </c>
      <c r="J711" s="41">
        <f>I711/'enter the discount'!$D$7</f>
        <v>13.6697720144188</v>
      </c>
      <c r="K711" s="41">
        <f>J711*(1-IFERROR(VLOOKUP(H711,'enter the discount'!$D$10:$E$40,2,FALSE),0))</f>
        <v>13.6697720144188</v>
      </c>
      <c r="L711" s="43" t="s">
        <v>2549</v>
      </c>
      <c r="M711" t="s">
        <v>1531</v>
      </c>
      <c r="N711" t="s">
        <v>934</v>
      </c>
      <c r="O711" t="s">
        <v>2724</v>
      </c>
      <c r="P711">
        <v>6</v>
      </c>
      <c r="Q711">
        <v>0</v>
      </c>
      <c r="R711" t="s">
        <v>2465</v>
      </c>
      <c r="S711"/>
      <c r="T711" s="42" t="str">
        <f>HYPERLINK("https://eprel.ec.europa.eu/qr/NIE DOTYCZY    ")</f>
        <v xml:space="preserve">https://eprel.ec.europa.eu/qr/NIE DOTYCZY    </v>
      </c>
      <c r="U711">
        <v>0.4</v>
      </c>
      <c r="V711">
        <v>0</v>
      </c>
      <c r="W711">
        <v>0</v>
      </c>
      <c r="X711">
        <v>0</v>
      </c>
      <c r="Y711">
        <v>0</v>
      </c>
    </row>
    <row r="712" spans="1:25" ht="15" x14ac:dyDescent="0.25">
      <c r="A712" t="s">
        <v>23</v>
      </c>
      <c r="B712" t="s">
        <v>2247</v>
      </c>
      <c r="C712"/>
      <c r="D712" t="s">
        <v>112</v>
      </c>
      <c r="E712" t="s">
        <v>14</v>
      </c>
      <c r="F712" t="s">
        <v>2254</v>
      </c>
      <c r="G712" t="s">
        <v>1532</v>
      </c>
      <c r="H712" t="s">
        <v>7</v>
      </c>
      <c r="I712">
        <v>95.61</v>
      </c>
      <c r="J712" s="41">
        <f>I712/'enter the discount'!$D$7</f>
        <v>22.379570244838725</v>
      </c>
      <c r="K712" s="41">
        <f>J712*(1-IFERROR(VLOOKUP(H712,'enter the discount'!$D$10:$E$40,2,FALSE),0))</f>
        <v>22.379570244838725</v>
      </c>
      <c r="L712" s="43" t="s">
        <v>2549</v>
      </c>
      <c r="M712" t="s">
        <v>1533</v>
      </c>
      <c r="N712" t="s">
        <v>934</v>
      </c>
      <c r="O712" t="s">
        <v>2723</v>
      </c>
      <c r="P712">
        <v>20</v>
      </c>
      <c r="Q712">
        <v>0</v>
      </c>
      <c r="R712" t="s">
        <v>2465</v>
      </c>
      <c r="S712" s="42" t="str">
        <f>HYPERLINK("https://sklep.kobi.pl/produkt/solar-led-glow-6000k-led2b")</f>
        <v>https://sklep.kobi.pl/produkt/solar-led-glow-6000k-led2b</v>
      </c>
      <c r="T712" s="42" t="str">
        <f>HYPERLINK("https://eprel.ec.europa.eu/qr/NIE DOTYCZY    ")</f>
        <v xml:space="preserve">https://eprel.ec.europa.eu/qr/NIE DOTYCZY    </v>
      </c>
      <c r="U712">
        <v>0.43</v>
      </c>
      <c r="V712">
        <v>0</v>
      </c>
      <c r="W712">
        <v>0</v>
      </c>
      <c r="X712">
        <v>0</v>
      </c>
      <c r="Y712">
        <v>0</v>
      </c>
    </row>
    <row r="713" spans="1:25" ht="15" x14ac:dyDescent="0.25">
      <c r="A713" t="s">
        <v>23</v>
      </c>
      <c r="B713" t="s">
        <v>2247</v>
      </c>
      <c r="C713"/>
      <c r="D713" t="s">
        <v>112</v>
      </c>
      <c r="E713" t="s">
        <v>14</v>
      </c>
      <c r="F713" t="s">
        <v>2254</v>
      </c>
      <c r="G713" t="s">
        <v>1534</v>
      </c>
      <c r="H713" t="s">
        <v>7</v>
      </c>
      <c r="I713">
        <v>35.51</v>
      </c>
      <c r="J713" s="41">
        <f>I713/'enter the discount'!$D$7</f>
        <v>8.3118767847947197</v>
      </c>
      <c r="K713" s="41">
        <f>J713*(1-IFERROR(VLOOKUP(H713,'enter the discount'!$D$10:$E$40,2,FALSE),0))</f>
        <v>8.3118767847947197</v>
      </c>
      <c r="L713" s="43" t="s">
        <v>2549</v>
      </c>
      <c r="M713" t="s">
        <v>1535</v>
      </c>
      <c r="N713" t="s">
        <v>934</v>
      </c>
      <c r="O713" t="s">
        <v>2723</v>
      </c>
      <c r="P713">
        <v>12</v>
      </c>
      <c r="Q713">
        <v>0</v>
      </c>
      <c r="R713" t="s">
        <v>2465</v>
      </c>
      <c r="S713"/>
      <c r="T713" s="42" t="str">
        <f>HYPERLINK("https://eprel.ec.europa.eu/qr/NIE DOTYCZY    ")</f>
        <v xml:space="preserve">https://eprel.ec.europa.eu/qr/NIE DOTYCZY    </v>
      </c>
      <c r="U713">
        <v>7.0000000000000007E-2</v>
      </c>
      <c r="V713">
        <v>0</v>
      </c>
      <c r="W713">
        <v>0</v>
      </c>
      <c r="X713">
        <v>0</v>
      </c>
      <c r="Y713">
        <v>0</v>
      </c>
    </row>
    <row r="714" spans="1:25" ht="15" x14ac:dyDescent="0.25">
      <c r="A714" t="s">
        <v>23</v>
      </c>
      <c r="B714" t="s">
        <v>2247</v>
      </c>
      <c r="C714"/>
      <c r="D714" t="s">
        <v>112</v>
      </c>
      <c r="E714" t="s">
        <v>14</v>
      </c>
      <c r="F714" t="s">
        <v>2255</v>
      </c>
      <c r="G714" t="s">
        <v>1536</v>
      </c>
      <c r="H714" t="s">
        <v>7</v>
      </c>
      <c r="I714">
        <v>92.69</v>
      </c>
      <c r="J714" s="41">
        <f>I714/'enter the discount'!$D$7</f>
        <v>21.696081644117786</v>
      </c>
      <c r="K714" s="41">
        <f>J714*(1-IFERROR(VLOOKUP(H714,'enter the discount'!$D$10:$E$40,2,FALSE),0))</f>
        <v>21.696081644117786</v>
      </c>
      <c r="L714" s="43" t="s">
        <v>2549</v>
      </c>
      <c r="M714" t="s">
        <v>1537</v>
      </c>
      <c r="N714" t="s">
        <v>934</v>
      </c>
      <c r="O714" t="s">
        <v>2723</v>
      </c>
      <c r="P714">
        <v>12</v>
      </c>
      <c r="Q714">
        <v>0</v>
      </c>
      <c r="R714" t="s">
        <v>2465</v>
      </c>
      <c r="S714" s="42" t="str">
        <f>HYPERLINK("https://sklep.kobi.pl/produkt/solar-led-lance-6000k-led2b")</f>
        <v>https://sklep.kobi.pl/produkt/solar-led-lance-6000k-led2b</v>
      </c>
      <c r="T714" s="42" t="str">
        <f>HYPERLINK("https://eprel.ec.europa.eu/qr/NIE DOTYCZY    ")</f>
        <v xml:space="preserve">https://eprel.ec.europa.eu/qr/NIE DOTYCZY    </v>
      </c>
      <c r="U714">
        <v>0.24</v>
      </c>
      <c r="V714">
        <v>0</v>
      </c>
      <c r="W714">
        <v>0</v>
      </c>
      <c r="X714">
        <v>0</v>
      </c>
      <c r="Y714">
        <v>0</v>
      </c>
    </row>
    <row r="715" spans="1:25" ht="15" x14ac:dyDescent="0.25">
      <c r="A715" t="s">
        <v>23</v>
      </c>
      <c r="B715" t="s">
        <v>2247</v>
      </c>
      <c r="C715"/>
      <c r="D715" t="s">
        <v>112</v>
      </c>
      <c r="E715" t="s">
        <v>14</v>
      </c>
      <c r="F715" t="s">
        <v>2256</v>
      </c>
      <c r="G715" t="s">
        <v>1538</v>
      </c>
      <c r="H715" t="s">
        <v>7</v>
      </c>
      <c r="I715">
        <v>35.72</v>
      </c>
      <c r="J715" s="41">
        <f>I715/'enter the discount'!$D$7</f>
        <v>8.3610317869013624</v>
      </c>
      <c r="K715" s="41">
        <f>J715*(1-IFERROR(VLOOKUP(H715,'enter the discount'!$D$10:$E$40,2,FALSE),0))</f>
        <v>8.3610317869013624</v>
      </c>
      <c r="L715" s="43" t="s">
        <v>2549</v>
      </c>
      <c r="M715" t="s">
        <v>1539</v>
      </c>
      <c r="N715" t="s">
        <v>934</v>
      </c>
      <c r="O715" t="s">
        <v>2723</v>
      </c>
      <c r="P715">
        <v>80</v>
      </c>
      <c r="Q715">
        <v>0</v>
      </c>
      <c r="R715" t="s">
        <v>2465</v>
      </c>
      <c r="S715" s="42" t="str">
        <f>HYPERLINK("https://sklep.kobi.pl/produkt/solar-led-lumina-6500k-led2b")</f>
        <v>https://sklep.kobi.pl/produkt/solar-led-lumina-6500k-led2b</v>
      </c>
      <c r="T715" s="42" t="str">
        <f>HYPERLINK("https://eprel.ec.europa.eu/qr/NIE DOTYCZY    ")</f>
        <v xml:space="preserve">https://eprel.ec.europa.eu/qr/NIE DOTYCZY    </v>
      </c>
      <c r="U715">
        <v>0.12</v>
      </c>
      <c r="V715">
        <v>0</v>
      </c>
      <c r="W715">
        <v>0</v>
      </c>
      <c r="X715">
        <v>0</v>
      </c>
      <c r="Y715">
        <v>0</v>
      </c>
    </row>
    <row r="716" spans="1:25" ht="15" x14ac:dyDescent="0.25">
      <c r="A716" t="s">
        <v>23</v>
      </c>
      <c r="B716" t="s">
        <v>2247</v>
      </c>
      <c r="C716"/>
      <c r="D716" t="s">
        <v>112</v>
      </c>
      <c r="E716" t="s">
        <v>14</v>
      </c>
      <c r="F716" t="s">
        <v>2257</v>
      </c>
      <c r="G716" t="s">
        <v>1540</v>
      </c>
      <c r="H716" t="s">
        <v>7</v>
      </c>
      <c r="I716">
        <v>67.680000000000007</v>
      </c>
      <c r="J716" s="41">
        <f>I716/'enter the discount'!$D$7</f>
        <v>15.841954964655216</v>
      </c>
      <c r="K716" s="41">
        <f>J716*(1-IFERROR(VLOOKUP(H716,'enter the discount'!$D$10:$E$40,2,FALSE),0))</f>
        <v>15.841954964655216</v>
      </c>
      <c r="L716" s="43" t="s">
        <v>2549</v>
      </c>
      <c r="M716" t="s">
        <v>1541</v>
      </c>
      <c r="N716" t="s">
        <v>934</v>
      </c>
      <c r="O716" t="s">
        <v>2724</v>
      </c>
      <c r="P716">
        <v>30</v>
      </c>
      <c r="Q716">
        <v>0</v>
      </c>
      <c r="R716" t="s">
        <v>2465</v>
      </c>
      <c r="S716"/>
      <c r="T716" s="42" t="str">
        <f>HYPERLINK("https://eprel.ec.europa.eu/qr/NIE DOTYCZY    ")</f>
        <v xml:space="preserve">https://eprel.ec.europa.eu/qr/NIE DOTYCZY    </v>
      </c>
      <c r="U716">
        <v>0.28000000000000003</v>
      </c>
      <c r="V716">
        <v>0</v>
      </c>
      <c r="W716">
        <v>0</v>
      </c>
      <c r="X716">
        <v>0</v>
      </c>
      <c r="Y716">
        <v>0</v>
      </c>
    </row>
    <row r="717" spans="1:25" ht="15" x14ac:dyDescent="0.25">
      <c r="A717" t="s">
        <v>23</v>
      </c>
      <c r="B717" t="s">
        <v>2247</v>
      </c>
      <c r="C717"/>
      <c r="D717" t="s">
        <v>112</v>
      </c>
      <c r="E717" t="s">
        <v>14</v>
      </c>
      <c r="F717" t="s">
        <v>2258</v>
      </c>
      <c r="G717" t="s">
        <v>1542</v>
      </c>
      <c r="H717" t="s">
        <v>7</v>
      </c>
      <c r="I717">
        <v>70.010000000000005</v>
      </c>
      <c r="J717" s="41">
        <f>I717/'enter the discount'!$D$7</f>
        <v>16.38734141660035</v>
      </c>
      <c r="K717" s="41">
        <f>J717*(1-IFERROR(VLOOKUP(H717,'enter the discount'!$D$10:$E$40,2,FALSE),0))</f>
        <v>16.38734141660035</v>
      </c>
      <c r="L717" s="43" t="s">
        <v>2549</v>
      </c>
      <c r="M717" t="s">
        <v>1543</v>
      </c>
      <c r="N717" t="s">
        <v>934</v>
      </c>
      <c r="O717" t="s">
        <v>2723</v>
      </c>
      <c r="P717">
        <v>60</v>
      </c>
      <c r="Q717">
        <v>0</v>
      </c>
      <c r="R717" t="s">
        <v>2465</v>
      </c>
      <c r="S717" s="42" t="str">
        <f>HYPERLINK("https://sklep.kobi.pl/produkt/solar-led-prism-6000k-led2b")</f>
        <v>https://sklep.kobi.pl/produkt/solar-led-prism-6000k-led2b</v>
      </c>
      <c r="T717" s="42" t="str">
        <f>HYPERLINK("https://eprel.ec.europa.eu/qr/NIE DOTYCZY    ")</f>
        <v xml:space="preserve">https://eprel.ec.europa.eu/qr/NIE DOTYCZY    </v>
      </c>
      <c r="U717">
        <v>0.35</v>
      </c>
      <c r="V717">
        <v>0</v>
      </c>
      <c r="W717">
        <v>0</v>
      </c>
      <c r="X717">
        <v>0</v>
      </c>
      <c r="Y717">
        <v>0</v>
      </c>
    </row>
    <row r="718" spans="1:25" ht="15" x14ac:dyDescent="0.25">
      <c r="A718" t="s">
        <v>23</v>
      </c>
      <c r="B718" t="s">
        <v>2247</v>
      </c>
      <c r="C718"/>
      <c r="D718" t="s">
        <v>112</v>
      </c>
      <c r="E718" t="s">
        <v>14</v>
      </c>
      <c r="F718" t="s">
        <v>2259</v>
      </c>
      <c r="G718" t="s">
        <v>1544</v>
      </c>
      <c r="H718" t="s">
        <v>7</v>
      </c>
      <c r="I718">
        <v>61.33</v>
      </c>
      <c r="J718" s="41">
        <f>I718/'enter the discount'!$D$7</f>
        <v>14.355601329525772</v>
      </c>
      <c r="K718" s="41">
        <f>J718*(1-IFERROR(VLOOKUP(H718,'enter the discount'!$D$10:$E$40,2,FALSE),0))</f>
        <v>14.355601329525772</v>
      </c>
      <c r="L718" s="43" t="s">
        <v>2549</v>
      </c>
      <c r="M718" t="s">
        <v>1545</v>
      </c>
      <c r="N718" t="s">
        <v>934</v>
      </c>
      <c r="O718" t="s">
        <v>2723</v>
      </c>
      <c r="P718">
        <v>6</v>
      </c>
      <c r="Q718">
        <v>0</v>
      </c>
      <c r="R718" t="s">
        <v>2465</v>
      </c>
      <c r="S718"/>
      <c r="T718" s="42" t="str">
        <f>HYPERLINK("https://eprel.ec.europa.eu/qr/NIE DOTYCZY    ")</f>
        <v xml:space="preserve">https://eprel.ec.europa.eu/qr/NIE DOTYCZY    </v>
      </c>
      <c r="U718">
        <v>0.39</v>
      </c>
      <c r="V718">
        <v>0</v>
      </c>
      <c r="W718">
        <v>0</v>
      </c>
      <c r="X718">
        <v>0</v>
      </c>
      <c r="Y718">
        <v>0</v>
      </c>
    </row>
    <row r="719" spans="1:25" ht="15" x14ac:dyDescent="0.25">
      <c r="A719" t="s">
        <v>23</v>
      </c>
      <c r="B719" t="s">
        <v>2247</v>
      </c>
      <c r="C719"/>
      <c r="D719" t="s">
        <v>112</v>
      </c>
      <c r="E719" t="s">
        <v>14</v>
      </c>
      <c r="F719" t="s">
        <v>2260</v>
      </c>
      <c r="G719" t="s">
        <v>1546</v>
      </c>
      <c r="H719" t="s">
        <v>7</v>
      </c>
      <c r="I719">
        <v>99.21</v>
      </c>
      <c r="J719" s="41">
        <f>I719/'enter the discount'!$D$7</f>
        <v>23.222227423809745</v>
      </c>
      <c r="K719" s="41">
        <f>J719*(1-IFERROR(VLOOKUP(H719,'enter the discount'!$D$10:$E$40,2,FALSE),0))</f>
        <v>23.222227423809745</v>
      </c>
      <c r="L719" s="43" t="s">
        <v>2549</v>
      </c>
      <c r="M719" t="s">
        <v>1547</v>
      </c>
      <c r="N719" t="s">
        <v>934</v>
      </c>
      <c r="O719" t="s">
        <v>2724</v>
      </c>
      <c r="P719">
        <v>3</v>
      </c>
      <c r="Q719">
        <v>0</v>
      </c>
      <c r="R719" t="s">
        <v>2465</v>
      </c>
      <c r="S719"/>
      <c r="T719" s="42" t="str">
        <f>HYPERLINK("https://eprel.ec.europa.eu/qr/NIE DOTYCZY    ")</f>
        <v xml:space="preserve">https://eprel.ec.europa.eu/qr/NIE DOTYCZY    </v>
      </c>
      <c r="U719">
        <v>0.75</v>
      </c>
      <c r="V719">
        <v>0</v>
      </c>
      <c r="W719">
        <v>0</v>
      </c>
      <c r="X719">
        <v>0</v>
      </c>
      <c r="Y719">
        <v>0</v>
      </c>
    </row>
    <row r="720" spans="1:25" ht="15" x14ac:dyDescent="0.25">
      <c r="A720" t="s">
        <v>23</v>
      </c>
      <c r="B720" t="s">
        <v>2247</v>
      </c>
      <c r="C720"/>
      <c r="D720" t="s">
        <v>112</v>
      </c>
      <c r="E720" t="s">
        <v>14</v>
      </c>
      <c r="F720" t="s">
        <v>2261</v>
      </c>
      <c r="G720" t="s">
        <v>1548</v>
      </c>
      <c r="H720" t="s">
        <v>7</v>
      </c>
      <c r="I720">
        <v>106.58</v>
      </c>
      <c r="J720" s="41">
        <f>I720/'enter the discount'!$D$7</f>
        <v>24.947333926314311</v>
      </c>
      <c r="K720" s="41">
        <f>J720*(1-IFERROR(VLOOKUP(H720,'enter the discount'!$D$10:$E$40,2,FALSE),0))</f>
        <v>24.947333926314311</v>
      </c>
      <c r="L720" s="43" t="s">
        <v>2549</v>
      </c>
      <c r="M720" t="s">
        <v>1549</v>
      </c>
      <c r="N720" t="s">
        <v>934</v>
      </c>
      <c r="O720" t="s">
        <v>2723</v>
      </c>
      <c r="P720">
        <v>24</v>
      </c>
      <c r="Q720">
        <v>0</v>
      </c>
      <c r="R720" t="s">
        <v>2465</v>
      </c>
      <c r="S720"/>
      <c r="T720" s="42" t="str">
        <f>HYPERLINK("https://eprel.ec.europa.eu/qr/NIE DOTYCZY    ")</f>
        <v xml:space="preserve">https://eprel.ec.europa.eu/qr/NIE DOTYCZY    </v>
      </c>
      <c r="U720">
        <v>0.41</v>
      </c>
      <c r="V720">
        <v>0</v>
      </c>
      <c r="W720">
        <v>0</v>
      </c>
      <c r="X720">
        <v>0</v>
      </c>
      <c r="Y720">
        <v>0</v>
      </c>
    </row>
    <row r="721" spans="1:25" ht="15" x14ac:dyDescent="0.25">
      <c r="A721" t="s">
        <v>23</v>
      </c>
      <c r="B721" t="s">
        <v>2247</v>
      </c>
      <c r="C721"/>
      <c r="D721" t="s">
        <v>112</v>
      </c>
      <c r="E721" t="s">
        <v>14</v>
      </c>
      <c r="F721" t="s">
        <v>2262</v>
      </c>
      <c r="G721" t="s">
        <v>1550</v>
      </c>
      <c r="H721" t="s">
        <v>7</v>
      </c>
      <c r="I721">
        <v>43.72</v>
      </c>
      <c r="J721" s="41">
        <f>I721/'enter the discount'!$D$7</f>
        <v>10.233603295725855</v>
      </c>
      <c r="K721" s="41">
        <f>J721*(1-IFERROR(VLOOKUP(H721,'enter the discount'!$D$10:$E$40,2,FALSE),0))</f>
        <v>10.233603295725855</v>
      </c>
      <c r="L721" s="43" t="s">
        <v>2549</v>
      </c>
      <c r="M721" t="s">
        <v>1551</v>
      </c>
      <c r="N721" t="s">
        <v>934</v>
      </c>
      <c r="O721" t="s">
        <v>2723</v>
      </c>
      <c r="P721">
        <v>40</v>
      </c>
      <c r="Q721">
        <v>0</v>
      </c>
      <c r="R721" t="s">
        <v>2465</v>
      </c>
      <c r="S721" s="42" t="str">
        <f>HYPERLINK("https://sklep.kobi.pl/produkt/solar-10-led-starlight-6000k-led2b")</f>
        <v>https://sklep.kobi.pl/produkt/solar-10-led-starlight-6000k-led2b</v>
      </c>
      <c r="T721" s="42" t="str">
        <f>HYPERLINK("https://eprel.ec.europa.eu/qr/NIE DOTYCZY    ")</f>
        <v xml:space="preserve">https://eprel.ec.europa.eu/qr/NIE DOTYCZY    </v>
      </c>
      <c r="U721">
        <v>0.24</v>
      </c>
      <c r="V721">
        <v>0</v>
      </c>
      <c r="W721">
        <v>0</v>
      </c>
      <c r="X721">
        <v>0</v>
      </c>
      <c r="Y721">
        <v>0</v>
      </c>
    </row>
    <row r="722" spans="1:25" ht="15" x14ac:dyDescent="0.25">
      <c r="A722" t="s">
        <v>23</v>
      </c>
      <c r="B722" t="s">
        <v>2247</v>
      </c>
      <c r="C722"/>
      <c r="D722" t="s">
        <v>112</v>
      </c>
      <c r="E722" t="s">
        <v>14</v>
      </c>
      <c r="F722" t="s">
        <v>2263</v>
      </c>
      <c r="G722" t="s">
        <v>1552</v>
      </c>
      <c r="H722" t="s">
        <v>7</v>
      </c>
      <c r="I722">
        <v>58.4</v>
      </c>
      <c r="J722" s="41">
        <f>I722/'enter the discount'!$D$7</f>
        <v>13.6697720144188</v>
      </c>
      <c r="K722" s="41">
        <f>J722*(1-IFERROR(VLOOKUP(H722,'enter the discount'!$D$10:$E$40,2,FALSE),0))</f>
        <v>13.6697720144188</v>
      </c>
      <c r="L722" s="43" t="s">
        <v>2549</v>
      </c>
      <c r="M722" t="s">
        <v>1553</v>
      </c>
      <c r="N722" t="s">
        <v>934</v>
      </c>
      <c r="O722" t="s">
        <v>2723</v>
      </c>
      <c r="P722">
        <v>20</v>
      </c>
      <c r="Q722">
        <v>0</v>
      </c>
      <c r="R722" t="s">
        <v>2465</v>
      </c>
      <c r="S722" s="42" t="str">
        <f>HYPERLINK("https://sklep.kobi.pl/produkt/solar-20-led-starlight-3000k-led2b")</f>
        <v>https://sklep.kobi.pl/produkt/solar-20-led-starlight-3000k-led2b</v>
      </c>
      <c r="T722" s="42" t="str">
        <f>HYPERLINK("https://eprel.ec.europa.eu/qr/NIE DOTYCZY    ")</f>
        <v xml:space="preserve">https://eprel.ec.europa.eu/qr/NIE DOTYCZY    </v>
      </c>
      <c r="U722">
        <v>0.4</v>
      </c>
      <c r="V722">
        <v>0.51</v>
      </c>
      <c r="W722">
        <v>0</v>
      </c>
      <c r="X722">
        <v>0</v>
      </c>
      <c r="Y722">
        <v>0</v>
      </c>
    </row>
    <row r="723" spans="1:25" ht="15" x14ac:dyDescent="0.25">
      <c r="A723" t="s">
        <v>23</v>
      </c>
      <c r="B723" t="s">
        <v>2247</v>
      </c>
      <c r="C723"/>
      <c r="D723" t="s">
        <v>112</v>
      </c>
      <c r="E723" t="s">
        <v>14</v>
      </c>
      <c r="F723" t="s">
        <v>2264</v>
      </c>
      <c r="G723" t="s">
        <v>1554</v>
      </c>
      <c r="H723" t="s">
        <v>7</v>
      </c>
      <c r="I723">
        <v>67.040000000000006</v>
      </c>
      <c r="J723" s="41">
        <f>I723/'enter the discount'!$D$7</f>
        <v>15.692149243949256</v>
      </c>
      <c r="K723" s="41">
        <f>J723*(1-IFERROR(VLOOKUP(H723,'enter the discount'!$D$10:$E$40,2,FALSE),0))</f>
        <v>15.692149243949256</v>
      </c>
      <c r="L723" s="43" t="s">
        <v>2549</v>
      </c>
      <c r="M723" t="s">
        <v>1555</v>
      </c>
      <c r="N723" t="s">
        <v>934</v>
      </c>
      <c r="O723" t="s">
        <v>2723</v>
      </c>
      <c r="P723">
        <v>20</v>
      </c>
      <c r="Q723">
        <v>0</v>
      </c>
      <c r="R723" t="s">
        <v>2465</v>
      </c>
      <c r="S723" s="42" t="str">
        <f>HYPERLINK("https://sklep.kobi.pl/produkt/solar-30-led-starlight-3000k-led2b")</f>
        <v>https://sklep.kobi.pl/produkt/solar-30-led-starlight-3000k-led2b</v>
      </c>
      <c r="T723" s="42" t="str">
        <f>HYPERLINK("https://eprel.ec.europa.eu/qr/NIE DOTYCZY    ")</f>
        <v xml:space="preserve">https://eprel.ec.europa.eu/qr/NIE DOTYCZY    </v>
      </c>
      <c r="U723">
        <v>0.55000000000000004</v>
      </c>
      <c r="V723">
        <v>0</v>
      </c>
      <c r="W723">
        <v>0</v>
      </c>
      <c r="X723">
        <v>0</v>
      </c>
      <c r="Y723">
        <v>0</v>
      </c>
    </row>
    <row r="724" spans="1:25" ht="15" x14ac:dyDescent="0.25">
      <c r="A724" t="s">
        <v>23</v>
      </c>
      <c r="B724" t="s">
        <v>2247</v>
      </c>
      <c r="C724"/>
      <c r="D724" t="s">
        <v>112</v>
      </c>
      <c r="E724" t="s">
        <v>14</v>
      </c>
      <c r="F724" t="s">
        <v>2265</v>
      </c>
      <c r="G724" t="s">
        <v>1556</v>
      </c>
      <c r="H724" t="s">
        <v>7</v>
      </c>
      <c r="I724">
        <v>65.56</v>
      </c>
      <c r="J724" s="41">
        <f>I724/'enter the discount'!$D$7</f>
        <v>15.345723514816724</v>
      </c>
      <c r="K724" s="41">
        <f>J724*(1-IFERROR(VLOOKUP(H724,'enter the discount'!$D$10:$E$40,2,FALSE),0))</f>
        <v>15.345723514816724</v>
      </c>
      <c r="L724" s="43" t="s">
        <v>2549</v>
      </c>
      <c r="M724" t="s">
        <v>1557</v>
      </c>
      <c r="N724" t="s">
        <v>934</v>
      </c>
      <c r="O724" t="s">
        <v>2723</v>
      </c>
      <c r="P724">
        <v>24</v>
      </c>
      <c r="Q724">
        <v>0</v>
      </c>
      <c r="R724" t="s">
        <v>2465</v>
      </c>
      <c r="S724" s="42" t="str">
        <f>HYPERLINK("https://sklep.kobi.pl/produkt/solar-300-led-spark-3000k-led2b")</f>
        <v>https://sklep.kobi.pl/produkt/solar-300-led-spark-3000k-led2b</v>
      </c>
      <c r="T724" s="42" t="str">
        <f>HYPERLINK("https://eprel.ec.europa.eu/qr/NIE DOTYCZY    ")</f>
        <v xml:space="preserve">https://eprel.ec.europa.eu/qr/NIE DOTYCZY    </v>
      </c>
      <c r="U724">
        <v>0.15</v>
      </c>
      <c r="V724">
        <v>0</v>
      </c>
      <c r="W724">
        <v>0</v>
      </c>
      <c r="X724">
        <v>0</v>
      </c>
      <c r="Y724">
        <v>0</v>
      </c>
    </row>
    <row r="725" spans="1:25" ht="15" x14ac:dyDescent="0.25">
      <c r="A725" t="s">
        <v>23</v>
      </c>
      <c r="B725" t="s">
        <v>2247</v>
      </c>
      <c r="C725"/>
      <c r="D725" t="s">
        <v>112</v>
      </c>
      <c r="E725" t="s">
        <v>14</v>
      </c>
      <c r="F725" t="s">
        <v>2266</v>
      </c>
      <c r="G725" t="s">
        <v>1558</v>
      </c>
      <c r="H725" t="s">
        <v>7</v>
      </c>
      <c r="I725">
        <v>423.92</v>
      </c>
      <c r="J725" s="41">
        <f>I725/'enter the discount'!$D$7</f>
        <v>99.227564252609909</v>
      </c>
      <c r="K725" s="41">
        <f>J725*(1-IFERROR(VLOOKUP(H725,'enter the discount'!$D$10:$E$40,2,FALSE),0))</f>
        <v>99.227564252609909</v>
      </c>
      <c r="L725" s="43" t="s">
        <v>2549</v>
      </c>
      <c r="M725" t="s">
        <v>1559</v>
      </c>
      <c r="N725" t="s">
        <v>934</v>
      </c>
      <c r="O725" t="s">
        <v>2724</v>
      </c>
      <c r="P725">
        <v>6</v>
      </c>
      <c r="Q725">
        <v>0</v>
      </c>
      <c r="R725" t="s">
        <v>2465</v>
      </c>
      <c r="S725"/>
      <c r="T725" s="42" t="str">
        <f>HYPERLINK("https://eprel.ec.europa.eu/qr/NIE DOTYCZY    ")</f>
        <v xml:space="preserve">https://eprel.ec.europa.eu/qr/NIE DOTYCZY    </v>
      </c>
      <c r="U725">
        <v>1.64</v>
      </c>
      <c r="V725">
        <v>0</v>
      </c>
      <c r="W725">
        <v>0</v>
      </c>
      <c r="X725">
        <v>0</v>
      </c>
      <c r="Y725">
        <v>0</v>
      </c>
    </row>
    <row r="726" spans="1:25" ht="15" x14ac:dyDescent="0.25">
      <c r="A726" t="s">
        <v>23</v>
      </c>
      <c r="B726" t="s">
        <v>2247</v>
      </c>
      <c r="C726"/>
      <c r="D726" t="s">
        <v>112</v>
      </c>
      <c r="E726" t="s">
        <v>14</v>
      </c>
      <c r="F726" t="s">
        <v>2267</v>
      </c>
      <c r="G726" t="s">
        <v>1560</v>
      </c>
      <c r="H726" t="s">
        <v>7</v>
      </c>
      <c r="I726">
        <v>105.09</v>
      </c>
      <c r="J726" s="41">
        <f>I726/'enter the discount'!$D$7</f>
        <v>24.598567482795751</v>
      </c>
      <c r="K726" s="41">
        <f>J726*(1-IFERROR(VLOOKUP(H726,'enter the discount'!$D$10:$E$40,2,FALSE),0))</f>
        <v>24.598567482795751</v>
      </c>
      <c r="L726" s="43" t="s">
        <v>2549</v>
      </c>
      <c r="M726" t="s">
        <v>1561</v>
      </c>
      <c r="N726" t="s">
        <v>934</v>
      </c>
      <c r="O726" t="s">
        <v>2723</v>
      </c>
      <c r="P726">
        <v>36</v>
      </c>
      <c r="Q726">
        <v>0</v>
      </c>
      <c r="R726" t="s">
        <v>2465</v>
      </c>
      <c r="S726" s="42" t="str">
        <f>HYPERLINK("https://sklep.kobi.pl/produkt/solar-led-sway-6000k-led2b")</f>
        <v>https://sklep.kobi.pl/produkt/solar-led-sway-6000k-led2b</v>
      </c>
      <c r="T726" s="42" t="str">
        <f>HYPERLINK("https://eprel.ec.europa.eu/qr/NIE DOTYCZY    ")</f>
        <v xml:space="preserve">https://eprel.ec.europa.eu/qr/NIE DOTYCZY    </v>
      </c>
      <c r="U726">
        <v>0.46</v>
      </c>
      <c r="V726">
        <v>0</v>
      </c>
      <c r="W726">
        <v>0</v>
      </c>
      <c r="X726">
        <v>0</v>
      </c>
      <c r="Y726">
        <v>0</v>
      </c>
    </row>
    <row r="727" spans="1:25" ht="15" x14ac:dyDescent="0.25">
      <c r="A727" t="s">
        <v>22</v>
      </c>
      <c r="B727" t="s">
        <v>1008</v>
      </c>
      <c r="C727"/>
      <c r="D727" t="s">
        <v>961</v>
      </c>
      <c r="E727" t="s">
        <v>2722</v>
      </c>
      <c r="F727" t="s">
        <v>2268</v>
      </c>
      <c r="G727" t="s">
        <v>1009</v>
      </c>
      <c r="H727" t="s">
        <v>1</v>
      </c>
      <c r="I727">
        <v>331.88</v>
      </c>
      <c r="J727" s="41">
        <f>I727/'enter the discount'!$D$7</f>
        <v>77.683629043584105</v>
      </c>
      <c r="K727" s="41">
        <f>J727*(1-IFERROR(VLOOKUP(H727,'enter the discount'!$D$10:$E$40,2,FALSE),0))</f>
        <v>77.683629043584105</v>
      </c>
      <c r="L727" s="43" t="s">
        <v>859</v>
      </c>
      <c r="M727" t="s">
        <v>1010</v>
      </c>
      <c r="N727" t="s">
        <v>936</v>
      </c>
      <c r="O727" t="s">
        <v>2723</v>
      </c>
      <c r="P727">
        <v>5</v>
      </c>
      <c r="Q727">
        <v>0</v>
      </c>
      <c r="R727" t="s">
        <v>2467</v>
      </c>
      <c r="S727" s="42" t="str">
        <f>HYPERLINK("https://sklep.kobi.pl/produkt/led-ariel-40w-4400lm-4000k-ip44")</f>
        <v>https://sklep.kobi.pl/produkt/led-ariel-40w-4400lm-4000k-ip44</v>
      </c>
      <c r="T727" s="42" t="str">
        <f>HYPERLINK("https://eprel.ec.europa.eu/qr/941060         ")</f>
        <v xml:space="preserve">https://eprel.ec.europa.eu/qr/941060         </v>
      </c>
      <c r="U727">
        <v>2.1</v>
      </c>
      <c r="V727"/>
      <c r="W727"/>
      <c r="X727"/>
      <c r="Y727"/>
    </row>
    <row r="728" spans="1:25" ht="15" x14ac:dyDescent="0.25">
      <c r="A728" t="s">
        <v>22</v>
      </c>
      <c r="B728" t="s">
        <v>1569</v>
      </c>
      <c r="C728"/>
      <c r="D728" t="s">
        <v>945</v>
      </c>
      <c r="E728" t="s">
        <v>14</v>
      </c>
      <c r="F728" t="s">
        <v>2269</v>
      </c>
      <c r="G728" t="s">
        <v>1177</v>
      </c>
      <c r="H728" t="s">
        <v>945</v>
      </c>
      <c r="I728">
        <v>211</v>
      </c>
      <c r="J728" s="41">
        <f>I728/'enter the discount'!$D$7</f>
        <v>49.389073545246013</v>
      </c>
      <c r="K728" s="41">
        <f>J728*(1-IFERROR(VLOOKUP(H728,'enter the discount'!$D$10:$E$40,2,FALSE),0))</f>
        <v>49.389073545246013</v>
      </c>
      <c r="L728" s="43" t="s">
        <v>2549</v>
      </c>
      <c r="M728" t="s">
        <v>1178</v>
      </c>
      <c r="N728" t="s">
        <v>1179</v>
      </c>
      <c r="O728" t="s">
        <v>2723</v>
      </c>
      <c r="P728">
        <v>1</v>
      </c>
      <c r="Q728">
        <v>0</v>
      </c>
      <c r="R728" t="s">
        <v>2467</v>
      </c>
      <c r="S728" s="42" t="str">
        <f>HYPERLINK("https://sklep.kobi.pl/produkt/szyna-3-fazowa-2m-biala-do-nextrack-nt-pl")</f>
        <v>https://sklep.kobi.pl/produkt/szyna-3-fazowa-2m-biala-do-nextrack-nt-pl</v>
      </c>
      <c r="T728" s="42" t="str">
        <f>HYPERLINK("https://eprel.ec.europa.eu/qr/NIE DOTYCZY    ")</f>
        <v xml:space="preserve">https://eprel.ec.europa.eu/qr/NIE DOTYCZY    </v>
      </c>
      <c r="U728">
        <v>1.54</v>
      </c>
      <c r="V728"/>
      <c r="W728">
        <v>2000</v>
      </c>
      <c r="X728">
        <v>40</v>
      </c>
      <c r="Y728">
        <v>30</v>
      </c>
    </row>
    <row r="729" spans="1:25" ht="15" x14ac:dyDescent="0.25">
      <c r="A729" t="s">
        <v>22</v>
      </c>
      <c r="B729" t="s">
        <v>1569</v>
      </c>
      <c r="C729"/>
      <c r="D729" t="s">
        <v>945</v>
      </c>
      <c r="E729" t="s">
        <v>14</v>
      </c>
      <c r="F729" t="s">
        <v>2270</v>
      </c>
      <c r="G729" t="s">
        <v>1180</v>
      </c>
      <c r="H729" t="s">
        <v>945</v>
      </c>
      <c r="I729">
        <v>211</v>
      </c>
      <c r="J729" s="41">
        <f>I729/'enter the discount'!$D$7</f>
        <v>49.389073545246013</v>
      </c>
      <c r="K729" s="41">
        <f>J729*(1-IFERROR(VLOOKUP(H729,'enter the discount'!$D$10:$E$40,2,FALSE),0))</f>
        <v>49.389073545246013</v>
      </c>
      <c r="L729" s="43" t="s">
        <v>2549</v>
      </c>
      <c r="M729" t="s">
        <v>1181</v>
      </c>
      <c r="N729" t="s">
        <v>1179</v>
      </c>
      <c r="O729" t="s">
        <v>2723</v>
      </c>
      <c r="P729">
        <v>1</v>
      </c>
      <c r="Q729">
        <v>0</v>
      </c>
      <c r="R729" t="s">
        <v>2467</v>
      </c>
      <c r="S729" s="42" t="str">
        <f>HYPERLINK("https://sklep.kobi.pl/produkt/szyna-3-fazowa-2m-czarna-do-nextrack-nt")</f>
        <v>https://sklep.kobi.pl/produkt/szyna-3-fazowa-2m-czarna-do-nextrack-nt</v>
      </c>
      <c r="T729" s="42" t="str">
        <f>HYPERLINK("https://eprel.ec.europa.eu/qr/NIE DOTYCZY    ")</f>
        <v xml:space="preserve">https://eprel.ec.europa.eu/qr/NIE DOTYCZY    </v>
      </c>
      <c r="U729">
        <v>1.54</v>
      </c>
      <c r="V729"/>
      <c r="W729">
        <v>2000</v>
      </c>
      <c r="X729">
        <v>40</v>
      </c>
      <c r="Y729">
        <v>30</v>
      </c>
    </row>
    <row r="730" spans="1:25" ht="15" x14ac:dyDescent="0.25">
      <c r="A730" t="s">
        <v>22</v>
      </c>
      <c r="B730" t="s">
        <v>1569</v>
      </c>
      <c r="C730"/>
      <c r="D730" t="s">
        <v>945</v>
      </c>
      <c r="E730" t="s">
        <v>14</v>
      </c>
      <c r="F730" t="s">
        <v>1182</v>
      </c>
      <c r="G730" t="s">
        <v>1183</v>
      </c>
      <c r="H730" t="s">
        <v>945</v>
      </c>
      <c r="I730">
        <v>33</v>
      </c>
      <c r="J730" s="41">
        <f>I730/'enter the discount'!$D$7</f>
        <v>7.7243574739010352</v>
      </c>
      <c r="K730" s="41">
        <f>J730*(1-IFERROR(VLOOKUP(H730,'enter the discount'!$D$10:$E$40,2,FALSE),0))</f>
        <v>7.7243574739010352</v>
      </c>
      <c r="L730" s="43" t="s">
        <v>478</v>
      </c>
      <c r="M730" t="s">
        <v>1184</v>
      </c>
      <c r="N730" t="s">
        <v>1185</v>
      </c>
      <c r="O730" t="s">
        <v>2723</v>
      </c>
      <c r="P730">
        <v>50</v>
      </c>
      <c r="Q730">
        <v>0</v>
      </c>
      <c r="R730" t="s">
        <v>2467</v>
      </c>
      <c r="S730" s="42" t="str">
        <f>HYPERLINK("https://sklep.kobi.pl/produkt/zasilanie-lewe-biale-do-nextrack-nt")</f>
        <v>https://sklep.kobi.pl/produkt/zasilanie-lewe-biale-do-nextrack-nt</v>
      </c>
      <c r="T730" t="s">
        <v>14</v>
      </c>
      <c r="U730">
        <v>5.3999999999999999E-2</v>
      </c>
      <c r="V730">
        <v>5.7000000000000002E-2</v>
      </c>
      <c r="W730">
        <v>100</v>
      </c>
      <c r="X730">
        <v>30</v>
      </c>
      <c r="Y730">
        <v>30</v>
      </c>
    </row>
    <row r="731" spans="1:25" ht="15" x14ac:dyDescent="0.25">
      <c r="A731" t="s">
        <v>22</v>
      </c>
      <c r="B731" t="s">
        <v>1569</v>
      </c>
      <c r="C731"/>
      <c r="D731" t="s">
        <v>945</v>
      </c>
      <c r="E731" t="s">
        <v>14</v>
      </c>
      <c r="F731" t="s">
        <v>1186</v>
      </c>
      <c r="G731" t="s">
        <v>1187</v>
      </c>
      <c r="H731" t="s">
        <v>945</v>
      </c>
      <c r="I731">
        <v>33</v>
      </c>
      <c r="J731" s="41">
        <f>I731/'enter the discount'!$D$7</f>
        <v>7.7243574739010352</v>
      </c>
      <c r="K731" s="41">
        <f>J731*(1-IFERROR(VLOOKUP(H731,'enter the discount'!$D$10:$E$40,2,FALSE),0))</f>
        <v>7.7243574739010352</v>
      </c>
      <c r="L731" s="43" t="s">
        <v>478</v>
      </c>
      <c r="M731" t="s">
        <v>1188</v>
      </c>
      <c r="N731" t="s">
        <v>1185</v>
      </c>
      <c r="O731" t="s">
        <v>2723</v>
      </c>
      <c r="P731">
        <v>50</v>
      </c>
      <c r="Q731">
        <v>0</v>
      </c>
      <c r="R731" t="s">
        <v>2467</v>
      </c>
      <c r="S731" s="42" t="str">
        <f>HYPERLINK("https://sklep.kobi.pl/produkt/zasilanie-lewe-czarne-do-nextrack-nt")</f>
        <v>https://sklep.kobi.pl/produkt/zasilanie-lewe-czarne-do-nextrack-nt</v>
      </c>
      <c r="T731" t="s">
        <v>14</v>
      </c>
      <c r="U731">
        <v>5.3999999999999999E-2</v>
      </c>
      <c r="V731">
        <v>5.7000000000000002E-2</v>
      </c>
      <c r="W731">
        <v>100</v>
      </c>
      <c r="X731">
        <v>30</v>
      </c>
      <c r="Y731">
        <v>30</v>
      </c>
    </row>
    <row r="732" spans="1:25" ht="15" x14ac:dyDescent="0.25">
      <c r="A732" t="s">
        <v>22</v>
      </c>
      <c r="B732" t="s">
        <v>1569</v>
      </c>
      <c r="C732"/>
      <c r="D732" t="s">
        <v>945</v>
      </c>
      <c r="E732" t="s">
        <v>14</v>
      </c>
      <c r="F732" t="s">
        <v>2271</v>
      </c>
      <c r="G732" t="s">
        <v>1189</v>
      </c>
      <c r="H732" t="s">
        <v>945</v>
      </c>
      <c r="I732">
        <v>33</v>
      </c>
      <c r="J732" s="41">
        <f>I732/'enter the discount'!$D$7</f>
        <v>7.7243574739010352</v>
      </c>
      <c r="K732" s="41">
        <f>J732*(1-IFERROR(VLOOKUP(H732,'enter the discount'!$D$10:$E$40,2,FALSE),0))</f>
        <v>7.7243574739010352</v>
      </c>
      <c r="L732" s="43" t="s">
        <v>478</v>
      </c>
      <c r="M732" t="s">
        <v>1190</v>
      </c>
      <c r="N732" t="s">
        <v>1185</v>
      </c>
      <c r="O732" t="s">
        <v>2723</v>
      </c>
      <c r="P732">
        <v>50</v>
      </c>
      <c r="Q732">
        <v>0</v>
      </c>
      <c r="R732" t="s">
        <v>2467</v>
      </c>
      <c r="S732" s="42" t="str">
        <f>HYPERLINK("https://sklep.kobi.pl/produkt/zasilanie-prawe-biale-do-nextrack-nt")</f>
        <v>https://sklep.kobi.pl/produkt/zasilanie-prawe-biale-do-nextrack-nt</v>
      </c>
      <c r="T732" t="s">
        <v>14</v>
      </c>
      <c r="U732">
        <v>5.3999999999999999E-2</v>
      </c>
      <c r="V732">
        <v>5.7000000000000002E-2</v>
      </c>
      <c r="W732">
        <v>100</v>
      </c>
      <c r="X732">
        <v>30</v>
      </c>
      <c r="Y732">
        <v>30</v>
      </c>
    </row>
    <row r="733" spans="1:25" ht="15" x14ac:dyDescent="0.25">
      <c r="A733" t="s">
        <v>22</v>
      </c>
      <c r="B733" t="s">
        <v>1569</v>
      </c>
      <c r="C733"/>
      <c r="D733" t="s">
        <v>945</v>
      </c>
      <c r="E733" t="s">
        <v>14</v>
      </c>
      <c r="F733" t="s">
        <v>2272</v>
      </c>
      <c r="G733" t="s">
        <v>1191</v>
      </c>
      <c r="H733" t="s">
        <v>945</v>
      </c>
      <c r="I733">
        <v>33</v>
      </c>
      <c r="J733" s="41">
        <f>I733/'enter the discount'!$D$7</f>
        <v>7.7243574739010352</v>
      </c>
      <c r="K733" s="41">
        <f>J733*(1-IFERROR(VLOOKUP(H733,'enter the discount'!$D$10:$E$40,2,FALSE),0))</f>
        <v>7.7243574739010352</v>
      </c>
      <c r="L733" s="43" t="s">
        <v>478</v>
      </c>
      <c r="M733" t="s">
        <v>1192</v>
      </c>
      <c r="N733" t="s">
        <v>1185</v>
      </c>
      <c r="O733" t="s">
        <v>2723</v>
      </c>
      <c r="P733">
        <v>50</v>
      </c>
      <c r="Q733">
        <v>0</v>
      </c>
      <c r="R733" t="s">
        <v>2467</v>
      </c>
      <c r="S733" s="42" t="str">
        <f>HYPERLINK("https://sklep.kobi.pl/produkt/zasilanie-prawe-czarne-do-nextrack-nt")</f>
        <v>https://sklep.kobi.pl/produkt/zasilanie-prawe-czarne-do-nextrack-nt</v>
      </c>
      <c r="T733" t="s">
        <v>14</v>
      </c>
      <c r="U733">
        <v>5.3999999999999999E-2</v>
      </c>
      <c r="V733">
        <v>5.7000000000000002E-2</v>
      </c>
      <c r="W733">
        <v>100</v>
      </c>
      <c r="X733">
        <v>30</v>
      </c>
      <c r="Y733">
        <v>30</v>
      </c>
    </row>
    <row r="734" spans="1:25" ht="15" x14ac:dyDescent="0.25">
      <c r="A734" t="s">
        <v>22</v>
      </c>
      <c r="B734" t="s">
        <v>1569</v>
      </c>
      <c r="C734"/>
      <c r="D734" t="s">
        <v>945</v>
      </c>
      <c r="E734" t="s">
        <v>14</v>
      </c>
      <c r="F734" t="s">
        <v>2273</v>
      </c>
      <c r="G734" t="s">
        <v>1193</v>
      </c>
      <c r="H734" t="s">
        <v>945</v>
      </c>
      <c r="I734">
        <v>7</v>
      </c>
      <c r="J734" s="41">
        <f>I734/'enter the discount'!$D$7</f>
        <v>1.6385000702214316</v>
      </c>
      <c r="K734" s="41">
        <f>J734*(1-IFERROR(VLOOKUP(H734,'enter the discount'!$D$10:$E$40,2,FALSE),0))</f>
        <v>1.6385000702214316</v>
      </c>
      <c r="L734" s="43" t="s">
        <v>478</v>
      </c>
      <c r="M734" t="s">
        <v>1194</v>
      </c>
      <c r="N734" t="s">
        <v>805</v>
      </c>
      <c r="O734" t="s">
        <v>2723</v>
      </c>
      <c r="P734">
        <v>200</v>
      </c>
      <c r="Q734">
        <v>0</v>
      </c>
      <c r="R734" t="s">
        <v>2467</v>
      </c>
      <c r="S734" s="42" t="str">
        <f>HYPERLINK("https://sklep.kobi.pl/produkt/zaslepka-biala-do-nextrack-nt")</f>
        <v>https://sklep.kobi.pl/produkt/zaslepka-biala-do-nextrack-nt</v>
      </c>
      <c r="T734" t="s">
        <v>14</v>
      </c>
      <c r="U734">
        <v>8.0000000000000002E-3</v>
      </c>
      <c r="V734">
        <v>8.9999999999999993E-3</v>
      </c>
      <c r="W734">
        <v>30</v>
      </c>
      <c r="X734">
        <v>10</v>
      </c>
      <c r="Y734">
        <v>40</v>
      </c>
    </row>
    <row r="735" spans="1:25" ht="15" x14ac:dyDescent="0.25">
      <c r="A735" t="s">
        <v>22</v>
      </c>
      <c r="B735" t="s">
        <v>1569</v>
      </c>
      <c r="C735"/>
      <c r="D735" t="s">
        <v>945</v>
      </c>
      <c r="E735" t="s">
        <v>14</v>
      </c>
      <c r="F735" t="s">
        <v>2274</v>
      </c>
      <c r="G735" t="s">
        <v>1195</v>
      </c>
      <c r="H735" t="s">
        <v>945</v>
      </c>
      <c r="I735">
        <v>7</v>
      </c>
      <c r="J735" s="41">
        <f>I735/'enter the discount'!$D$7</f>
        <v>1.6385000702214316</v>
      </c>
      <c r="K735" s="41">
        <f>J735*(1-IFERROR(VLOOKUP(H735,'enter the discount'!$D$10:$E$40,2,FALSE),0))</f>
        <v>1.6385000702214316</v>
      </c>
      <c r="L735" s="43" t="s">
        <v>478</v>
      </c>
      <c r="M735" t="s">
        <v>1196</v>
      </c>
      <c r="N735" t="s">
        <v>805</v>
      </c>
      <c r="O735" t="s">
        <v>2723</v>
      </c>
      <c r="P735">
        <v>200</v>
      </c>
      <c r="Q735">
        <v>0</v>
      </c>
      <c r="R735" t="s">
        <v>2467</v>
      </c>
      <c r="S735" s="42" t="str">
        <f>HYPERLINK("https://sklep.kobi.pl/produkt/zaslepka-czarna-do-nextrack-nt")</f>
        <v>https://sklep.kobi.pl/produkt/zaslepka-czarna-do-nextrack-nt</v>
      </c>
      <c r="T735" t="s">
        <v>14</v>
      </c>
      <c r="U735">
        <v>8.0000000000000002E-3</v>
      </c>
      <c r="V735">
        <v>8.9999999999999993E-3</v>
      </c>
      <c r="W735">
        <v>30</v>
      </c>
      <c r="X735">
        <v>10</v>
      </c>
      <c r="Y735">
        <v>40</v>
      </c>
    </row>
    <row r="736" spans="1:25" ht="15" x14ac:dyDescent="0.25">
      <c r="A736" t="s">
        <v>22</v>
      </c>
      <c r="B736" t="s">
        <v>1569</v>
      </c>
      <c r="C736"/>
      <c r="D736" t="s">
        <v>945</v>
      </c>
      <c r="E736" t="s">
        <v>14</v>
      </c>
      <c r="F736" t="s">
        <v>2275</v>
      </c>
      <c r="G736" t="s">
        <v>1197</v>
      </c>
      <c r="H736" t="s">
        <v>945</v>
      </c>
      <c r="I736">
        <v>27</v>
      </c>
      <c r="J736" s="41">
        <f>I736/'enter the discount'!$D$7</f>
        <v>6.3199288422826649</v>
      </c>
      <c r="K736" s="41">
        <f>J736*(1-IFERROR(VLOOKUP(H736,'enter the discount'!$D$10:$E$40,2,FALSE),0))</f>
        <v>6.3199288422826649</v>
      </c>
      <c r="L736" s="43" t="s">
        <v>2549</v>
      </c>
      <c r="M736" t="s">
        <v>1198</v>
      </c>
      <c r="N736" t="s">
        <v>1199</v>
      </c>
      <c r="O736" t="s">
        <v>2723</v>
      </c>
      <c r="P736">
        <v>100</v>
      </c>
      <c r="Q736">
        <v>0</v>
      </c>
      <c r="R736" t="s">
        <v>2467</v>
      </c>
      <c r="S736" s="42" t="str">
        <f>HYPERLINK("https://sklep.kobi.pl/produkt/zestaw-do-zawieszenia-szyny-2m-bialy-nex")</f>
        <v>https://sklep.kobi.pl/produkt/zestaw-do-zawieszenia-szyny-2m-bialy-nex</v>
      </c>
      <c r="T736" s="42" t="str">
        <f>HYPERLINK("https://eprel.ec.europa.eu/qr/NIE DOTYCZY    ")</f>
        <v xml:space="preserve">https://eprel.ec.europa.eu/qr/NIE DOTYCZY    </v>
      </c>
      <c r="U736">
        <v>5.3999999999999999E-2</v>
      </c>
      <c r="V736">
        <v>0.59599999999999997</v>
      </c>
      <c r="W736">
        <v>70</v>
      </c>
      <c r="X736">
        <v>70</v>
      </c>
      <c r="Y736">
        <v>10</v>
      </c>
    </row>
    <row r="737" spans="1:25" ht="15" x14ac:dyDescent="0.25">
      <c r="A737" t="s">
        <v>22</v>
      </c>
      <c r="B737" t="s">
        <v>1569</v>
      </c>
      <c r="C737"/>
      <c r="D737" t="s">
        <v>945</v>
      </c>
      <c r="E737" t="s">
        <v>14</v>
      </c>
      <c r="F737" t="s">
        <v>2276</v>
      </c>
      <c r="G737" t="s">
        <v>1200</v>
      </c>
      <c r="H737" t="s">
        <v>945</v>
      </c>
      <c r="I737">
        <v>26.67</v>
      </c>
      <c r="J737" s="41">
        <f>I737/'enter the discount'!$D$7</f>
        <v>6.2426852675436555</v>
      </c>
      <c r="K737" s="41">
        <f>J737*(1-IFERROR(VLOOKUP(H737,'enter the discount'!$D$10:$E$40,2,FALSE),0))</f>
        <v>6.2426852675436555</v>
      </c>
      <c r="L737" s="43" t="s">
        <v>2549</v>
      </c>
      <c r="M737" t="s">
        <v>1201</v>
      </c>
      <c r="N737" t="s">
        <v>1199</v>
      </c>
      <c r="O737" t="s">
        <v>2723</v>
      </c>
      <c r="P737">
        <v>100</v>
      </c>
      <c r="Q737">
        <v>0</v>
      </c>
      <c r="R737" t="s">
        <v>2467</v>
      </c>
      <c r="S737" s="42" t="str">
        <f>HYPERLINK("https://sklep.kobi.pl/produkt/zestaw-do-zawieszenia-szyny-2m-czarn-nex")</f>
        <v>https://sklep.kobi.pl/produkt/zestaw-do-zawieszenia-szyny-2m-czarn-nex</v>
      </c>
      <c r="T737" s="42" t="str">
        <f>HYPERLINK("https://eprel.ec.europa.eu/qr/NIE DOTYCZY    ")</f>
        <v xml:space="preserve">https://eprel.ec.europa.eu/qr/NIE DOTYCZY    </v>
      </c>
      <c r="U737">
        <v>5.3999999999999999E-2</v>
      </c>
      <c r="V737">
        <v>0.59599999999999997</v>
      </c>
      <c r="W737">
        <v>70</v>
      </c>
      <c r="X737">
        <v>70</v>
      </c>
      <c r="Y737">
        <v>10</v>
      </c>
    </row>
    <row r="738" spans="1:25" ht="15" x14ac:dyDescent="0.25">
      <c r="A738" t="s">
        <v>22</v>
      </c>
      <c r="B738" t="s">
        <v>1569</v>
      </c>
      <c r="C738"/>
      <c r="D738" t="s">
        <v>945</v>
      </c>
      <c r="E738" t="s">
        <v>14</v>
      </c>
      <c r="F738" t="s">
        <v>2277</v>
      </c>
      <c r="G738" t="s">
        <v>1202</v>
      </c>
      <c r="H738" t="s">
        <v>945</v>
      </c>
      <c r="I738">
        <v>27</v>
      </c>
      <c r="J738" s="41">
        <f>I738/'enter the discount'!$D$7</f>
        <v>6.3199288422826649</v>
      </c>
      <c r="K738" s="41">
        <f>J738*(1-IFERROR(VLOOKUP(H738,'enter the discount'!$D$10:$E$40,2,FALSE),0))</f>
        <v>6.3199288422826649</v>
      </c>
      <c r="L738" s="43" t="s">
        <v>478</v>
      </c>
      <c r="M738" t="s">
        <v>1203</v>
      </c>
      <c r="N738" t="s">
        <v>1185</v>
      </c>
      <c r="O738" t="s">
        <v>2723</v>
      </c>
      <c r="P738">
        <v>100</v>
      </c>
      <c r="Q738">
        <v>0</v>
      </c>
      <c r="R738" t="s">
        <v>2467</v>
      </c>
      <c r="S738" s="42" t="str">
        <f>HYPERLINK("https://sklep.kobi.pl/produkt/lacznik-i-wewnetrzn-bialy-do-nextrack-nt")</f>
        <v>https://sklep.kobi.pl/produkt/lacznik-i-wewnetrzn-bialy-do-nextrack-nt</v>
      </c>
      <c r="T738" t="s">
        <v>14</v>
      </c>
      <c r="U738">
        <v>2.5000000000000001E-2</v>
      </c>
      <c r="V738">
        <v>2.7E-2</v>
      </c>
      <c r="W738">
        <v>70</v>
      </c>
      <c r="X738">
        <v>20</v>
      </c>
      <c r="Y738">
        <v>20</v>
      </c>
    </row>
    <row r="739" spans="1:25" ht="15" x14ac:dyDescent="0.25">
      <c r="A739" t="s">
        <v>22</v>
      </c>
      <c r="B739" t="s">
        <v>1569</v>
      </c>
      <c r="C739"/>
      <c r="D739" t="s">
        <v>945</v>
      </c>
      <c r="E739" t="s">
        <v>14</v>
      </c>
      <c r="F739" t="s">
        <v>2278</v>
      </c>
      <c r="G739" t="s">
        <v>1204</v>
      </c>
      <c r="H739" t="s">
        <v>945</v>
      </c>
      <c r="I739">
        <v>27</v>
      </c>
      <c r="J739" s="41">
        <f>I739/'enter the discount'!$D$7</f>
        <v>6.3199288422826649</v>
      </c>
      <c r="K739" s="41">
        <f>J739*(1-IFERROR(VLOOKUP(H739,'enter the discount'!$D$10:$E$40,2,FALSE),0))</f>
        <v>6.3199288422826649</v>
      </c>
      <c r="L739" s="43" t="s">
        <v>478</v>
      </c>
      <c r="M739" t="s">
        <v>1205</v>
      </c>
      <c r="N739" t="s">
        <v>1185</v>
      </c>
      <c r="O739" t="s">
        <v>2723</v>
      </c>
      <c r="P739">
        <v>100</v>
      </c>
      <c r="Q739">
        <v>0</v>
      </c>
      <c r="R739" t="s">
        <v>2467</v>
      </c>
      <c r="S739" s="42" t="str">
        <f>HYPERLINK("https://sklep.kobi.pl/produkt/lacznik-i-wewnetrzn-czarn-do-nextrack-nt")</f>
        <v>https://sklep.kobi.pl/produkt/lacznik-i-wewnetrzn-czarn-do-nextrack-nt</v>
      </c>
      <c r="T739" t="s">
        <v>14</v>
      </c>
      <c r="U739">
        <v>2.5000000000000001E-2</v>
      </c>
      <c r="V739">
        <v>0.27</v>
      </c>
      <c r="W739">
        <v>70</v>
      </c>
      <c r="X739">
        <v>20</v>
      </c>
      <c r="Y739">
        <v>20</v>
      </c>
    </row>
    <row r="740" spans="1:25" ht="15" x14ac:dyDescent="0.25">
      <c r="A740" t="s">
        <v>22</v>
      </c>
      <c r="B740" t="s">
        <v>1569</v>
      </c>
      <c r="C740"/>
      <c r="D740" t="s">
        <v>945</v>
      </c>
      <c r="E740" t="s">
        <v>14</v>
      </c>
      <c r="F740" t="s">
        <v>2279</v>
      </c>
      <c r="G740" t="s">
        <v>1206</v>
      </c>
      <c r="H740" t="s">
        <v>945</v>
      </c>
      <c r="I740">
        <v>72</v>
      </c>
      <c r="J740" s="41">
        <f>I740/'enter the discount'!$D$7</f>
        <v>16.85314357942044</v>
      </c>
      <c r="K740" s="41">
        <f>J740*(1-IFERROR(VLOOKUP(H740,'enter the discount'!$D$10:$E$40,2,FALSE),0))</f>
        <v>16.85314357942044</v>
      </c>
      <c r="L740" s="43" t="s">
        <v>478</v>
      </c>
      <c r="M740" t="s">
        <v>1207</v>
      </c>
      <c r="N740" t="s">
        <v>1185</v>
      </c>
      <c r="O740" t="s">
        <v>2723</v>
      </c>
      <c r="P740">
        <v>50</v>
      </c>
      <c r="Q740">
        <v>0</v>
      </c>
      <c r="R740" t="s">
        <v>2467</v>
      </c>
      <c r="S740" s="42" t="str">
        <f>HYPERLINK("https://sklep.kobi.pl/produkt/lacznik-i-zewnetrzn-bialy-do-nextrack-nt")</f>
        <v>https://sklep.kobi.pl/produkt/lacznik-i-zewnetrzn-bialy-do-nextrack-nt</v>
      </c>
      <c r="T740" t="s">
        <v>14</v>
      </c>
      <c r="U740">
        <v>0.10199999999999999</v>
      </c>
      <c r="V740">
        <v>0.27</v>
      </c>
      <c r="W740">
        <v>70</v>
      </c>
      <c r="X740">
        <v>20</v>
      </c>
      <c r="Y740">
        <v>20</v>
      </c>
    </row>
    <row r="741" spans="1:25" ht="15" x14ac:dyDescent="0.25">
      <c r="A741" t="s">
        <v>22</v>
      </c>
      <c r="B741" t="s">
        <v>1569</v>
      </c>
      <c r="C741"/>
      <c r="D741" t="s">
        <v>945</v>
      </c>
      <c r="E741" t="s">
        <v>14</v>
      </c>
      <c r="F741" t="s">
        <v>2280</v>
      </c>
      <c r="G741" t="s">
        <v>1208</v>
      </c>
      <c r="H741" t="s">
        <v>945</v>
      </c>
      <c r="I741">
        <v>72</v>
      </c>
      <c r="J741" s="41">
        <f>I741/'enter the discount'!$D$7</f>
        <v>16.85314357942044</v>
      </c>
      <c r="K741" s="41">
        <f>J741*(1-IFERROR(VLOOKUP(H741,'enter the discount'!$D$10:$E$40,2,FALSE),0))</f>
        <v>16.85314357942044</v>
      </c>
      <c r="L741" s="43" t="s">
        <v>478</v>
      </c>
      <c r="M741" t="s">
        <v>1209</v>
      </c>
      <c r="N741" t="s">
        <v>1185</v>
      </c>
      <c r="O741" t="s">
        <v>2723</v>
      </c>
      <c r="P741">
        <v>50</v>
      </c>
      <c r="Q741">
        <v>0</v>
      </c>
      <c r="R741" t="s">
        <v>2467</v>
      </c>
      <c r="S741" s="42" t="str">
        <f>HYPERLINK("https://sklep.kobi.pl/produkt/lacznik-i-zewnetrzn-czarn-do-nextrack-nt")</f>
        <v>https://sklep.kobi.pl/produkt/lacznik-i-zewnetrzn-czarn-do-nextrack-nt</v>
      </c>
      <c r="T741" t="s">
        <v>14</v>
      </c>
      <c r="U741">
        <v>0.10199999999999999</v>
      </c>
      <c r="V741">
        <v>0.27</v>
      </c>
      <c r="W741">
        <v>70</v>
      </c>
      <c r="X741">
        <v>20</v>
      </c>
      <c r="Y741">
        <v>20</v>
      </c>
    </row>
    <row r="742" spans="1:25" ht="15" x14ac:dyDescent="0.25">
      <c r="A742" t="s">
        <v>22</v>
      </c>
      <c r="B742" t="s">
        <v>1569</v>
      </c>
      <c r="C742"/>
      <c r="D742" t="s">
        <v>945</v>
      </c>
      <c r="E742" t="s">
        <v>14</v>
      </c>
      <c r="F742" t="s">
        <v>2281</v>
      </c>
      <c r="G742" t="s">
        <v>1210</v>
      </c>
      <c r="H742" t="s">
        <v>945</v>
      </c>
      <c r="I742">
        <v>72</v>
      </c>
      <c r="J742" s="41">
        <f>I742/'enter the discount'!$D$7</f>
        <v>16.85314357942044</v>
      </c>
      <c r="K742" s="41">
        <f>J742*(1-IFERROR(VLOOKUP(H742,'enter the discount'!$D$10:$E$40,2,FALSE),0))</f>
        <v>16.85314357942044</v>
      </c>
      <c r="L742" s="43" t="s">
        <v>478</v>
      </c>
      <c r="M742" t="s">
        <v>1211</v>
      </c>
      <c r="N742" t="s">
        <v>1185</v>
      </c>
      <c r="O742" t="s">
        <v>2723</v>
      </c>
      <c r="P742">
        <v>25</v>
      </c>
      <c r="Q742">
        <v>0</v>
      </c>
      <c r="R742" t="s">
        <v>2467</v>
      </c>
      <c r="S742" s="42" t="str">
        <f>HYPERLINK("https://sklep.kobi.pl/produkt/lacznik-l-zewnetrzn-bialy-do-nextrack-nt")</f>
        <v>https://sklep.kobi.pl/produkt/lacznik-l-zewnetrzn-bialy-do-nextrack-nt</v>
      </c>
      <c r="T742" t="s">
        <v>14</v>
      </c>
      <c r="U742">
        <v>0.10299999999999999</v>
      </c>
      <c r="V742">
        <v>0.106</v>
      </c>
      <c r="W742">
        <v>90</v>
      </c>
      <c r="X742">
        <v>90</v>
      </c>
      <c r="Y742">
        <v>30</v>
      </c>
    </row>
    <row r="743" spans="1:25" ht="15" x14ac:dyDescent="0.25">
      <c r="A743" t="s">
        <v>22</v>
      </c>
      <c r="B743" t="s">
        <v>1569</v>
      </c>
      <c r="C743"/>
      <c r="D743" t="s">
        <v>945</v>
      </c>
      <c r="E743" t="s">
        <v>14</v>
      </c>
      <c r="F743" t="s">
        <v>2282</v>
      </c>
      <c r="G743" t="s">
        <v>1212</v>
      </c>
      <c r="H743" t="s">
        <v>945</v>
      </c>
      <c r="I743">
        <v>72</v>
      </c>
      <c r="J743" s="41">
        <f>I743/'enter the discount'!$D$7</f>
        <v>16.85314357942044</v>
      </c>
      <c r="K743" s="41">
        <f>J743*(1-IFERROR(VLOOKUP(H743,'enter the discount'!$D$10:$E$40,2,FALSE),0))</f>
        <v>16.85314357942044</v>
      </c>
      <c r="L743" s="43" t="s">
        <v>478</v>
      </c>
      <c r="M743" t="s">
        <v>1213</v>
      </c>
      <c r="N743" t="s">
        <v>1185</v>
      </c>
      <c r="O743" t="s">
        <v>2723</v>
      </c>
      <c r="P743">
        <v>25</v>
      </c>
      <c r="Q743">
        <v>0</v>
      </c>
      <c r="R743" t="s">
        <v>2467</v>
      </c>
      <c r="S743" s="42" t="str">
        <f>HYPERLINK("https://sklep.kobi.pl/produkt/lacznik-l-zewnetrzn-czarn-do-nextrack-nt")</f>
        <v>https://sklep.kobi.pl/produkt/lacznik-l-zewnetrzn-czarn-do-nextrack-nt</v>
      </c>
      <c r="T743" t="s">
        <v>14</v>
      </c>
      <c r="U743">
        <v>0.10299999999999999</v>
      </c>
      <c r="V743">
        <v>0.106</v>
      </c>
      <c r="W743">
        <v>90</v>
      </c>
      <c r="X743">
        <v>90</v>
      </c>
      <c r="Y743">
        <v>30</v>
      </c>
    </row>
    <row r="744" spans="1:25" ht="15" x14ac:dyDescent="0.25">
      <c r="A744" t="s">
        <v>22</v>
      </c>
      <c r="B744" t="s">
        <v>1569</v>
      </c>
      <c r="C744"/>
      <c r="D744" t="s">
        <v>945</v>
      </c>
      <c r="E744" t="s">
        <v>14</v>
      </c>
      <c r="F744" t="s">
        <v>2283</v>
      </c>
      <c r="G744" t="s">
        <v>1214</v>
      </c>
      <c r="H744" t="s">
        <v>945</v>
      </c>
      <c r="I744">
        <v>72</v>
      </c>
      <c r="J744" s="41">
        <f>I744/'enter the discount'!$D$7</f>
        <v>16.85314357942044</v>
      </c>
      <c r="K744" s="41">
        <f>J744*(1-IFERROR(VLOOKUP(H744,'enter the discount'!$D$10:$E$40,2,FALSE),0))</f>
        <v>16.85314357942044</v>
      </c>
      <c r="L744" s="43" t="s">
        <v>478</v>
      </c>
      <c r="M744" t="s">
        <v>1215</v>
      </c>
      <c r="N744" t="s">
        <v>1185</v>
      </c>
      <c r="O744" t="s">
        <v>2723</v>
      </c>
      <c r="P744">
        <v>25</v>
      </c>
      <c r="Q744">
        <v>0</v>
      </c>
      <c r="R744" t="s">
        <v>2467</v>
      </c>
      <c r="S744" s="42" t="str">
        <f>HYPERLINK("https://sklep.kobi.pl/produkt/lacznik-l-zewnetrzny-prawy-bialy")</f>
        <v>https://sklep.kobi.pl/produkt/lacznik-l-zewnetrzny-prawy-bialy</v>
      </c>
      <c r="T744" t="s">
        <v>14</v>
      </c>
      <c r="U744">
        <v>0.10299999999999999</v>
      </c>
      <c r="V744"/>
      <c r="W744"/>
      <c r="X744"/>
      <c r="Y744"/>
    </row>
    <row r="745" spans="1:25" ht="15" x14ac:dyDescent="0.25">
      <c r="A745" t="s">
        <v>22</v>
      </c>
      <c r="B745" t="s">
        <v>1569</v>
      </c>
      <c r="C745"/>
      <c r="D745" t="s">
        <v>945</v>
      </c>
      <c r="E745" t="s">
        <v>14</v>
      </c>
      <c r="F745" t="s">
        <v>2284</v>
      </c>
      <c r="G745" t="s">
        <v>1216</v>
      </c>
      <c r="H745" t="s">
        <v>945</v>
      </c>
      <c r="I745">
        <v>72</v>
      </c>
      <c r="J745" s="41">
        <f>I745/'enter the discount'!$D$7</f>
        <v>16.85314357942044</v>
      </c>
      <c r="K745" s="41">
        <f>J745*(1-IFERROR(VLOOKUP(H745,'enter the discount'!$D$10:$E$40,2,FALSE),0))</f>
        <v>16.85314357942044</v>
      </c>
      <c r="L745" s="43" t="s">
        <v>478</v>
      </c>
      <c r="M745" t="s">
        <v>1217</v>
      </c>
      <c r="N745" t="s">
        <v>1185</v>
      </c>
      <c r="O745" t="s">
        <v>2723</v>
      </c>
      <c r="P745">
        <v>25</v>
      </c>
      <c r="Q745">
        <v>0</v>
      </c>
      <c r="R745" t="s">
        <v>2467</v>
      </c>
      <c r="S745" s="42" t="str">
        <f>HYPERLINK("https://sklep.kobi.pl/produkt/lacznik-l-zewnetrzny-prawy-czarny")</f>
        <v>https://sklep.kobi.pl/produkt/lacznik-l-zewnetrzny-prawy-czarny</v>
      </c>
      <c r="T745" t="s">
        <v>14</v>
      </c>
      <c r="U745">
        <v>0.10299999999999999</v>
      </c>
      <c r="V745"/>
      <c r="W745"/>
      <c r="X745"/>
      <c r="Y745"/>
    </row>
    <row r="746" spans="1:25" ht="15" x14ac:dyDescent="0.25">
      <c r="A746" t="s">
        <v>22</v>
      </c>
      <c r="B746" t="s">
        <v>1569</v>
      </c>
      <c r="C746"/>
      <c r="D746" t="s">
        <v>945</v>
      </c>
      <c r="E746" t="s">
        <v>14</v>
      </c>
      <c r="F746" t="s">
        <v>2285</v>
      </c>
      <c r="G746" t="s">
        <v>1265</v>
      </c>
      <c r="H746" t="s">
        <v>945</v>
      </c>
      <c r="I746">
        <v>82.3</v>
      </c>
      <c r="J746" s="41">
        <f>I746/'enter the discount'!$D$7</f>
        <v>19.264079397031974</v>
      </c>
      <c r="K746" s="41">
        <f>J746*(1-IFERROR(VLOOKUP(H746,'enter the discount'!$D$10:$E$40,2,FALSE),0))</f>
        <v>19.264079397031974</v>
      </c>
      <c r="L746" s="43" t="s">
        <v>478</v>
      </c>
      <c r="M746" t="s">
        <v>1266</v>
      </c>
      <c r="N746" t="s">
        <v>1185</v>
      </c>
      <c r="O746" t="s">
        <v>2723</v>
      </c>
      <c r="P746">
        <v>25</v>
      </c>
      <c r="Q746">
        <v>0</v>
      </c>
      <c r="R746" t="s">
        <v>2465</v>
      </c>
      <c r="S746" s="42" t="str">
        <f>HYPERLINK("https://sklep.kobi.pl/produkt/lacznik-nt-flex-zewnetrzny-bialy")</f>
        <v>https://sklep.kobi.pl/produkt/lacznik-nt-flex-zewnetrzny-bialy</v>
      </c>
      <c r="T746" t="s">
        <v>14</v>
      </c>
      <c r="U746">
        <v>0.15</v>
      </c>
      <c r="V746">
        <v>0</v>
      </c>
      <c r="W746">
        <v>0</v>
      </c>
      <c r="X746">
        <v>0</v>
      </c>
      <c r="Y746">
        <v>0</v>
      </c>
    </row>
    <row r="747" spans="1:25" ht="15" x14ac:dyDescent="0.25">
      <c r="A747" t="s">
        <v>22</v>
      </c>
      <c r="B747" t="s">
        <v>1569</v>
      </c>
      <c r="C747"/>
      <c r="D747" t="s">
        <v>945</v>
      </c>
      <c r="E747" t="s">
        <v>14</v>
      </c>
      <c r="F747" t="s">
        <v>2286</v>
      </c>
      <c r="G747" t="s">
        <v>1267</v>
      </c>
      <c r="H747" t="s">
        <v>945</v>
      </c>
      <c r="I747">
        <v>82.3</v>
      </c>
      <c r="J747" s="41">
        <f>I747/'enter the discount'!$D$7</f>
        <v>19.264079397031974</v>
      </c>
      <c r="K747" s="41">
        <f>J747*(1-IFERROR(VLOOKUP(H747,'enter the discount'!$D$10:$E$40,2,FALSE),0))</f>
        <v>19.264079397031974</v>
      </c>
      <c r="L747" s="43" t="s">
        <v>478</v>
      </c>
      <c r="M747" t="s">
        <v>1268</v>
      </c>
      <c r="N747" t="s">
        <v>1185</v>
      </c>
      <c r="O747" t="s">
        <v>2723</v>
      </c>
      <c r="P747">
        <v>25</v>
      </c>
      <c r="Q747">
        <v>0</v>
      </c>
      <c r="R747" t="s">
        <v>2465</v>
      </c>
      <c r="S747" s="42" t="str">
        <f>HYPERLINK("https://sklep.kobi.pl/produkt/lacznik-nt-flex-zewnetrzny-czarny")</f>
        <v>https://sklep.kobi.pl/produkt/lacznik-nt-flex-zewnetrzny-czarny</v>
      </c>
      <c r="T747" t="s">
        <v>14</v>
      </c>
      <c r="U747">
        <v>0.15</v>
      </c>
      <c r="V747">
        <v>0</v>
      </c>
      <c r="W747">
        <v>0</v>
      </c>
      <c r="X747">
        <v>0</v>
      </c>
      <c r="Y747">
        <v>0</v>
      </c>
    </row>
    <row r="748" spans="1:25" ht="15" x14ac:dyDescent="0.25">
      <c r="A748" t="s">
        <v>22</v>
      </c>
      <c r="B748" t="s">
        <v>1569</v>
      </c>
      <c r="C748"/>
      <c r="D748" t="s">
        <v>945</v>
      </c>
      <c r="E748" t="s">
        <v>14</v>
      </c>
      <c r="F748" t="s">
        <v>2287</v>
      </c>
      <c r="G748" t="s">
        <v>1218</v>
      </c>
      <c r="H748" t="s">
        <v>945</v>
      </c>
      <c r="I748">
        <v>122</v>
      </c>
      <c r="J748" s="41">
        <f>I748/'enter the discount'!$D$7</f>
        <v>28.556715509573522</v>
      </c>
      <c r="K748" s="41">
        <f>J748*(1-IFERROR(VLOOKUP(H748,'enter the discount'!$D$10:$E$40,2,FALSE),0))</f>
        <v>28.556715509573522</v>
      </c>
      <c r="L748" s="43" t="s">
        <v>478</v>
      </c>
      <c r="M748" t="s">
        <v>1219</v>
      </c>
      <c r="N748" t="s">
        <v>1185</v>
      </c>
      <c r="O748" t="s">
        <v>2723</v>
      </c>
      <c r="P748">
        <v>25</v>
      </c>
      <c r="Q748">
        <v>0</v>
      </c>
      <c r="R748" t="s">
        <v>2467</v>
      </c>
      <c r="S748" s="42" t="str">
        <f>HYPERLINK("https://sklep.kobi.pl/produkt/lacznik-t-zewnetrzn-bialy-do-nextrack-nt")</f>
        <v>https://sklep.kobi.pl/produkt/lacznik-t-zewnetrzn-bialy-do-nextrack-nt</v>
      </c>
      <c r="T748" t="s">
        <v>14</v>
      </c>
      <c r="U748">
        <v>0.154</v>
      </c>
      <c r="V748">
        <v>0.158</v>
      </c>
      <c r="W748">
        <v>140</v>
      </c>
      <c r="X748">
        <v>90</v>
      </c>
      <c r="Y748">
        <v>20</v>
      </c>
    </row>
    <row r="749" spans="1:25" ht="15" x14ac:dyDescent="0.25">
      <c r="A749" t="s">
        <v>22</v>
      </c>
      <c r="B749" t="s">
        <v>1569</v>
      </c>
      <c r="C749"/>
      <c r="D749" t="s">
        <v>945</v>
      </c>
      <c r="E749" t="s">
        <v>14</v>
      </c>
      <c r="F749" t="s">
        <v>2288</v>
      </c>
      <c r="G749" t="s">
        <v>1220</v>
      </c>
      <c r="H749" t="s">
        <v>945</v>
      </c>
      <c r="I749">
        <v>122</v>
      </c>
      <c r="J749" s="41">
        <f>I749/'enter the discount'!$D$7</f>
        <v>28.556715509573522</v>
      </c>
      <c r="K749" s="41">
        <f>J749*(1-IFERROR(VLOOKUP(H749,'enter the discount'!$D$10:$E$40,2,FALSE),0))</f>
        <v>28.556715509573522</v>
      </c>
      <c r="L749" s="43" t="s">
        <v>478</v>
      </c>
      <c r="M749" t="s">
        <v>1221</v>
      </c>
      <c r="N749" t="s">
        <v>1185</v>
      </c>
      <c r="O749" t="s">
        <v>2723</v>
      </c>
      <c r="P749">
        <v>25</v>
      </c>
      <c r="Q749">
        <v>0</v>
      </c>
      <c r="R749" t="s">
        <v>2467</v>
      </c>
      <c r="S749" s="42" t="str">
        <f>HYPERLINK("https://sklep.kobi.pl/produkt/lacznik-t-zewnetrzn-czarn-do-nextrack-nt")</f>
        <v>https://sklep.kobi.pl/produkt/lacznik-t-zewnetrzn-czarn-do-nextrack-nt</v>
      </c>
      <c r="T749" t="s">
        <v>14</v>
      </c>
      <c r="U749">
        <v>0.154</v>
      </c>
      <c r="V749">
        <v>0.158</v>
      </c>
      <c r="W749">
        <v>140</v>
      </c>
      <c r="X749">
        <v>90</v>
      </c>
      <c r="Y749">
        <v>20</v>
      </c>
    </row>
    <row r="750" spans="1:25" ht="15" x14ac:dyDescent="0.25">
      <c r="A750" t="s">
        <v>22</v>
      </c>
      <c r="B750" t="s">
        <v>1569</v>
      </c>
      <c r="C750"/>
      <c r="D750" t="s">
        <v>945</v>
      </c>
      <c r="E750" t="s">
        <v>14</v>
      </c>
      <c r="F750" t="s">
        <v>2289</v>
      </c>
      <c r="G750" t="s">
        <v>1222</v>
      </c>
      <c r="H750" t="s">
        <v>945</v>
      </c>
      <c r="I750">
        <v>167</v>
      </c>
      <c r="J750" s="41">
        <f>I750/'enter the discount'!$D$7</f>
        <v>39.089930246711297</v>
      </c>
      <c r="K750" s="41">
        <f>J750*(1-IFERROR(VLOOKUP(H750,'enter the discount'!$D$10:$E$40,2,FALSE),0))</f>
        <v>39.089930246711297</v>
      </c>
      <c r="L750" s="43" t="s">
        <v>478</v>
      </c>
      <c r="M750" t="s">
        <v>1223</v>
      </c>
      <c r="N750" t="s">
        <v>1185</v>
      </c>
      <c r="O750" t="s">
        <v>2723</v>
      </c>
      <c r="P750">
        <v>10</v>
      </c>
      <c r="Q750">
        <v>0</v>
      </c>
      <c r="R750" t="s">
        <v>2467</v>
      </c>
      <c r="S750" s="42" t="str">
        <f>HYPERLINK("https://sklep.kobi.pl/produkt/lacznik-x-zewnetrzn-bialy-do-nextrack-nt")</f>
        <v>https://sklep.kobi.pl/produkt/lacznik-x-zewnetrzn-bialy-do-nextrack-nt</v>
      </c>
      <c r="T750" t="s">
        <v>14</v>
      </c>
      <c r="U750">
        <v>0.20499999999999999</v>
      </c>
      <c r="V750">
        <v>0.21099999999999999</v>
      </c>
      <c r="W750">
        <v>160</v>
      </c>
      <c r="X750">
        <v>160</v>
      </c>
      <c r="Y750">
        <v>30</v>
      </c>
    </row>
    <row r="751" spans="1:25" ht="15" x14ac:dyDescent="0.25">
      <c r="A751" t="s">
        <v>22</v>
      </c>
      <c r="B751" t="s">
        <v>1569</v>
      </c>
      <c r="C751"/>
      <c r="D751" t="s">
        <v>945</v>
      </c>
      <c r="E751" t="s">
        <v>14</v>
      </c>
      <c r="F751" t="s">
        <v>2290</v>
      </c>
      <c r="G751" t="s">
        <v>1224</v>
      </c>
      <c r="H751" t="s">
        <v>945</v>
      </c>
      <c r="I751">
        <v>167</v>
      </c>
      <c r="J751" s="41">
        <f>I751/'enter the discount'!$D$7</f>
        <v>39.089930246711297</v>
      </c>
      <c r="K751" s="41">
        <f>J751*(1-IFERROR(VLOOKUP(H751,'enter the discount'!$D$10:$E$40,2,FALSE),0))</f>
        <v>39.089930246711297</v>
      </c>
      <c r="L751" s="43" t="s">
        <v>478</v>
      </c>
      <c r="M751" t="s">
        <v>1225</v>
      </c>
      <c r="N751" t="s">
        <v>1185</v>
      </c>
      <c r="O751" t="s">
        <v>2723</v>
      </c>
      <c r="P751">
        <v>10</v>
      </c>
      <c r="Q751">
        <v>0</v>
      </c>
      <c r="R751" t="s">
        <v>2467</v>
      </c>
      <c r="S751" s="42" t="str">
        <f>HYPERLINK("https://sklep.kobi.pl/produkt/lacznik-x-zewnetrzn-czarn-do-nextrack-nt")</f>
        <v>https://sklep.kobi.pl/produkt/lacznik-x-zewnetrzn-czarn-do-nextrack-nt</v>
      </c>
      <c r="T751" t="s">
        <v>14</v>
      </c>
      <c r="U751">
        <v>0.20499999999999999</v>
      </c>
      <c r="V751">
        <v>0.21099999999999999</v>
      </c>
      <c r="W751">
        <v>160</v>
      </c>
      <c r="X751">
        <v>160</v>
      </c>
      <c r="Y751">
        <v>30</v>
      </c>
    </row>
    <row r="752" spans="1:25" ht="15" x14ac:dyDescent="0.25">
      <c r="A752" t="s">
        <v>24</v>
      </c>
      <c r="B752" t="s">
        <v>41</v>
      </c>
      <c r="C752"/>
      <c r="D752" t="s">
        <v>111</v>
      </c>
      <c r="E752" t="s">
        <v>14</v>
      </c>
      <c r="F752" t="s">
        <v>2291</v>
      </c>
      <c r="G752" t="s">
        <v>430</v>
      </c>
      <c r="H752" t="s">
        <v>886</v>
      </c>
      <c r="I752">
        <v>58</v>
      </c>
      <c r="J752" s="41">
        <f>I752/'enter the discount'!$D$7</f>
        <v>13.576143438977576</v>
      </c>
      <c r="K752" s="41">
        <f>J752*(1-IFERROR(VLOOKUP(H752,'enter the discount'!$D$10:$E$40,2,FALSE),0))</f>
        <v>13.576143438977576</v>
      </c>
      <c r="L752" s="43" t="s">
        <v>2549</v>
      </c>
      <c r="M752" t="s">
        <v>794</v>
      </c>
      <c r="N752" t="s">
        <v>795</v>
      </c>
      <c r="O752" t="s">
        <v>2723</v>
      </c>
      <c r="P752">
        <v>100</v>
      </c>
      <c r="Q752">
        <v>0</v>
      </c>
      <c r="R752" t="s">
        <v>2467</v>
      </c>
      <c r="S752" s="42" t="str">
        <f>HYPERLINK("https://sklep.kobi.pl/produkt/czujnik-mikrofalowy-lx701-360st")</f>
        <v>https://sklep.kobi.pl/produkt/czujnik-mikrofalowy-lx701-360st</v>
      </c>
      <c r="T752" s="42" t="str">
        <f>HYPERLINK("https://eprel.ec.europa.eu/qr/NIE DOTYCZY    ")</f>
        <v xml:space="preserve">https://eprel.ec.europa.eu/qr/NIE DOTYCZY    </v>
      </c>
      <c r="U752">
        <v>4.2000000000000003E-2</v>
      </c>
      <c r="V752">
        <v>0.81</v>
      </c>
      <c r="W752">
        <v>130</v>
      </c>
      <c r="X752">
        <v>60</v>
      </c>
      <c r="Y752">
        <v>100</v>
      </c>
    </row>
    <row r="753" spans="1:25" ht="15" x14ac:dyDescent="0.25">
      <c r="A753" t="s">
        <v>24</v>
      </c>
      <c r="B753" t="s">
        <v>41</v>
      </c>
      <c r="C753"/>
      <c r="D753" t="s">
        <v>111</v>
      </c>
      <c r="E753" t="s">
        <v>14</v>
      </c>
      <c r="F753" t="s">
        <v>2292</v>
      </c>
      <c r="G753" t="s">
        <v>431</v>
      </c>
      <c r="H753" t="s">
        <v>886</v>
      </c>
      <c r="I753">
        <v>48.51</v>
      </c>
      <c r="J753" s="41">
        <f>I753/'enter the discount'!$D$7</f>
        <v>11.354805486634522</v>
      </c>
      <c r="K753" s="41">
        <f>J753*(1-IFERROR(VLOOKUP(H753,'enter the discount'!$D$10:$E$40,2,FALSE),0))</f>
        <v>11.354805486634522</v>
      </c>
      <c r="L753" s="43" t="s">
        <v>2549</v>
      </c>
      <c r="M753" t="s">
        <v>796</v>
      </c>
      <c r="N753" t="s">
        <v>795</v>
      </c>
      <c r="O753" t="s">
        <v>2723</v>
      </c>
      <c r="P753">
        <v>100</v>
      </c>
      <c r="Q753">
        <v>0</v>
      </c>
      <c r="R753" t="s">
        <v>2466</v>
      </c>
      <c r="S753" s="42" t="str">
        <f>HYPERLINK("https://sklep.kobi.pl/produkt/czujnik-ruchu-lx01-140st-bialy")</f>
        <v>https://sklep.kobi.pl/produkt/czujnik-ruchu-lx01-140st-bialy</v>
      </c>
      <c r="T753" s="42" t="str">
        <f>HYPERLINK("https://eprel.ec.europa.eu/qr/NIE DOTYCZY    ")</f>
        <v xml:space="preserve">https://eprel.ec.europa.eu/qr/NIE DOTYCZY    </v>
      </c>
      <c r="U753">
        <v>8.7999999999999995E-2</v>
      </c>
      <c r="V753">
        <v>9.8000000000000004E-2</v>
      </c>
      <c r="W753">
        <v>63</v>
      </c>
      <c r="X753">
        <v>83</v>
      </c>
      <c r="Y753">
        <v>82</v>
      </c>
    </row>
    <row r="754" spans="1:25" ht="15" x14ac:dyDescent="0.25">
      <c r="A754" t="s">
        <v>24</v>
      </c>
      <c r="B754" t="s">
        <v>41</v>
      </c>
      <c r="C754"/>
      <c r="D754" t="s">
        <v>111</v>
      </c>
      <c r="E754" t="s">
        <v>14</v>
      </c>
      <c r="F754" t="s">
        <v>2293</v>
      </c>
      <c r="G754" t="s">
        <v>432</v>
      </c>
      <c r="H754" t="s">
        <v>886</v>
      </c>
      <c r="I754">
        <v>48.65</v>
      </c>
      <c r="J754" s="41">
        <f>I754/'enter the discount'!$D$7</f>
        <v>11.38757548803895</v>
      </c>
      <c r="K754" s="41">
        <f>J754*(1-IFERROR(VLOOKUP(H754,'enter the discount'!$D$10:$E$40,2,FALSE),0))</f>
        <v>11.38757548803895</v>
      </c>
      <c r="L754" s="43" t="s">
        <v>2549</v>
      </c>
      <c r="M754" t="s">
        <v>797</v>
      </c>
      <c r="N754" t="s">
        <v>795</v>
      </c>
      <c r="O754" t="s">
        <v>2723</v>
      </c>
      <c r="P754">
        <v>50</v>
      </c>
      <c r="Q754">
        <v>0</v>
      </c>
      <c r="R754" t="s">
        <v>2466</v>
      </c>
      <c r="S754" s="42" t="str">
        <f>HYPERLINK("https://sklep.kobi.pl/produkt/czujnik-ruchu-lx06-360st-bialy")</f>
        <v>https://sklep.kobi.pl/produkt/czujnik-ruchu-lx06-360st-bialy</v>
      </c>
      <c r="T754" s="42" t="str">
        <f>HYPERLINK("https://eprel.ec.europa.eu/qr/NIE DOTYCZY    ")</f>
        <v xml:space="preserve">https://eprel.ec.europa.eu/qr/NIE DOTYCZY    </v>
      </c>
      <c r="U754">
        <v>0.14199999999999999</v>
      </c>
      <c r="V754">
        <v>0.19</v>
      </c>
      <c r="W754">
        <v>67</v>
      </c>
      <c r="X754">
        <v>123</v>
      </c>
      <c r="Y754">
        <v>128</v>
      </c>
    </row>
    <row r="755" spans="1:25" ht="15" x14ac:dyDescent="0.25">
      <c r="A755" t="s">
        <v>24</v>
      </c>
      <c r="B755" t="s">
        <v>41</v>
      </c>
      <c r="C755"/>
      <c r="D755" t="s">
        <v>111</v>
      </c>
      <c r="E755" t="s">
        <v>14</v>
      </c>
      <c r="F755" t="s">
        <v>2294</v>
      </c>
      <c r="G755" t="s">
        <v>433</v>
      </c>
      <c r="H755" t="s">
        <v>886</v>
      </c>
      <c r="I755">
        <v>38.22</v>
      </c>
      <c r="J755" s="41">
        <f>I755/'enter the discount'!$D$7</f>
        <v>8.9462103834090172</v>
      </c>
      <c r="K755" s="41">
        <f>J755*(1-IFERROR(VLOOKUP(H755,'enter the discount'!$D$10:$E$40,2,FALSE),0))</f>
        <v>8.9462103834090172</v>
      </c>
      <c r="L755" s="43" t="s">
        <v>2549</v>
      </c>
      <c r="M755" t="s">
        <v>798</v>
      </c>
      <c r="N755" t="s">
        <v>795</v>
      </c>
      <c r="O755" t="s">
        <v>2723</v>
      </c>
      <c r="P755">
        <v>50</v>
      </c>
      <c r="Q755">
        <v>0</v>
      </c>
      <c r="R755" t="s">
        <v>2466</v>
      </c>
      <c r="S755" s="42" t="str">
        <f>HYPERLINK("https://sklep.kobi.pl/produkt/czujnik-ruchu-lx39-180st-kulka-bialy")</f>
        <v>https://sklep.kobi.pl/produkt/czujnik-ruchu-lx39-180st-kulka-bialy</v>
      </c>
      <c r="T755" s="42" t="str">
        <f>HYPERLINK("https://eprel.ec.europa.eu/qr/NIE DOTYCZY    ")</f>
        <v xml:space="preserve">https://eprel.ec.europa.eu/qr/NIE DOTYCZY    </v>
      </c>
      <c r="U755">
        <v>0.10299999999999999</v>
      </c>
      <c r="V755">
        <v>0.158</v>
      </c>
      <c r="W755">
        <v>75</v>
      </c>
      <c r="X755">
        <v>92</v>
      </c>
      <c r="Y755">
        <v>102</v>
      </c>
    </row>
    <row r="756" spans="1:25" ht="15" x14ac:dyDescent="0.25">
      <c r="A756" t="s">
        <v>24</v>
      </c>
      <c r="B756" t="s">
        <v>41</v>
      </c>
      <c r="C756"/>
      <c r="D756" t="s">
        <v>111</v>
      </c>
      <c r="E756" t="s">
        <v>14</v>
      </c>
      <c r="F756" t="s">
        <v>2295</v>
      </c>
      <c r="G756" t="s">
        <v>434</v>
      </c>
      <c r="H756" t="s">
        <v>886</v>
      </c>
      <c r="I756">
        <v>38.22</v>
      </c>
      <c r="J756" s="41">
        <f>I756/'enter the discount'!$D$7</f>
        <v>8.9462103834090172</v>
      </c>
      <c r="K756" s="41">
        <f>J756*(1-IFERROR(VLOOKUP(H756,'enter the discount'!$D$10:$E$40,2,FALSE),0))</f>
        <v>8.9462103834090172</v>
      </c>
      <c r="L756" s="43" t="s">
        <v>2549</v>
      </c>
      <c r="M756" t="s">
        <v>799</v>
      </c>
      <c r="N756" t="s">
        <v>795</v>
      </c>
      <c r="O756" t="s">
        <v>2723</v>
      </c>
      <c r="P756">
        <v>50</v>
      </c>
      <c r="Q756">
        <v>0</v>
      </c>
      <c r="R756" t="s">
        <v>2466</v>
      </c>
      <c r="S756" s="42" t="str">
        <f>HYPERLINK("https://sklep.kobi.pl/produkt/czujnik-ruchu-lx39-180st-kulka-czarny")</f>
        <v>https://sklep.kobi.pl/produkt/czujnik-ruchu-lx39-180st-kulka-czarny</v>
      </c>
      <c r="T756" s="42" t="str">
        <f>HYPERLINK("https://eprel.ec.europa.eu/qr/NIE DOTYCZY    ")</f>
        <v xml:space="preserve">https://eprel.ec.europa.eu/qr/NIE DOTYCZY    </v>
      </c>
      <c r="U756">
        <v>0.10299999999999999</v>
      </c>
      <c r="V756">
        <v>0.158</v>
      </c>
      <c r="W756">
        <v>140</v>
      </c>
      <c r="X756">
        <v>70</v>
      </c>
      <c r="Y756">
        <v>100</v>
      </c>
    </row>
    <row r="757" spans="1:25" ht="15" x14ac:dyDescent="0.25">
      <c r="A757" t="s">
        <v>24</v>
      </c>
      <c r="B757" t="s">
        <v>41</v>
      </c>
      <c r="C757"/>
      <c r="D757" t="s">
        <v>111</v>
      </c>
      <c r="E757" t="s">
        <v>14</v>
      </c>
      <c r="F757" t="s">
        <v>2296</v>
      </c>
      <c r="G757" t="s">
        <v>435</v>
      </c>
      <c r="H757" t="s">
        <v>886</v>
      </c>
      <c r="I757">
        <v>45.99</v>
      </c>
      <c r="J757" s="41">
        <f>I757/'enter the discount'!$D$7</f>
        <v>10.764945461354806</v>
      </c>
      <c r="K757" s="41">
        <f>J757*(1-IFERROR(VLOOKUP(H757,'enter the discount'!$D$10:$E$40,2,FALSE),0))</f>
        <v>10.764945461354806</v>
      </c>
      <c r="L757" s="43" t="s">
        <v>2549</v>
      </c>
      <c r="M757" t="s">
        <v>800</v>
      </c>
      <c r="N757" t="s">
        <v>795</v>
      </c>
      <c r="O757" t="s">
        <v>2723</v>
      </c>
      <c r="P757">
        <v>50</v>
      </c>
      <c r="Q757">
        <v>0</v>
      </c>
      <c r="R757" t="s">
        <v>2466</v>
      </c>
      <c r="S757" s="42" t="str">
        <f>HYPERLINK("https://sklep.kobi.pl/produkt/czujnik-ruchu-lx40-bialy")</f>
        <v>https://sklep.kobi.pl/produkt/czujnik-ruchu-lx40-bialy</v>
      </c>
      <c r="T757" s="42" t="str">
        <f>HYPERLINK("https://eprel.ec.europa.eu/qr/NIE DOTYCZY    ")</f>
        <v xml:space="preserve">https://eprel.ec.europa.eu/qr/NIE DOTYCZY    </v>
      </c>
      <c r="U757">
        <v>0.13800000000000001</v>
      </c>
      <c r="V757">
        <v>0.18</v>
      </c>
      <c r="W757">
        <v>130</v>
      </c>
      <c r="X757">
        <v>90</v>
      </c>
      <c r="Y757">
        <v>70</v>
      </c>
    </row>
    <row r="758" spans="1:25" ht="15" x14ac:dyDescent="0.25">
      <c r="A758" t="s">
        <v>24</v>
      </c>
      <c r="B758" t="s">
        <v>41</v>
      </c>
      <c r="C758"/>
      <c r="D758" t="s">
        <v>111</v>
      </c>
      <c r="E758" t="s">
        <v>14</v>
      </c>
      <c r="F758" t="s">
        <v>2297</v>
      </c>
      <c r="G758" t="s">
        <v>436</v>
      </c>
      <c r="H758" t="s">
        <v>886</v>
      </c>
      <c r="I758">
        <v>45.99</v>
      </c>
      <c r="J758" s="41">
        <f>I758/'enter the discount'!$D$7</f>
        <v>10.764945461354806</v>
      </c>
      <c r="K758" s="41">
        <f>J758*(1-IFERROR(VLOOKUP(H758,'enter the discount'!$D$10:$E$40,2,FALSE),0))</f>
        <v>10.764945461354806</v>
      </c>
      <c r="L758" s="43" t="s">
        <v>2549</v>
      </c>
      <c r="M758" t="s">
        <v>801</v>
      </c>
      <c r="N758" t="s">
        <v>795</v>
      </c>
      <c r="O758" t="s">
        <v>2723</v>
      </c>
      <c r="P758">
        <v>50</v>
      </c>
      <c r="Q758">
        <v>0</v>
      </c>
      <c r="R758" t="s">
        <v>2466</v>
      </c>
      <c r="S758" s="42" t="str">
        <f>HYPERLINK("https://sklep.kobi.pl/produkt/czujnik-ruchu-lx40-czarny")</f>
        <v>https://sklep.kobi.pl/produkt/czujnik-ruchu-lx40-czarny</v>
      </c>
      <c r="T758" s="42" t="str">
        <f>HYPERLINK("https://eprel.ec.europa.eu/qr/NIE DOTYCZY    ")</f>
        <v xml:space="preserve">https://eprel.ec.europa.eu/qr/NIE DOTYCZY    </v>
      </c>
      <c r="U758">
        <v>0.13800000000000001</v>
      </c>
      <c r="V758">
        <v>0.18</v>
      </c>
      <c r="W758">
        <v>130</v>
      </c>
      <c r="X758">
        <v>90</v>
      </c>
      <c r="Y758">
        <v>70</v>
      </c>
    </row>
    <row r="759" spans="1:25" ht="15" x14ac:dyDescent="0.25">
      <c r="A759" t="s">
        <v>24</v>
      </c>
      <c r="B759" t="s">
        <v>41</v>
      </c>
      <c r="C759"/>
      <c r="D759" t="s">
        <v>111</v>
      </c>
      <c r="E759" t="s">
        <v>14</v>
      </c>
      <c r="F759" t="s">
        <v>875</v>
      </c>
      <c r="G759" t="s">
        <v>437</v>
      </c>
      <c r="H759" t="s">
        <v>886</v>
      </c>
      <c r="I759">
        <v>50</v>
      </c>
      <c r="J759" s="41">
        <f>I759/'enter the discount'!$D$7</f>
        <v>11.703571930153084</v>
      </c>
      <c r="K759" s="41">
        <f>J759*(1-IFERROR(VLOOKUP(H759,'enter the discount'!$D$10:$E$40,2,FALSE),0))</f>
        <v>11.703571930153084</v>
      </c>
      <c r="L759" s="43" t="s">
        <v>2549</v>
      </c>
      <c r="M759" t="s">
        <v>802</v>
      </c>
      <c r="N759" t="s">
        <v>795</v>
      </c>
      <c r="O759" t="s">
        <v>2723</v>
      </c>
      <c r="P759">
        <v>50</v>
      </c>
      <c r="Q759">
        <v>0</v>
      </c>
      <c r="R759" t="s">
        <v>2466</v>
      </c>
      <c r="S759" s="42" t="str">
        <f>HYPERLINK("https://sklep.kobi.pl/produkt/czujnik-ruchu-lx41-360st-do-wbud-bialy")</f>
        <v>https://sklep.kobi.pl/produkt/czujnik-ruchu-lx41-360st-do-wbud-bialy</v>
      </c>
      <c r="T759" s="42" t="str">
        <f>HYPERLINK("https://eprel.ec.europa.eu/qr/NIE DOTYCZY    ")</f>
        <v xml:space="preserve">https://eprel.ec.europa.eu/qr/NIE DOTYCZY    </v>
      </c>
      <c r="U759">
        <v>6.7000000000000004E-2</v>
      </c>
      <c r="V759">
        <v>0.125</v>
      </c>
      <c r="W759">
        <v>120</v>
      </c>
      <c r="X759">
        <v>100</v>
      </c>
      <c r="Y759">
        <v>80</v>
      </c>
    </row>
    <row r="760" spans="1:25" ht="15" x14ac:dyDescent="0.25">
      <c r="A760" t="s">
        <v>24</v>
      </c>
      <c r="B760" t="s">
        <v>41</v>
      </c>
      <c r="C760"/>
      <c r="D760" t="s">
        <v>111</v>
      </c>
      <c r="E760" t="s">
        <v>14</v>
      </c>
      <c r="F760" t="s">
        <v>876</v>
      </c>
      <c r="G760" t="s">
        <v>438</v>
      </c>
      <c r="H760" t="s">
        <v>886</v>
      </c>
      <c r="I760">
        <v>46.4</v>
      </c>
      <c r="J760" s="41">
        <f>I760/'enter the discount'!$D$7</f>
        <v>10.860914751182062</v>
      </c>
      <c r="K760" s="41">
        <f>J760*(1-IFERROR(VLOOKUP(H760,'enter the discount'!$D$10:$E$40,2,FALSE),0))</f>
        <v>10.860914751182062</v>
      </c>
      <c r="L760" s="43" t="s">
        <v>2549</v>
      </c>
      <c r="M760" t="s">
        <v>803</v>
      </c>
      <c r="N760" t="s">
        <v>795</v>
      </c>
      <c r="O760" t="s">
        <v>2723</v>
      </c>
      <c r="P760">
        <v>100</v>
      </c>
      <c r="Q760">
        <v>0</v>
      </c>
      <c r="R760" t="s">
        <v>2466</v>
      </c>
      <c r="S760" s="42" t="str">
        <f>HYPERLINK("https://sklep.kobi.pl/produkt/czujnik-ruchu-lx42-360st-do-wbud-bialy")</f>
        <v>https://sklep.kobi.pl/produkt/czujnik-ruchu-lx42-360st-do-wbud-bialy</v>
      </c>
      <c r="T760" s="42" t="str">
        <f>HYPERLINK("https://eprel.ec.europa.eu/qr/NIE DOTYCZY    ")</f>
        <v xml:space="preserve">https://eprel.ec.europa.eu/qr/NIE DOTYCZY    </v>
      </c>
      <c r="U760">
        <v>0.04</v>
      </c>
      <c r="V760">
        <v>6.9000000000000006E-2</v>
      </c>
      <c r="W760">
        <v>90</v>
      </c>
      <c r="X760">
        <v>80</v>
      </c>
      <c r="Y760">
        <v>60</v>
      </c>
    </row>
    <row r="761" spans="1:25" ht="15" x14ac:dyDescent="0.25">
      <c r="A761" t="s">
        <v>24</v>
      </c>
      <c r="B761" t="s">
        <v>41</v>
      </c>
      <c r="C761"/>
      <c r="D761" t="s">
        <v>111</v>
      </c>
      <c r="E761" t="s">
        <v>14</v>
      </c>
      <c r="F761" t="s">
        <v>2718</v>
      </c>
      <c r="G761" t="s">
        <v>2719</v>
      </c>
      <c r="H761" t="s">
        <v>886</v>
      </c>
      <c r="I761">
        <v>68</v>
      </c>
      <c r="J761" s="41">
        <f>I761/'enter the discount'!$D$7</f>
        <v>15.916857825008194</v>
      </c>
      <c r="K761" s="41">
        <f>J761*(1-IFERROR(VLOOKUP(H761,'enter the discount'!$D$10:$E$40,2,FALSE),0))</f>
        <v>15.916857825008194</v>
      </c>
      <c r="L761" s="43" t="s">
        <v>478</v>
      </c>
      <c r="M761" t="s">
        <v>2720</v>
      </c>
      <c r="N761" t="s">
        <v>795</v>
      </c>
      <c r="O761" t="s">
        <v>2723</v>
      </c>
      <c r="P761">
        <v>100</v>
      </c>
      <c r="Q761">
        <v>0</v>
      </c>
      <c r="R761" t="s">
        <v>2465</v>
      </c>
      <c r="S761" s="42" t="str">
        <f>HYPERLINK("https://sklep.kobi.pl/produkt/czujnik-zmierzchowy-lx501")</f>
        <v>https://sklep.kobi.pl/produkt/czujnik-zmierzchowy-lx501</v>
      </c>
      <c r="T761" t="s">
        <v>14</v>
      </c>
      <c r="U761">
        <v>3.3000000000000002E-2</v>
      </c>
      <c r="V761">
        <v>5.8999999999999997E-2</v>
      </c>
      <c r="W761">
        <v>105</v>
      </c>
      <c r="X761">
        <v>65</v>
      </c>
      <c r="Y761">
        <v>45</v>
      </c>
    </row>
    <row r="762" spans="1:25" ht="15" x14ac:dyDescent="0.25">
      <c r="A762" t="s">
        <v>24</v>
      </c>
      <c r="B762" t="s">
        <v>41</v>
      </c>
      <c r="C762"/>
      <c r="D762" t="s">
        <v>111</v>
      </c>
      <c r="E762" t="s">
        <v>14</v>
      </c>
      <c r="F762" t="s">
        <v>14</v>
      </c>
      <c r="G762" t="s">
        <v>1601</v>
      </c>
      <c r="H762" t="s">
        <v>886</v>
      </c>
      <c r="I762">
        <v>110</v>
      </c>
      <c r="J762" s="41">
        <f>I762/'enter the discount'!$D$7</f>
        <v>25.747858246336783</v>
      </c>
      <c r="K762" s="41">
        <f>J762*(1-IFERROR(VLOOKUP(H762,'enter the discount'!$D$10:$E$40,2,FALSE),0))</f>
        <v>25.747858246336783</v>
      </c>
      <c r="L762" s="43" t="s">
        <v>478</v>
      </c>
      <c r="M762" t="s">
        <v>1602</v>
      </c>
      <c r="N762" t="s">
        <v>795</v>
      </c>
      <c r="O762" t="s">
        <v>2723</v>
      </c>
      <c r="P762">
        <v>100</v>
      </c>
      <c r="Q762">
        <v>0</v>
      </c>
      <c r="R762" t="s">
        <v>14</v>
      </c>
      <c r="S762"/>
      <c r="T762" t="s">
        <v>14</v>
      </c>
      <c r="U762">
        <v>4.2000000000000003E-2</v>
      </c>
      <c r="V762">
        <v>0</v>
      </c>
      <c r="W762">
        <v>0</v>
      </c>
      <c r="X762">
        <v>0</v>
      </c>
      <c r="Y762">
        <v>0</v>
      </c>
    </row>
    <row r="763" spans="1:25" ht="15" x14ac:dyDescent="0.25">
      <c r="A763" t="s">
        <v>24</v>
      </c>
      <c r="B763" t="s">
        <v>41</v>
      </c>
      <c r="C763"/>
      <c r="D763" t="s">
        <v>111</v>
      </c>
      <c r="E763" t="s">
        <v>14</v>
      </c>
      <c r="F763" t="s">
        <v>14</v>
      </c>
      <c r="G763" t="s">
        <v>1603</v>
      </c>
      <c r="H763" t="s">
        <v>886</v>
      </c>
      <c r="I763">
        <v>110</v>
      </c>
      <c r="J763" s="41">
        <f>I763/'enter the discount'!$D$7</f>
        <v>25.747858246336783</v>
      </c>
      <c r="K763" s="41">
        <f>J763*(1-IFERROR(VLOOKUP(H763,'enter the discount'!$D$10:$E$40,2,FALSE),0))</f>
        <v>25.747858246336783</v>
      </c>
      <c r="L763" s="43" t="s">
        <v>478</v>
      </c>
      <c r="M763" t="s">
        <v>1604</v>
      </c>
      <c r="N763" t="s">
        <v>795</v>
      </c>
      <c r="O763" t="s">
        <v>2723</v>
      </c>
      <c r="P763">
        <v>1</v>
      </c>
      <c r="Q763">
        <v>0</v>
      </c>
      <c r="R763" t="s">
        <v>2466</v>
      </c>
      <c r="S763" s="42" t="str">
        <f>HYPERLINK("https://sklep.kobi.pl/produkt/czujnik-ruchu-zhaga")</f>
        <v>https://sklep.kobi.pl/produkt/czujnik-ruchu-zhaga</v>
      </c>
      <c r="T763" t="s">
        <v>14</v>
      </c>
      <c r="U763">
        <v>0.03</v>
      </c>
      <c r="V763">
        <v>0</v>
      </c>
      <c r="W763">
        <v>0</v>
      </c>
      <c r="X763">
        <v>0</v>
      </c>
      <c r="Y763">
        <v>0</v>
      </c>
    </row>
    <row r="764" spans="1:25" ht="15" x14ac:dyDescent="0.25">
      <c r="A764" t="s">
        <v>24</v>
      </c>
      <c r="B764" t="s">
        <v>41</v>
      </c>
      <c r="C764"/>
      <c r="D764" t="s">
        <v>111</v>
      </c>
      <c r="E764" t="s">
        <v>2721</v>
      </c>
      <c r="F764" t="s">
        <v>14</v>
      </c>
      <c r="G764" t="s">
        <v>2739</v>
      </c>
      <c r="H764" t="s">
        <v>886</v>
      </c>
      <c r="I764">
        <v>300</v>
      </c>
      <c r="J764" s="41">
        <f>I764/'enter the discount'!$D$7</f>
        <v>70.221431580918505</v>
      </c>
      <c r="K764" s="41">
        <f>J764*(1-IFERROR(VLOOKUP(H764,'enter the discount'!$D$10:$E$40,2,FALSE),0))</f>
        <v>70.221431580918505</v>
      </c>
      <c r="L764" s="43" t="s">
        <v>478</v>
      </c>
      <c r="M764" t="s">
        <v>2743</v>
      </c>
      <c r="N764" t="s">
        <v>795</v>
      </c>
      <c r="O764" t="s">
        <v>2723</v>
      </c>
      <c r="P764">
        <v>0</v>
      </c>
      <c r="Q764">
        <v>0</v>
      </c>
      <c r="R764" t="s">
        <v>14</v>
      </c>
      <c r="S764"/>
      <c r="T764" t="s">
        <v>14</v>
      </c>
      <c r="U764">
        <v>0</v>
      </c>
      <c r="V764">
        <v>0</v>
      </c>
      <c r="W764">
        <v>0</v>
      </c>
      <c r="X764">
        <v>0</v>
      </c>
      <c r="Y764">
        <v>0</v>
      </c>
    </row>
    <row r="765" spans="1:25" ht="15" x14ac:dyDescent="0.25">
      <c r="A765" t="s">
        <v>24</v>
      </c>
      <c r="B765" t="s">
        <v>41</v>
      </c>
      <c r="C765"/>
      <c r="D765" t="s">
        <v>111</v>
      </c>
      <c r="E765" t="s">
        <v>14</v>
      </c>
      <c r="F765" t="s">
        <v>14</v>
      </c>
      <c r="G765" t="s">
        <v>1605</v>
      </c>
      <c r="H765" t="s">
        <v>886</v>
      </c>
      <c r="I765">
        <v>218</v>
      </c>
      <c r="J765" s="41">
        <f>I765/'enter the discount'!$D$7</f>
        <v>51.027573615467446</v>
      </c>
      <c r="K765" s="41">
        <f>J765*(1-IFERROR(VLOOKUP(H765,'enter the discount'!$D$10:$E$40,2,FALSE),0))</f>
        <v>51.027573615467446</v>
      </c>
      <c r="L765" s="43" t="s">
        <v>478</v>
      </c>
      <c r="M765" t="s">
        <v>1653</v>
      </c>
      <c r="N765" t="s">
        <v>822</v>
      </c>
      <c r="O765" t="s">
        <v>2723</v>
      </c>
      <c r="P765">
        <v>1</v>
      </c>
      <c r="Q765">
        <v>0</v>
      </c>
      <c r="R765" t="s">
        <v>2466</v>
      </c>
      <c r="S765" s="42" t="str">
        <f>HYPERLINK("https://sklep.kobi.pl/produkt/pilot-do-czujnika")</f>
        <v>https://sklep.kobi.pl/produkt/pilot-do-czujnika</v>
      </c>
      <c r="T765" t="s">
        <v>14</v>
      </c>
      <c r="U765">
        <v>0.08</v>
      </c>
      <c r="V765">
        <v>0</v>
      </c>
      <c r="W765">
        <v>0</v>
      </c>
      <c r="X765">
        <v>0</v>
      </c>
      <c r="Y765">
        <v>0</v>
      </c>
    </row>
    <row r="766" spans="1:25" ht="15" x14ac:dyDescent="0.25">
      <c r="A766" t="s">
        <v>24</v>
      </c>
      <c r="B766" t="s">
        <v>72</v>
      </c>
      <c r="C766"/>
      <c r="D766" t="s">
        <v>111</v>
      </c>
      <c r="E766" t="s">
        <v>2722</v>
      </c>
      <c r="F766" t="s">
        <v>2298</v>
      </c>
      <c r="G766" t="s">
        <v>439</v>
      </c>
      <c r="H766" t="s">
        <v>882</v>
      </c>
      <c r="I766">
        <v>53.12</v>
      </c>
      <c r="J766" s="41">
        <f>I766/'enter the discount'!$D$7</f>
        <v>12.433874818594635</v>
      </c>
      <c r="K766" s="41">
        <f>J766*(1-IFERROR(VLOOKUP(H766,'enter the discount'!$D$10:$E$40,2,FALSE),0))</f>
        <v>12.433874818594635</v>
      </c>
      <c r="L766" s="43" t="s">
        <v>478</v>
      </c>
      <c r="M766" t="s">
        <v>804</v>
      </c>
      <c r="N766" t="s">
        <v>805</v>
      </c>
      <c r="O766" t="s">
        <v>2723</v>
      </c>
      <c r="P766">
        <v>0</v>
      </c>
      <c r="Q766">
        <v>0</v>
      </c>
      <c r="R766" t="s">
        <v>2465</v>
      </c>
      <c r="S766"/>
      <c r="T766" t="s">
        <v>14</v>
      </c>
      <c r="U766">
        <v>0</v>
      </c>
      <c r="V766">
        <v>0.32</v>
      </c>
      <c r="W766">
        <v>1500</v>
      </c>
      <c r="X766">
        <v>110</v>
      </c>
      <c r="Y766">
        <v>60</v>
      </c>
    </row>
    <row r="767" spans="1:25" ht="15" x14ac:dyDescent="0.25">
      <c r="A767" t="s">
        <v>24</v>
      </c>
      <c r="B767" t="s">
        <v>72</v>
      </c>
      <c r="C767"/>
      <c r="D767" t="s">
        <v>111</v>
      </c>
      <c r="E767" t="s">
        <v>2722</v>
      </c>
      <c r="F767" t="s">
        <v>2299</v>
      </c>
      <c r="G767" t="s">
        <v>440</v>
      </c>
      <c r="H767" t="s">
        <v>887</v>
      </c>
      <c r="I767">
        <v>23</v>
      </c>
      <c r="J767" s="41">
        <f>I767/'enter the discount'!$D$7</f>
        <v>5.3836430878704187</v>
      </c>
      <c r="K767" s="41">
        <f>J767*(1-IFERROR(VLOOKUP(H767,'enter the discount'!$D$10:$E$40,2,FALSE),0))</f>
        <v>5.3836430878704187</v>
      </c>
      <c r="L767" s="43" t="s">
        <v>478</v>
      </c>
      <c r="M767" t="s">
        <v>804</v>
      </c>
      <c r="N767" t="s">
        <v>805</v>
      </c>
      <c r="O767" t="s">
        <v>2723</v>
      </c>
      <c r="P767">
        <v>30</v>
      </c>
      <c r="Q767">
        <v>0</v>
      </c>
      <c r="R767" t="s">
        <v>2465</v>
      </c>
      <c r="S767" s="42" t="str">
        <f>HYPERLINK("https://sklep.kobi.pl/produkt/klosz-przyzmatic-led-hermic-2x120")</f>
        <v>https://sklep.kobi.pl/produkt/klosz-przyzmatic-led-hermic-2x120</v>
      </c>
      <c r="T767" t="s">
        <v>14</v>
      </c>
      <c r="U767">
        <v>0.34</v>
      </c>
      <c r="V767">
        <v>0.35899999999999999</v>
      </c>
      <c r="W767">
        <v>1260</v>
      </c>
      <c r="X767">
        <v>120</v>
      </c>
      <c r="Y767">
        <v>40</v>
      </c>
    </row>
    <row r="768" spans="1:25" ht="15" x14ac:dyDescent="0.25">
      <c r="A768" t="s">
        <v>22</v>
      </c>
      <c r="B768" t="s">
        <v>72</v>
      </c>
      <c r="C768" t="s">
        <v>52</v>
      </c>
      <c r="D768" t="s">
        <v>111</v>
      </c>
      <c r="E768" t="s">
        <v>14</v>
      </c>
      <c r="F768" t="s">
        <v>14</v>
      </c>
      <c r="G768" t="s">
        <v>1606</v>
      </c>
      <c r="H768" t="s">
        <v>1</v>
      </c>
      <c r="I768">
        <v>60</v>
      </c>
      <c r="J768" s="41">
        <f>I768/'enter the discount'!$D$7</f>
        <v>14.044286316183699</v>
      </c>
      <c r="K768" s="41">
        <f>J768*(1-IFERROR(VLOOKUP(H768,'enter the discount'!$D$10:$E$40,2,FALSE),0))</f>
        <v>14.044286316183699</v>
      </c>
      <c r="L768" s="43" t="s">
        <v>2549</v>
      </c>
      <c r="M768" t="s">
        <v>1607</v>
      </c>
      <c r="N768" t="s">
        <v>633</v>
      </c>
      <c r="O768" t="s">
        <v>2723</v>
      </c>
      <c r="P768">
        <v>20</v>
      </c>
      <c r="Q768">
        <v>0</v>
      </c>
      <c r="R768" t="s">
        <v>2465</v>
      </c>
      <c r="S768" s="42" t="str">
        <f>HYPERLINK("https://sklep.kobi.pl/produkt/uchwyt-do-anica-hb-100w")</f>
        <v>https://sklep.kobi.pl/produkt/uchwyt-do-anica-hb-100w</v>
      </c>
      <c r="T768" s="42" t="str">
        <f>HYPERLINK("https://eprel.ec.europa.eu/qr/NIE DOTYCZY    ")</f>
        <v xml:space="preserve">https://eprel.ec.europa.eu/qr/NIE DOTYCZY    </v>
      </c>
      <c r="U768">
        <v>0.46</v>
      </c>
      <c r="V768">
        <v>0</v>
      </c>
      <c r="W768">
        <v>0</v>
      </c>
      <c r="X768">
        <v>0</v>
      </c>
      <c r="Y768">
        <v>0</v>
      </c>
    </row>
    <row r="769" spans="1:25" ht="15" x14ac:dyDescent="0.25">
      <c r="A769" t="s">
        <v>24</v>
      </c>
      <c r="B769" t="s">
        <v>102</v>
      </c>
      <c r="C769" t="s">
        <v>103</v>
      </c>
      <c r="D769" t="s">
        <v>114</v>
      </c>
      <c r="E769" t="s">
        <v>2722</v>
      </c>
      <c r="F769" t="s">
        <v>2300</v>
      </c>
      <c r="G769" t="s">
        <v>441</v>
      </c>
      <c r="H769" t="s">
        <v>888</v>
      </c>
      <c r="I769">
        <v>77.56</v>
      </c>
      <c r="J769" s="41">
        <f>I769/'enter the discount'!$D$7</f>
        <v>18.154580778053464</v>
      </c>
      <c r="K769" s="41">
        <f>J769*(1-IFERROR(VLOOKUP(H769,'enter the discount'!$D$10:$E$40,2,FALSE),0))</f>
        <v>18.154580778053464</v>
      </c>
      <c r="L769" s="43" t="s">
        <v>2549</v>
      </c>
      <c r="M769" t="s">
        <v>806</v>
      </c>
      <c r="N769" t="s">
        <v>807</v>
      </c>
      <c r="O769" t="s">
        <v>2723</v>
      </c>
      <c r="P769">
        <v>50</v>
      </c>
      <c r="Q769">
        <v>2000</v>
      </c>
      <c r="R769" t="s">
        <v>2465</v>
      </c>
      <c r="S769" s="42" t="str">
        <f>HYPERLINK("https://sklep.kobi.pl/produkt/smart-socket-wifi")</f>
        <v>https://sklep.kobi.pl/produkt/smart-socket-wifi</v>
      </c>
      <c r="T769" s="42" t="str">
        <f>HYPERLINK("https://eprel.ec.europa.eu/qr/NIE DOTYCZY    ")</f>
        <v xml:space="preserve">https://eprel.ec.europa.eu/qr/NIE DOTYCZY    </v>
      </c>
      <c r="U769">
        <v>8.6999999999999994E-2</v>
      </c>
      <c r="V769">
        <v>0.12</v>
      </c>
      <c r="W769">
        <v>105</v>
      </c>
      <c r="X769">
        <v>75</v>
      </c>
      <c r="Y769">
        <v>60</v>
      </c>
    </row>
    <row r="770" spans="1:25" ht="15" x14ac:dyDescent="0.25">
      <c r="A770" t="s">
        <v>24</v>
      </c>
      <c r="B770" t="s">
        <v>52</v>
      </c>
      <c r="C770" t="s">
        <v>53</v>
      </c>
      <c r="D770" t="s">
        <v>111</v>
      </c>
      <c r="E770" t="s">
        <v>14</v>
      </c>
      <c r="F770" t="s">
        <v>2301</v>
      </c>
      <c r="G770" t="s">
        <v>442</v>
      </c>
      <c r="H770" t="s">
        <v>9</v>
      </c>
      <c r="I770">
        <v>1.49</v>
      </c>
      <c r="J770" s="41">
        <f>I770/'enter the discount'!$D$7</f>
        <v>0.3487664435185619</v>
      </c>
      <c r="K770" s="41">
        <f>J770*(1-IFERROR(VLOOKUP(H770,'enter the discount'!$D$10:$E$40,2,FALSE),0))</f>
        <v>0.3487664435185619</v>
      </c>
      <c r="L770" s="43" t="s">
        <v>2549</v>
      </c>
      <c r="M770" t="s">
        <v>808</v>
      </c>
      <c r="N770" t="s">
        <v>809</v>
      </c>
      <c r="O770" t="s">
        <v>2723</v>
      </c>
      <c r="P770">
        <v>200</v>
      </c>
      <c r="Q770">
        <v>0</v>
      </c>
      <c r="R770" t="s">
        <v>2465</v>
      </c>
      <c r="S770" s="42" t="str">
        <f>HYPERLINK("https://sklep.kobi.pl/produkt/kostka-halogenowa-g53")</f>
        <v>https://sklep.kobi.pl/produkt/kostka-halogenowa-g53</v>
      </c>
      <c r="T770" s="42" t="str">
        <f>HYPERLINK("https://eprel.ec.europa.eu/qr/NIE DOTYCZY    ")</f>
        <v xml:space="preserve">https://eprel.ec.europa.eu/qr/NIE DOTYCZY    </v>
      </c>
      <c r="U770">
        <v>0.01</v>
      </c>
      <c r="V770">
        <v>0.01</v>
      </c>
      <c r="W770">
        <v>20</v>
      </c>
      <c r="X770">
        <v>20</v>
      </c>
      <c r="Y770">
        <v>20</v>
      </c>
    </row>
    <row r="771" spans="1:25" ht="15" x14ac:dyDescent="0.25">
      <c r="A771" t="s">
        <v>24</v>
      </c>
      <c r="B771" t="s">
        <v>52</v>
      </c>
      <c r="C771" t="s">
        <v>53</v>
      </c>
      <c r="D771" t="s">
        <v>111</v>
      </c>
      <c r="E771" t="s">
        <v>14</v>
      </c>
      <c r="F771" t="s">
        <v>2302</v>
      </c>
      <c r="G771" t="s">
        <v>443</v>
      </c>
      <c r="H771" t="s">
        <v>9</v>
      </c>
      <c r="I771">
        <v>1.74</v>
      </c>
      <c r="J771" s="41">
        <f>I771/'enter the discount'!$D$7</f>
        <v>0.40728430316932729</v>
      </c>
      <c r="K771" s="41">
        <f>J771*(1-IFERROR(VLOOKUP(H771,'enter the discount'!$D$10:$E$40,2,FALSE),0))</f>
        <v>0.40728430316932729</v>
      </c>
      <c r="L771" s="43" t="s">
        <v>2549</v>
      </c>
      <c r="M771" t="s">
        <v>811</v>
      </c>
      <c r="N771" t="s">
        <v>810</v>
      </c>
      <c r="O771" t="s">
        <v>2723</v>
      </c>
      <c r="P771">
        <v>50</v>
      </c>
      <c r="Q771">
        <v>28800</v>
      </c>
      <c r="R771" t="s">
        <v>2465</v>
      </c>
      <c r="S771" s="42" t="str">
        <f>HYPERLINK("https://sklep.kobi.pl/produkt/kostka-halogenowa-k002-gu10")</f>
        <v>https://sklep.kobi.pl/produkt/kostka-halogenowa-k002-gu10</v>
      </c>
      <c r="T771" s="42" t="str">
        <f>HYPERLINK("https://eprel.ec.europa.eu/qr/NIE DOTYCZY    ")</f>
        <v xml:space="preserve">https://eprel.ec.europa.eu/qr/NIE DOTYCZY    </v>
      </c>
      <c r="U771">
        <v>1.6E-2</v>
      </c>
      <c r="V771">
        <v>0.02</v>
      </c>
      <c r="W771">
        <v>20</v>
      </c>
      <c r="X771">
        <v>20</v>
      </c>
      <c r="Y771">
        <v>20</v>
      </c>
    </row>
    <row r="772" spans="1:25" ht="15" x14ac:dyDescent="0.25">
      <c r="A772" t="s">
        <v>24</v>
      </c>
      <c r="B772" t="s">
        <v>52</v>
      </c>
      <c r="C772" t="s">
        <v>53</v>
      </c>
      <c r="D772" t="s">
        <v>111</v>
      </c>
      <c r="E772" t="s">
        <v>14</v>
      </c>
      <c r="F772" t="s">
        <v>2303</v>
      </c>
      <c r="G772" t="s">
        <v>444</v>
      </c>
      <c r="H772" t="s">
        <v>9</v>
      </c>
      <c r="I772">
        <v>1.49</v>
      </c>
      <c r="J772" s="41">
        <f>I772/'enter the discount'!$D$7</f>
        <v>0.3487664435185619</v>
      </c>
      <c r="K772" s="41">
        <f>J772*(1-IFERROR(VLOOKUP(H772,'enter the discount'!$D$10:$E$40,2,FALSE),0))</f>
        <v>0.3487664435185619</v>
      </c>
      <c r="L772" s="43" t="s">
        <v>2549</v>
      </c>
      <c r="M772" t="s">
        <v>812</v>
      </c>
      <c r="N772" t="s">
        <v>809</v>
      </c>
      <c r="O772" t="s">
        <v>2723</v>
      </c>
      <c r="P772">
        <v>280</v>
      </c>
      <c r="Q772">
        <v>10080</v>
      </c>
      <c r="R772" t="s">
        <v>2465</v>
      </c>
      <c r="S772" s="42" t="str">
        <f>HYPERLINK("https://sklep.kobi.pl/produkt/oprawka-porcelanowa-z-blaszka-k003-e27")</f>
        <v>https://sklep.kobi.pl/produkt/oprawka-porcelanowa-z-blaszka-k003-e27</v>
      </c>
      <c r="T772" s="42" t="str">
        <f>HYPERLINK("https://eprel.ec.europa.eu/qr/NIE DOTYCZY    ")</f>
        <v xml:space="preserve">https://eprel.ec.europa.eu/qr/NIE DOTYCZY    </v>
      </c>
      <c r="U772">
        <v>0.06</v>
      </c>
      <c r="V772">
        <v>0.06</v>
      </c>
      <c r="W772">
        <v>48</v>
      </c>
      <c r="X772">
        <v>37</v>
      </c>
      <c r="Y772">
        <v>50</v>
      </c>
    </row>
    <row r="773" spans="1:25" ht="15" x14ac:dyDescent="0.25">
      <c r="A773" t="s">
        <v>24</v>
      </c>
      <c r="B773" t="s">
        <v>54</v>
      </c>
      <c r="C773"/>
      <c r="D773" t="s">
        <v>111</v>
      </c>
      <c r="E773" t="s">
        <v>14</v>
      </c>
      <c r="F773" t="s">
        <v>2304</v>
      </c>
      <c r="G773" t="s">
        <v>445</v>
      </c>
      <c r="H773" t="s">
        <v>1</v>
      </c>
      <c r="I773">
        <v>30.04</v>
      </c>
      <c r="J773" s="41">
        <f>I773/'enter the discount'!$D$7</f>
        <v>7.0315060156359719</v>
      </c>
      <c r="K773" s="41">
        <f>J773*(1-IFERROR(VLOOKUP(H773,'enter the discount'!$D$10:$E$40,2,FALSE),0))</f>
        <v>7.0315060156359719</v>
      </c>
      <c r="L773" s="43" t="s">
        <v>2549</v>
      </c>
      <c r="M773" t="s">
        <v>813</v>
      </c>
      <c r="N773" t="s">
        <v>814</v>
      </c>
      <c r="O773" t="s">
        <v>2723</v>
      </c>
      <c r="P773">
        <v>1</v>
      </c>
      <c r="Q773">
        <v>0</v>
      </c>
      <c r="R773" t="s">
        <v>2468</v>
      </c>
      <c r="S773" s="42" t="str">
        <f>HYPERLINK("https://sklep.kobi.pl/produkt/bateria-do-solar-led-mhc-5w")</f>
        <v>https://sklep.kobi.pl/produkt/bateria-do-solar-led-mhc-5w</v>
      </c>
      <c r="T773" s="42" t="str">
        <f>HYPERLINK("https://eprel.ec.europa.eu/qr/NIE DOTYCZY    ")</f>
        <v xml:space="preserve">https://eprel.ec.europa.eu/qr/NIE DOTYCZY    </v>
      </c>
      <c r="U773">
        <v>0.09</v>
      </c>
      <c r="V773">
        <v>0.1</v>
      </c>
      <c r="W773">
        <v>130</v>
      </c>
      <c r="X773">
        <v>15</v>
      </c>
      <c r="Y773">
        <v>15</v>
      </c>
    </row>
    <row r="774" spans="1:25" ht="15" x14ac:dyDescent="0.25">
      <c r="A774" t="s">
        <v>24</v>
      </c>
      <c r="B774" t="s">
        <v>54</v>
      </c>
      <c r="C774"/>
      <c r="D774" t="s">
        <v>111</v>
      </c>
      <c r="E774" t="s">
        <v>14</v>
      </c>
      <c r="F774" t="s">
        <v>2305</v>
      </c>
      <c r="G774" t="s">
        <v>446</v>
      </c>
      <c r="H774" t="s">
        <v>1</v>
      </c>
      <c r="I774">
        <v>74.63</v>
      </c>
      <c r="J774" s="41">
        <f>I774/'enter the discount'!$D$7</f>
        <v>17.468751462946493</v>
      </c>
      <c r="K774" s="41">
        <f>J774*(1-IFERROR(VLOOKUP(H774,'enter the discount'!$D$10:$E$40,2,FALSE),0))</f>
        <v>17.468751462946493</v>
      </c>
      <c r="L774" s="43" t="s">
        <v>2549</v>
      </c>
      <c r="M774" t="s">
        <v>815</v>
      </c>
      <c r="N774" t="s">
        <v>814</v>
      </c>
      <c r="O774" t="s">
        <v>2723</v>
      </c>
      <c r="P774">
        <v>1</v>
      </c>
      <c r="Q774">
        <v>0</v>
      </c>
      <c r="R774" t="s">
        <v>2468</v>
      </c>
      <c r="S774" s="42" t="str">
        <f>HYPERLINK("https://sklep.kobi.pl/produkt/bateria-do-solar-led-mhc-mhcs-10w")</f>
        <v>https://sklep.kobi.pl/produkt/bateria-do-solar-led-mhc-mhcs-10w</v>
      </c>
      <c r="T774" s="42" t="str">
        <f>HYPERLINK("https://eprel.ec.europa.eu/qr/NIE DOTYCZY    ")</f>
        <v xml:space="preserve">https://eprel.ec.europa.eu/qr/NIE DOTYCZY    </v>
      </c>
      <c r="U774">
        <v>0.19</v>
      </c>
      <c r="V774">
        <v>0.2</v>
      </c>
      <c r="W774">
        <v>130</v>
      </c>
      <c r="X774">
        <v>20</v>
      </c>
      <c r="Y774">
        <v>35</v>
      </c>
    </row>
    <row r="775" spans="1:25" ht="15" x14ac:dyDescent="0.25">
      <c r="A775" t="s">
        <v>24</v>
      </c>
      <c r="B775" t="s">
        <v>54</v>
      </c>
      <c r="C775"/>
      <c r="D775" t="s">
        <v>111</v>
      </c>
      <c r="E775" t="s">
        <v>14</v>
      </c>
      <c r="F775" t="s">
        <v>2306</v>
      </c>
      <c r="G775" t="s">
        <v>447</v>
      </c>
      <c r="H775" t="s">
        <v>1</v>
      </c>
      <c r="I775">
        <v>111.93</v>
      </c>
      <c r="J775" s="41">
        <f>I775/'enter the discount'!$D$7</f>
        <v>26.199616122840695</v>
      </c>
      <c r="K775" s="41">
        <f>J775*(1-IFERROR(VLOOKUP(H775,'enter the discount'!$D$10:$E$40,2,FALSE),0))</f>
        <v>26.199616122840695</v>
      </c>
      <c r="L775" s="43" t="s">
        <v>2549</v>
      </c>
      <c r="M775" t="s">
        <v>816</v>
      </c>
      <c r="N775" t="s">
        <v>814</v>
      </c>
      <c r="O775" t="s">
        <v>2723</v>
      </c>
      <c r="P775">
        <v>1</v>
      </c>
      <c r="Q775">
        <v>0</v>
      </c>
      <c r="R775" t="s">
        <v>2468</v>
      </c>
      <c r="S775" s="42" t="str">
        <f>HYPERLINK("https://sklep.kobi.pl/produkt/bateria-do-solar-led-street-15w")</f>
        <v>https://sklep.kobi.pl/produkt/bateria-do-solar-led-street-15w</v>
      </c>
      <c r="T775" s="42" t="str">
        <f>HYPERLINK("https://eprel.ec.europa.eu/qr/NIE DOTYCZY    ")</f>
        <v xml:space="preserve">https://eprel.ec.europa.eu/qr/NIE DOTYCZY    </v>
      </c>
      <c r="U775">
        <v>0.28000000000000003</v>
      </c>
      <c r="V775">
        <v>0.28000000000000003</v>
      </c>
      <c r="W775">
        <v>110</v>
      </c>
      <c r="X775">
        <v>65</v>
      </c>
      <c r="Y775">
        <v>20</v>
      </c>
    </row>
    <row r="776" spans="1:25" ht="15" x14ac:dyDescent="0.25">
      <c r="A776" t="s">
        <v>24</v>
      </c>
      <c r="B776" t="s">
        <v>54</v>
      </c>
      <c r="C776"/>
      <c r="D776" t="s">
        <v>111</v>
      </c>
      <c r="E776" t="s">
        <v>2722</v>
      </c>
      <c r="F776" t="s">
        <v>2307</v>
      </c>
      <c r="G776" t="s">
        <v>448</v>
      </c>
      <c r="H776" t="s">
        <v>9</v>
      </c>
      <c r="I776">
        <v>64.58</v>
      </c>
      <c r="J776" s="41">
        <f>I776/'enter the discount'!$D$7</f>
        <v>15.116333504985722</v>
      </c>
      <c r="K776" s="41">
        <f>J776*(1-IFERROR(VLOOKUP(H776,'enter the discount'!$D$10:$E$40,2,FALSE),0))</f>
        <v>15.116333504985722</v>
      </c>
      <c r="L776" s="43" t="s">
        <v>2549</v>
      </c>
      <c r="M776" t="s">
        <v>817</v>
      </c>
      <c r="N776" t="s">
        <v>633</v>
      </c>
      <c r="O776" t="s">
        <v>2723</v>
      </c>
      <c r="P776">
        <v>20</v>
      </c>
      <c r="Q776">
        <v>960</v>
      </c>
      <c r="R776" t="s">
        <v>2465</v>
      </c>
      <c r="S776" s="42" t="str">
        <f>HYPERLINK("https://sklep.kobi.pl/produkt/uchwyt-do-rio-hb-100w-150w-200w")</f>
        <v>https://sklep.kobi.pl/produkt/uchwyt-do-rio-hb-100w-150w-200w</v>
      </c>
      <c r="T776" s="42" t="str">
        <f>HYPERLINK("https://eprel.ec.europa.eu/qr/NIE DOTYCZY    ")</f>
        <v xml:space="preserve">https://eprel.ec.europa.eu/qr/NIE DOTYCZY    </v>
      </c>
      <c r="U776">
        <v>0.75</v>
      </c>
      <c r="V776">
        <v>0.76</v>
      </c>
      <c r="W776">
        <v>230</v>
      </c>
      <c r="X776">
        <v>150</v>
      </c>
      <c r="Y776">
        <v>80</v>
      </c>
    </row>
    <row r="777" spans="1:25" ht="15" x14ac:dyDescent="0.25">
      <c r="A777" t="s">
        <v>24</v>
      </c>
      <c r="B777" t="s">
        <v>54</v>
      </c>
      <c r="C777"/>
      <c r="D777" t="s">
        <v>113</v>
      </c>
      <c r="E777" t="s">
        <v>14</v>
      </c>
      <c r="F777" t="s">
        <v>2308</v>
      </c>
      <c r="G777" t="s">
        <v>1455</v>
      </c>
      <c r="H777" t="s">
        <v>1</v>
      </c>
      <c r="I777">
        <v>51</v>
      </c>
      <c r="J777" s="41">
        <f>I777/'enter the discount'!$D$7</f>
        <v>11.937643368756145</v>
      </c>
      <c r="K777" s="41">
        <f>J777*(1-IFERROR(VLOOKUP(H777,'enter the discount'!$D$10:$E$40,2,FALSE),0))</f>
        <v>11.937643368756145</v>
      </c>
      <c r="L777" s="43" t="s">
        <v>2549</v>
      </c>
      <c r="M777" t="s">
        <v>1456</v>
      </c>
      <c r="N777" t="s">
        <v>633</v>
      </c>
      <c r="O777" t="s">
        <v>2723</v>
      </c>
      <c r="P777">
        <v>54</v>
      </c>
      <c r="Q777">
        <v>0</v>
      </c>
      <c r="R777" t="s">
        <v>2465</v>
      </c>
      <c r="S777" s="42" t="str">
        <f>HYPERLINK("https://sklep.kobi.pl/produkt/uchwyt-do-rio-pro-100w")</f>
        <v>https://sklep.kobi.pl/produkt/uchwyt-do-rio-pro-100w</v>
      </c>
      <c r="T777" s="42" t="str">
        <f>HYPERLINK("https://eprel.ec.europa.eu/qr/NIE DOTYCZY    ")</f>
        <v xml:space="preserve">https://eprel.ec.europa.eu/qr/NIE DOTYCZY    </v>
      </c>
      <c r="U777">
        <v>0.22</v>
      </c>
      <c r="V777">
        <v>0</v>
      </c>
      <c r="W777">
        <v>0</v>
      </c>
      <c r="X777">
        <v>0</v>
      </c>
      <c r="Y777">
        <v>0</v>
      </c>
    </row>
    <row r="778" spans="1:25" ht="15" x14ac:dyDescent="0.25">
      <c r="A778" t="s">
        <v>24</v>
      </c>
      <c r="B778" t="s">
        <v>54</v>
      </c>
      <c r="C778" t="s">
        <v>56</v>
      </c>
      <c r="D778" t="s">
        <v>111</v>
      </c>
      <c r="E778" t="s">
        <v>2722</v>
      </c>
      <c r="F778" t="s">
        <v>877</v>
      </c>
      <c r="G778" t="s">
        <v>449</v>
      </c>
      <c r="H778" t="s">
        <v>10</v>
      </c>
      <c r="I778">
        <v>66.2</v>
      </c>
      <c r="J778" s="41">
        <f>I778/'enter the discount'!$D$7</f>
        <v>15.495529235522683</v>
      </c>
      <c r="K778" s="41">
        <f>J778*(1-IFERROR(VLOOKUP(H778,'enter the discount'!$D$10:$E$40,2,FALSE),0))</f>
        <v>15.495529235522683</v>
      </c>
      <c r="L778" s="43" t="s">
        <v>2549</v>
      </c>
      <c r="M778" t="s">
        <v>818</v>
      </c>
      <c r="N778" t="s">
        <v>819</v>
      </c>
      <c r="O778" t="s">
        <v>2723</v>
      </c>
      <c r="P778">
        <v>10</v>
      </c>
      <c r="Q778">
        <v>0</v>
      </c>
      <c r="R778" t="s">
        <v>2465</v>
      </c>
      <c r="S778" s="42" t="str">
        <f>HYPERLINK("https://sklep.kobi.pl/produkt/sterownik-ledst06fp-5-24v-12a-z-pilotem")</f>
        <v>https://sklep.kobi.pl/produkt/sterownik-ledst06fp-5-24v-12a-z-pilotem</v>
      </c>
      <c r="T778" s="42" t="str">
        <f>HYPERLINK("https://eprel.ec.europa.eu/qr/NIE DOTYCZY    ")</f>
        <v xml:space="preserve">https://eprel.ec.europa.eu/qr/NIE DOTYCZY    </v>
      </c>
      <c r="U778">
        <v>2.7E-2</v>
      </c>
      <c r="V778">
        <v>3.4000000000000002E-2</v>
      </c>
      <c r="W778">
        <v>10</v>
      </c>
      <c r="X778">
        <v>130</v>
      </c>
      <c r="Y778">
        <v>10</v>
      </c>
    </row>
    <row r="779" spans="1:25" ht="15" x14ac:dyDescent="0.25">
      <c r="A779" t="s">
        <v>24</v>
      </c>
      <c r="B779" t="s">
        <v>54</v>
      </c>
      <c r="C779" t="s">
        <v>57</v>
      </c>
      <c r="D779" t="s">
        <v>111</v>
      </c>
      <c r="E779" t="s">
        <v>2722</v>
      </c>
      <c r="F779" t="s">
        <v>2309</v>
      </c>
      <c r="G779" t="s">
        <v>450</v>
      </c>
      <c r="H779" t="s">
        <v>10</v>
      </c>
      <c r="I779">
        <v>44.5</v>
      </c>
      <c r="J779" s="41">
        <f>I779/'enter the discount'!$D$7</f>
        <v>10.416179017836244</v>
      </c>
      <c r="K779" s="41">
        <f>J779*(1-IFERROR(VLOOKUP(H779,'enter the discount'!$D$10:$E$40,2,FALSE),0))</f>
        <v>10.416179017836244</v>
      </c>
      <c r="L779" s="43" t="s">
        <v>2549</v>
      </c>
      <c r="M779" t="s">
        <v>820</v>
      </c>
      <c r="N779" t="s">
        <v>819</v>
      </c>
      <c r="O779" t="s">
        <v>2723</v>
      </c>
      <c r="P779">
        <v>12</v>
      </c>
      <c r="Q779">
        <v>0</v>
      </c>
      <c r="R779" t="s">
        <v>2465</v>
      </c>
      <c r="S779" s="42" t="str">
        <f>HYPERLINK("https://sklep.kobi.pl/produkt/wzmacniacz-ledst07f-5-24v-12a")</f>
        <v>https://sklep.kobi.pl/produkt/wzmacniacz-ledst07f-5-24v-12a</v>
      </c>
      <c r="T779" s="42" t="str">
        <f>HYPERLINK("https://eprel.ec.europa.eu/qr/NIE DOTYCZY    ")</f>
        <v xml:space="preserve">https://eprel.ec.europa.eu/qr/NIE DOTYCZY    </v>
      </c>
      <c r="U779">
        <v>7.0000000000000001E-3</v>
      </c>
      <c r="V779">
        <v>1.4999999999999999E-2</v>
      </c>
      <c r="W779">
        <v>125</v>
      </c>
      <c r="X779">
        <v>96</v>
      </c>
      <c r="Y779">
        <v>6</v>
      </c>
    </row>
    <row r="780" spans="1:25" ht="15" x14ac:dyDescent="0.25">
      <c r="A780" t="s">
        <v>24</v>
      </c>
      <c r="B780" t="s">
        <v>54</v>
      </c>
      <c r="C780" t="s">
        <v>55</v>
      </c>
      <c r="D780" t="s">
        <v>111</v>
      </c>
      <c r="E780" t="s">
        <v>14</v>
      </c>
      <c r="F780" t="s">
        <v>2310</v>
      </c>
      <c r="G780" t="s">
        <v>451</v>
      </c>
      <c r="H780" t="s">
        <v>10</v>
      </c>
      <c r="I780">
        <v>40</v>
      </c>
      <c r="J780" s="41">
        <f>I780/'enter the discount'!$D$7</f>
        <v>9.3628575441224662</v>
      </c>
      <c r="K780" s="41">
        <f>J780*(1-IFERROR(VLOOKUP(H780,'enter the discount'!$D$10:$E$40,2,FALSE),0))</f>
        <v>9.3628575441224662</v>
      </c>
      <c r="L780" s="43" t="s">
        <v>2549</v>
      </c>
      <c r="M780" t="s">
        <v>821</v>
      </c>
      <c r="N780" t="s">
        <v>822</v>
      </c>
      <c r="O780" t="s">
        <v>2723</v>
      </c>
      <c r="P780">
        <v>10</v>
      </c>
      <c r="Q780">
        <v>0</v>
      </c>
      <c r="R780" t="s">
        <v>2465</v>
      </c>
      <c r="S780" s="42" t="str">
        <f>HYPERLINK("https://sklep.kobi.pl/produkt/sciemniacz-ledsc02dp-5-24v-12a-z-pilotem")</f>
        <v>https://sklep.kobi.pl/produkt/sciemniacz-ledsc02dp-5-24v-12a-z-pilotem</v>
      </c>
      <c r="T780" s="42" t="str">
        <f>HYPERLINK("https://eprel.ec.europa.eu/qr/NIE DOTYCZY    ")</f>
        <v xml:space="preserve">https://eprel.ec.europa.eu/qr/NIE DOTYCZY    </v>
      </c>
      <c r="U780">
        <v>2.7E-2</v>
      </c>
      <c r="V780">
        <v>0.34</v>
      </c>
      <c r="W780">
        <v>126</v>
      </c>
      <c r="X780">
        <v>86</v>
      </c>
      <c r="Y780">
        <v>6</v>
      </c>
    </row>
    <row r="781" spans="1:25" ht="15" x14ac:dyDescent="0.25">
      <c r="A781" t="s">
        <v>24</v>
      </c>
      <c r="B781" t="s">
        <v>54</v>
      </c>
      <c r="C781"/>
      <c r="D781" t="s">
        <v>113</v>
      </c>
      <c r="E781" t="s">
        <v>14</v>
      </c>
      <c r="F781" t="s">
        <v>2311</v>
      </c>
      <c r="G781" t="s">
        <v>2312</v>
      </c>
      <c r="H781" t="s">
        <v>1</v>
      </c>
      <c r="I781">
        <v>61</v>
      </c>
      <c r="J781" s="41">
        <f>I781/'enter the discount'!$D$7</f>
        <v>14.278357754786761</v>
      </c>
      <c r="K781" s="41">
        <f>J781*(1-IFERROR(VLOOKUP(H781,'enter the discount'!$D$10:$E$40,2,FALSE),0))</f>
        <v>14.278357754786761</v>
      </c>
      <c r="L781" s="43" t="s">
        <v>2549</v>
      </c>
      <c r="M781" t="s">
        <v>2313</v>
      </c>
      <c r="N781" t="s">
        <v>633</v>
      </c>
      <c r="O781" t="s">
        <v>2723</v>
      </c>
      <c r="P781">
        <v>54</v>
      </c>
      <c r="Q781">
        <v>0</v>
      </c>
      <c r="R781" t="s">
        <v>2465</v>
      </c>
      <c r="S781" s="42" t="str">
        <f>HYPERLINK("https://sklep.kobi.pl/produkt/uchwyt-do-rio-pro-150w")</f>
        <v>https://sklep.kobi.pl/produkt/uchwyt-do-rio-pro-150w</v>
      </c>
      <c r="T781" s="42" t="str">
        <f>HYPERLINK("https://eprel.ec.europa.eu/qr/NIE DOTYCZY    ")</f>
        <v xml:space="preserve">https://eprel.ec.europa.eu/qr/NIE DOTYCZY    </v>
      </c>
      <c r="U781">
        <v>0.24</v>
      </c>
      <c r="V781">
        <v>0</v>
      </c>
      <c r="W781">
        <v>0</v>
      </c>
      <c r="X781">
        <v>0</v>
      </c>
      <c r="Y781">
        <v>0</v>
      </c>
    </row>
    <row r="782" spans="1:25" ht="15" x14ac:dyDescent="0.25">
      <c r="A782" t="s">
        <v>24</v>
      </c>
      <c r="B782" t="s">
        <v>54</v>
      </c>
      <c r="C782"/>
      <c r="D782" t="s">
        <v>113</v>
      </c>
      <c r="E782" t="s">
        <v>14</v>
      </c>
      <c r="F782" t="s">
        <v>2314</v>
      </c>
      <c r="G782" t="s">
        <v>2315</v>
      </c>
      <c r="H782" t="s">
        <v>1</v>
      </c>
      <c r="I782">
        <v>71</v>
      </c>
      <c r="J782" s="41">
        <f>I782/'enter the discount'!$D$7</f>
        <v>16.61907214081738</v>
      </c>
      <c r="K782" s="41">
        <f>J782*(1-IFERROR(VLOOKUP(H782,'enter the discount'!$D$10:$E$40,2,FALSE),0))</f>
        <v>16.61907214081738</v>
      </c>
      <c r="L782" s="43" t="s">
        <v>2549</v>
      </c>
      <c r="M782" t="s">
        <v>2316</v>
      </c>
      <c r="N782" t="s">
        <v>633</v>
      </c>
      <c r="O782" t="s">
        <v>2723</v>
      </c>
      <c r="P782">
        <v>36</v>
      </c>
      <c r="Q782">
        <v>0</v>
      </c>
      <c r="R782" t="s">
        <v>2465</v>
      </c>
      <c r="S782" s="42" t="str">
        <f>HYPERLINK("https://sklep.kobi.pl/produkt/uchwyt-do-rio-pro-200w")</f>
        <v>https://sklep.kobi.pl/produkt/uchwyt-do-rio-pro-200w</v>
      </c>
      <c r="T782" s="42" t="str">
        <f>HYPERLINK("https://eprel.ec.europa.eu/qr/NIE DOTYCZY    ")</f>
        <v xml:space="preserve">https://eprel.ec.europa.eu/qr/NIE DOTYCZY    </v>
      </c>
      <c r="U782">
        <v>0.25</v>
      </c>
      <c r="V782">
        <v>0</v>
      </c>
      <c r="W782">
        <v>0</v>
      </c>
      <c r="X782">
        <v>0</v>
      </c>
      <c r="Y782">
        <v>0</v>
      </c>
    </row>
    <row r="783" spans="1:25" ht="15" x14ac:dyDescent="0.25">
      <c r="A783" t="s">
        <v>24</v>
      </c>
      <c r="B783" t="s">
        <v>42</v>
      </c>
      <c r="C783"/>
      <c r="D783" t="s">
        <v>111</v>
      </c>
      <c r="E783" t="s">
        <v>14</v>
      </c>
      <c r="F783" t="s">
        <v>2317</v>
      </c>
      <c r="G783" t="s">
        <v>452</v>
      </c>
      <c r="H783" t="s">
        <v>888</v>
      </c>
      <c r="I783">
        <v>46.5</v>
      </c>
      <c r="J783" s="41">
        <f>I783/'enter the discount'!$D$7</f>
        <v>10.884321895042367</v>
      </c>
      <c r="K783" s="41">
        <f>J783*(1-IFERROR(VLOOKUP(H783,'enter the discount'!$D$10:$E$40,2,FALSE),0))</f>
        <v>10.884321895042367</v>
      </c>
      <c r="L783" s="43" t="s">
        <v>2549</v>
      </c>
      <c r="M783" t="s">
        <v>823</v>
      </c>
      <c r="N783" t="s">
        <v>824</v>
      </c>
      <c r="O783" t="s">
        <v>2723</v>
      </c>
      <c r="P783">
        <v>12</v>
      </c>
      <c r="Q783">
        <v>0</v>
      </c>
      <c r="R783" t="s">
        <v>2465</v>
      </c>
      <c r="S783" s="42" t="str">
        <f>HYPERLINK("https://sklep.kobi.pl/produkt/programator-dobowy-pc24")</f>
        <v>https://sklep.kobi.pl/produkt/programator-dobowy-pc24</v>
      </c>
      <c r="T783" s="42" t="str">
        <f>HYPERLINK("https://eprel.ec.europa.eu/qr/NIE DOTYCZY    ")</f>
        <v xml:space="preserve">https://eprel.ec.europa.eu/qr/NIE DOTYCZY    </v>
      </c>
      <c r="U783">
        <v>0.13500000000000001</v>
      </c>
      <c r="V783">
        <v>0.16300000000000001</v>
      </c>
      <c r="W783">
        <v>190</v>
      </c>
      <c r="X783">
        <v>110</v>
      </c>
      <c r="Y783">
        <v>60</v>
      </c>
    </row>
    <row r="784" spans="1:25" ht="15" x14ac:dyDescent="0.25">
      <c r="A784" t="s">
        <v>24</v>
      </c>
      <c r="B784" t="s">
        <v>1570</v>
      </c>
      <c r="C784"/>
      <c r="D784" t="s">
        <v>111</v>
      </c>
      <c r="E784" t="s">
        <v>2721</v>
      </c>
      <c r="F784" t="s">
        <v>2609</v>
      </c>
      <c r="G784" t="s">
        <v>2610</v>
      </c>
      <c r="H784" t="s">
        <v>9</v>
      </c>
      <c r="I784">
        <v>74.75</v>
      </c>
      <c r="J784" s="41">
        <f>I784/'enter the discount'!$D$7</f>
        <v>17.49684003557886</v>
      </c>
      <c r="K784" s="41">
        <f>J784*(1-IFERROR(VLOOKUP(H784,'enter the discount'!$D$10:$E$40,2,FALSE),0))</f>
        <v>17.49684003557886</v>
      </c>
      <c r="L784" s="43" t="s">
        <v>2549</v>
      </c>
      <c r="M784" t="s">
        <v>2663</v>
      </c>
      <c r="N784" t="s">
        <v>1013</v>
      </c>
      <c r="O784" t="s">
        <v>2723</v>
      </c>
      <c r="P784">
        <v>20</v>
      </c>
      <c r="Q784">
        <v>0</v>
      </c>
      <c r="R784" t="s">
        <v>2465</v>
      </c>
      <c r="S784" s="42" t="str">
        <f>HYPERLINK("https://sklep.kobi.pl/produkt/linea-pro-black-3gn-4usb-1usb-c-15m-zuw")</f>
        <v>https://sklep.kobi.pl/produkt/linea-pro-black-3gn-4usb-1usb-c-15m-zuw</v>
      </c>
      <c r="T784" s="42" t="str">
        <f>HYPERLINK("https://eprel.ec.europa.eu/qr/NIE DOTYCZY    ")</f>
        <v xml:space="preserve">https://eprel.ec.europa.eu/qr/NIE DOTYCZY    </v>
      </c>
      <c r="U784">
        <v>0.36</v>
      </c>
      <c r="V784">
        <v>0</v>
      </c>
      <c r="W784">
        <v>0</v>
      </c>
      <c r="X784">
        <v>0</v>
      </c>
      <c r="Y784">
        <v>0</v>
      </c>
    </row>
    <row r="785" spans="1:25" ht="15" x14ac:dyDescent="0.25">
      <c r="A785" t="s">
        <v>24</v>
      </c>
      <c r="B785" t="s">
        <v>1570</v>
      </c>
      <c r="C785"/>
      <c r="D785" t="s">
        <v>111</v>
      </c>
      <c r="E785" t="s">
        <v>2721</v>
      </c>
      <c r="F785" t="s">
        <v>2611</v>
      </c>
      <c r="G785" t="s">
        <v>2612</v>
      </c>
      <c r="H785" t="s">
        <v>9</v>
      </c>
      <c r="I785">
        <v>94.75</v>
      </c>
      <c r="J785" s="41">
        <f>I785/'enter the discount'!$D$7</f>
        <v>22.178268807640094</v>
      </c>
      <c r="K785" s="41">
        <f>J785*(1-IFERROR(VLOOKUP(H785,'enter the discount'!$D$10:$E$40,2,FALSE),0))</f>
        <v>22.178268807640094</v>
      </c>
      <c r="L785" s="43" t="s">
        <v>2549</v>
      </c>
      <c r="M785" t="s">
        <v>2664</v>
      </c>
      <c r="N785" t="s">
        <v>1013</v>
      </c>
      <c r="O785" t="s">
        <v>2723</v>
      </c>
      <c r="P785">
        <v>20</v>
      </c>
      <c r="Q785">
        <v>0</v>
      </c>
      <c r="R785" t="s">
        <v>2465</v>
      </c>
      <c r="S785" s="42" t="str">
        <f>HYPERLINK("https://sklep.kobi.pl/produkt/linea-pro-black-3gn-4usb-1usb-c-3m-zu-w")</f>
        <v>https://sklep.kobi.pl/produkt/linea-pro-black-3gn-4usb-1usb-c-3m-zu-w</v>
      </c>
      <c r="T785" s="42" t="str">
        <f>HYPERLINK("https://eprel.ec.europa.eu/qr/NIE DOTYCZY    ")</f>
        <v xml:space="preserve">https://eprel.ec.europa.eu/qr/NIE DOTYCZY    </v>
      </c>
      <c r="U785">
        <v>0.52</v>
      </c>
      <c r="V785">
        <v>0</v>
      </c>
      <c r="W785">
        <v>0</v>
      </c>
      <c r="X785">
        <v>0</v>
      </c>
      <c r="Y785">
        <v>0</v>
      </c>
    </row>
    <row r="786" spans="1:25" ht="15" x14ac:dyDescent="0.25">
      <c r="A786" t="s">
        <v>24</v>
      </c>
      <c r="B786" t="s">
        <v>1570</v>
      </c>
      <c r="C786"/>
      <c r="D786" t="s">
        <v>111</v>
      </c>
      <c r="E786" t="s">
        <v>2721</v>
      </c>
      <c r="F786" t="s">
        <v>2613</v>
      </c>
      <c r="G786" t="s">
        <v>2614</v>
      </c>
      <c r="H786" t="s">
        <v>9</v>
      </c>
      <c r="I786">
        <v>119.75</v>
      </c>
      <c r="J786" s="41">
        <f>I786/'enter the discount'!$D$7</f>
        <v>28.030054772716635</v>
      </c>
      <c r="K786" s="41">
        <f>J786*(1-IFERROR(VLOOKUP(H786,'enter the discount'!$D$10:$E$40,2,FALSE),0))</f>
        <v>28.030054772716635</v>
      </c>
      <c r="L786" s="43" t="s">
        <v>2549</v>
      </c>
      <c r="M786" t="s">
        <v>2665</v>
      </c>
      <c r="N786" t="s">
        <v>1013</v>
      </c>
      <c r="O786" t="s">
        <v>2723</v>
      </c>
      <c r="P786">
        <v>20</v>
      </c>
      <c r="Q786">
        <v>0</v>
      </c>
      <c r="R786" t="s">
        <v>2465</v>
      </c>
      <c r="S786" s="42" t="str">
        <f>HYPERLINK("https://sklep.kobi.pl/produkt/linea-pro-black-3gn-4usb-1usb-c-5m-zu-w")</f>
        <v>https://sklep.kobi.pl/produkt/linea-pro-black-3gn-4usb-1usb-c-5m-zu-w</v>
      </c>
      <c r="T786" s="42" t="str">
        <f>HYPERLINK("https://eprel.ec.europa.eu/qr/NIE DOTYCZY    ")</f>
        <v xml:space="preserve">https://eprel.ec.europa.eu/qr/NIE DOTYCZY    </v>
      </c>
      <c r="U786">
        <v>0.73</v>
      </c>
      <c r="V786">
        <v>0</v>
      </c>
      <c r="W786">
        <v>0</v>
      </c>
      <c r="X786">
        <v>0</v>
      </c>
      <c r="Y786">
        <v>0</v>
      </c>
    </row>
    <row r="787" spans="1:25" ht="15" x14ac:dyDescent="0.25">
      <c r="A787" t="s">
        <v>24</v>
      </c>
      <c r="B787" t="s">
        <v>1570</v>
      </c>
      <c r="C787"/>
      <c r="D787" t="s">
        <v>111</v>
      </c>
      <c r="E787" t="s">
        <v>2721</v>
      </c>
      <c r="F787" t="s">
        <v>2615</v>
      </c>
      <c r="G787" t="s">
        <v>2616</v>
      </c>
      <c r="H787" t="s">
        <v>9</v>
      </c>
      <c r="I787">
        <v>112.25</v>
      </c>
      <c r="J787" s="41">
        <f>I787/'enter the discount'!$D$7</f>
        <v>26.274518983193673</v>
      </c>
      <c r="K787" s="41">
        <f>J787*(1-IFERROR(VLOOKUP(H787,'enter the discount'!$D$10:$E$40,2,FALSE),0))</f>
        <v>26.274518983193673</v>
      </c>
      <c r="L787" s="43" t="s">
        <v>2549</v>
      </c>
      <c r="M787" t="s">
        <v>2666</v>
      </c>
      <c r="N787" t="s">
        <v>1013</v>
      </c>
      <c r="O787" t="s">
        <v>2723</v>
      </c>
      <c r="P787">
        <v>60</v>
      </c>
      <c r="Q787">
        <v>0</v>
      </c>
      <c r="R787" t="s">
        <v>2465</v>
      </c>
      <c r="S787" s="42" t="str">
        <f>HYPERLINK("https://sklep.kobi.pl/produkt/linea-pro-cube-black-3gn-3usb-1usb-c-zu-")</f>
        <v>https://sklep.kobi.pl/produkt/linea-pro-cube-black-3gn-3usb-1usb-c-zu-</v>
      </c>
      <c r="T787" s="42" t="str">
        <f>HYPERLINK("https://eprel.ec.europa.eu/qr/NIE DOTYCZY    ")</f>
        <v xml:space="preserve">https://eprel.ec.europa.eu/qr/NIE DOTYCZY    </v>
      </c>
      <c r="U787">
        <v>0.27</v>
      </c>
      <c r="V787">
        <v>0</v>
      </c>
      <c r="W787">
        <v>0</v>
      </c>
      <c r="X787">
        <v>0</v>
      </c>
      <c r="Y787">
        <v>0</v>
      </c>
    </row>
    <row r="788" spans="1:25" ht="15" x14ac:dyDescent="0.25">
      <c r="A788" t="s">
        <v>24</v>
      </c>
      <c r="B788" t="s">
        <v>1570</v>
      </c>
      <c r="C788"/>
      <c r="D788" t="s">
        <v>111</v>
      </c>
      <c r="E788" t="s">
        <v>2721</v>
      </c>
      <c r="F788" t="s">
        <v>2615</v>
      </c>
      <c r="G788" t="s">
        <v>2617</v>
      </c>
      <c r="H788" t="s">
        <v>9</v>
      </c>
      <c r="I788">
        <v>137.25</v>
      </c>
      <c r="J788" s="41">
        <f>I788/'enter the discount'!$D$7</f>
        <v>32.126304948270217</v>
      </c>
      <c r="K788" s="41">
        <f>J788*(1-IFERROR(VLOOKUP(H788,'enter the discount'!$D$10:$E$40,2,FALSE),0))</f>
        <v>32.126304948270217</v>
      </c>
      <c r="L788" s="43" t="s">
        <v>2549</v>
      </c>
      <c r="M788" t="s">
        <v>2667</v>
      </c>
      <c r="N788" t="s">
        <v>1013</v>
      </c>
      <c r="O788" t="s">
        <v>2723</v>
      </c>
      <c r="P788">
        <v>50</v>
      </c>
      <c r="Q788">
        <v>0</v>
      </c>
      <c r="R788" t="s">
        <v>2465</v>
      </c>
      <c r="S788" s="42" t="str">
        <f>HYPERLINK("https://sklep.kobi.pl/produkt/linea-pro-cube-c-black-3gn-3usb-1usb-c-1")</f>
        <v>https://sklep.kobi.pl/produkt/linea-pro-cube-c-black-3gn-3usb-1usb-c-1</v>
      </c>
      <c r="T788" s="42" t="str">
        <f>HYPERLINK("https://eprel.ec.europa.eu/qr/NIE DOTYCZY    ")</f>
        <v xml:space="preserve">https://eprel.ec.europa.eu/qr/NIE DOTYCZY    </v>
      </c>
      <c r="U788">
        <v>0.33</v>
      </c>
      <c r="V788">
        <v>0</v>
      </c>
      <c r="W788">
        <v>0</v>
      </c>
      <c r="X788">
        <v>0</v>
      </c>
      <c r="Y788">
        <v>0</v>
      </c>
    </row>
    <row r="789" spans="1:25" ht="15" x14ac:dyDescent="0.25">
      <c r="A789" t="s">
        <v>24</v>
      </c>
      <c r="B789" t="s">
        <v>1570</v>
      </c>
      <c r="C789"/>
      <c r="D789" t="s">
        <v>111</v>
      </c>
      <c r="E789" t="s">
        <v>2721</v>
      </c>
      <c r="F789" t="s">
        <v>2615</v>
      </c>
      <c r="G789" t="s">
        <v>2618</v>
      </c>
      <c r="H789" t="s">
        <v>9</v>
      </c>
      <c r="I789">
        <v>137.25</v>
      </c>
      <c r="J789" s="41">
        <f>I789/'enter the discount'!$D$7</f>
        <v>32.126304948270217</v>
      </c>
      <c r="K789" s="41">
        <f>J789*(1-IFERROR(VLOOKUP(H789,'enter the discount'!$D$10:$E$40,2,FALSE),0))</f>
        <v>32.126304948270217</v>
      </c>
      <c r="L789" s="43" t="s">
        <v>2549</v>
      </c>
      <c r="M789" t="s">
        <v>2668</v>
      </c>
      <c r="N789" t="s">
        <v>1013</v>
      </c>
      <c r="O789" t="s">
        <v>2723</v>
      </c>
      <c r="P789">
        <v>50</v>
      </c>
      <c r="Q789">
        <v>0</v>
      </c>
      <c r="R789" t="s">
        <v>2465</v>
      </c>
      <c r="S789" s="42" t="str">
        <f>HYPERLINK("https://sklep.kobi.pl/produkt/linea-pro-cube-c-white-3gn-3usb-1usb-c-1")</f>
        <v>https://sklep.kobi.pl/produkt/linea-pro-cube-c-white-3gn-3usb-1usb-c-1</v>
      </c>
      <c r="T789" s="42" t="str">
        <f>HYPERLINK("https://eprel.ec.europa.eu/qr/NIE DOTYCZY    ")</f>
        <v xml:space="preserve">https://eprel.ec.europa.eu/qr/NIE DOTYCZY    </v>
      </c>
      <c r="U789">
        <v>0.33</v>
      </c>
      <c r="V789">
        <v>0</v>
      </c>
      <c r="W789">
        <v>0</v>
      </c>
      <c r="X789">
        <v>0</v>
      </c>
      <c r="Y789">
        <v>0</v>
      </c>
    </row>
    <row r="790" spans="1:25" ht="15" x14ac:dyDescent="0.25">
      <c r="A790" t="s">
        <v>24</v>
      </c>
      <c r="B790" t="s">
        <v>1570</v>
      </c>
      <c r="C790"/>
      <c r="D790" t="s">
        <v>111</v>
      </c>
      <c r="E790" t="s">
        <v>2721</v>
      </c>
      <c r="F790" t="s">
        <v>2615</v>
      </c>
      <c r="G790" t="s">
        <v>2619</v>
      </c>
      <c r="H790" t="s">
        <v>9</v>
      </c>
      <c r="I790">
        <v>112.25</v>
      </c>
      <c r="J790" s="41">
        <f>I790/'enter the discount'!$D$7</f>
        <v>26.274518983193673</v>
      </c>
      <c r="K790" s="41">
        <f>J790*(1-IFERROR(VLOOKUP(H790,'enter the discount'!$D$10:$E$40,2,FALSE),0))</f>
        <v>26.274518983193673</v>
      </c>
      <c r="L790" s="43" t="s">
        <v>2549</v>
      </c>
      <c r="M790" t="s">
        <v>2669</v>
      </c>
      <c r="N790" t="s">
        <v>1013</v>
      </c>
      <c r="O790" t="s">
        <v>2723</v>
      </c>
      <c r="P790">
        <v>60</v>
      </c>
      <c r="Q790">
        <v>0</v>
      </c>
      <c r="R790" t="s">
        <v>2465</v>
      </c>
      <c r="S790" s="42" t="str">
        <f>HYPERLINK("https://sklep.kobi.pl/produkt/linea-pro-cube-white-3gn-3usb-1usb-c-zu-")</f>
        <v>https://sklep.kobi.pl/produkt/linea-pro-cube-white-3gn-3usb-1usb-c-zu-</v>
      </c>
      <c r="T790" s="42" t="str">
        <f>HYPERLINK("https://eprel.ec.europa.eu/qr/NIE DOTYCZY    ")</f>
        <v xml:space="preserve">https://eprel.ec.europa.eu/qr/NIE DOTYCZY    </v>
      </c>
      <c r="U790">
        <v>0.27</v>
      </c>
      <c r="V790">
        <v>0</v>
      </c>
      <c r="W790">
        <v>0</v>
      </c>
      <c r="X790">
        <v>0</v>
      </c>
      <c r="Y790">
        <v>0</v>
      </c>
    </row>
    <row r="791" spans="1:25" ht="15" x14ac:dyDescent="0.25">
      <c r="A791" t="s">
        <v>24</v>
      </c>
      <c r="B791" t="s">
        <v>1570</v>
      </c>
      <c r="C791"/>
      <c r="D791" t="s">
        <v>111</v>
      </c>
      <c r="E791" t="s">
        <v>2721</v>
      </c>
      <c r="F791" t="s">
        <v>2615</v>
      </c>
      <c r="G791" t="s">
        <v>2620</v>
      </c>
      <c r="H791" t="s">
        <v>9</v>
      </c>
      <c r="I791">
        <v>69.75</v>
      </c>
      <c r="J791" s="41">
        <f>I791/'enter the discount'!$D$7</f>
        <v>16.32648284256355</v>
      </c>
      <c r="K791" s="41">
        <f>J791*(1-IFERROR(VLOOKUP(H791,'enter the discount'!$D$10:$E$40,2,FALSE),0))</f>
        <v>16.32648284256355</v>
      </c>
      <c r="L791" s="43" t="s">
        <v>2549</v>
      </c>
      <c r="M791" t="s">
        <v>2670</v>
      </c>
      <c r="N791" t="s">
        <v>1013</v>
      </c>
      <c r="O791" t="s">
        <v>2723</v>
      </c>
      <c r="P791">
        <v>20</v>
      </c>
      <c r="Q791">
        <v>0</v>
      </c>
      <c r="R791" t="s">
        <v>2465</v>
      </c>
      <c r="S791" s="42" t="str">
        <f>HYPERLINK("https://sklep.kobi.pl/produkt/linea-pro-fl-black-2gn-3usb-1usb-c-02m")</f>
        <v>https://sklep.kobi.pl/produkt/linea-pro-fl-black-2gn-3usb-1usb-c-02m</v>
      </c>
      <c r="T791" s="42" t="str">
        <f>HYPERLINK("https://eprel.ec.europa.eu/qr/NIE DOTYCZY    ")</f>
        <v xml:space="preserve">https://eprel.ec.europa.eu/qr/NIE DOTYCZY    </v>
      </c>
      <c r="U791">
        <v>0.22</v>
      </c>
      <c r="V791">
        <v>0</v>
      </c>
      <c r="W791">
        <v>0</v>
      </c>
      <c r="X791">
        <v>0</v>
      </c>
      <c r="Y791">
        <v>0</v>
      </c>
    </row>
    <row r="792" spans="1:25" ht="15" x14ac:dyDescent="0.25">
      <c r="A792" t="s">
        <v>24</v>
      </c>
      <c r="B792" t="s">
        <v>1570</v>
      </c>
      <c r="C792"/>
      <c r="D792" t="s">
        <v>111</v>
      </c>
      <c r="E792" t="s">
        <v>2721</v>
      </c>
      <c r="F792" t="s">
        <v>2615</v>
      </c>
      <c r="G792" t="s">
        <v>2621</v>
      </c>
      <c r="H792" t="s">
        <v>9</v>
      </c>
      <c r="I792">
        <v>69.75</v>
      </c>
      <c r="J792" s="41">
        <f>I792/'enter the discount'!$D$7</f>
        <v>16.32648284256355</v>
      </c>
      <c r="K792" s="41">
        <f>J792*(1-IFERROR(VLOOKUP(H792,'enter the discount'!$D$10:$E$40,2,FALSE),0))</f>
        <v>16.32648284256355</v>
      </c>
      <c r="L792" s="43" t="s">
        <v>2549</v>
      </c>
      <c r="M792" t="s">
        <v>2671</v>
      </c>
      <c r="N792" t="s">
        <v>1013</v>
      </c>
      <c r="O792" t="s">
        <v>2723</v>
      </c>
      <c r="P792">
        <v>20</v>
      </c>
      <c r="Q792">
        <v>0</v>
      </c>
      <c r="R792" t="s">
        <v>2465</v>
      </c>
      <c r="S792" s="42" t="str">
        <f>HYPERLINK("https://sklep.kobi.pl/produkt/linea-pro-fl-white-2gn-3usb-1usb-c-02m")</f>
        <v>https://sklep.kobi.pl/produkt/linea-pro-fl-white-2gn-3usb-1usb-c-02m</v>
      </c>
      <c r="T792" s="42" t="str">
        <f>HYPERLINK("https://eprel.ec.europa.eu/qr/NIE DOTYCZY    ")</f>
        <v xml:space="preserve">https://eprel.ec.europa.eu/qr/NIE DOTYCZY    </v>
      </c>
      <c r="U792">
        <v>0.73</v>
      </c>
      <c r="V792">
        <v>0</v>
      </c>
      <c r="W792">
        <v>0</v>
      </c>
      <c r="X792">
        <v>0</v>
      </c>
      <c r="Y792">
        <v>0</v>
      </c>
    </row>
    <row r="793" spans="1:25" ht="15" x14ac:dyDescent="0.25">
      <c r="A793" t="s">
        <v>24</v>
      </c>
      <c r="B793" t="s">
        <v>1570</v>
      </c>
      <c r="C793"/>
      <c r="D793" t="s">
        <v>111</v>
      </c>
      <c r="E793" t="s">
        <v>2721</v>
      </c>
      <c r="F793" t="s">
        <v>2622</v>
      </c>
      <c r="G793" t="s">
        <v>2623</v>
      </c>
      <c r="H793" t="s">
        <v>9</v>
      </c>
      <c r="I793">
        <v>74.75</v>
      </c>
      <c r="J793" s="41">
        <f>I793/'enter the discount'!$D$7</f>
        <v>17.49684003557886</v>
      </c>
      <c r="K793" s="41">
        <f>J793*(1-IFERROR(VLOOKUP(H793,'enter the discount'!$D$10:$E$40,2,FALSE),0))</f>
        <v>17.49684003557886</v>
      </c>
      <c r="L793" s="43" t="s">
        <v>2549</v>
      </c>
      <c r="M793" t="s">
        <v>2672</v>
      </c>
      <c r="N793" t="s">
        <v>1013</v>
      </c>
      <c r="O793" t="s">
        <v>2723</v>
      </c>
      <c r="P793">
        <v>20</v>
      </c>
      <c r="Q793">
        <v>0</v>
      </c>
      <c r="R793" t="s">
        <v>2465</v>
      </c>
      <c r="S793" s="42" t="str">
        <f>HYPERLINK("https://sklep.kobi.pl/produkt/linea-pro-white-3gn-4usb-1usb-c-15m-zuw")</f>
        <v>https://sklep.kobi.pl/produkt/linea-pro-white-3gn-4usb-1usb-c-15m-zuw</v>
      </c>
      <c r="T793" s="42" t="str">
        <f>HYPERLINK("https://eprel.ec.europa.eu/qr/NIE DOTYCZY    ")</f>
        <v xml:space="preserve">https://eprel.ec.europa.eu/qr/NIE DOTYCZY    </v>
      </c>
      <c r="U793">
        <v>0.36</v>
      </c>
      <c r="V793">
        <v>0</v>
      </c>
      <c r="W793">
        <v>0</v>
      </c>
      <c r="X793">
        <v>0</v>
      </c>
      <c r="Y793">
        <v>0</v>
      </c>
    </row>
    <row r="794" spans="1:25" ht="15" x14ac:dyDescent="0.25">
      <c r="A794" t="s">
        <v>24</v>
      </c>
      <c r="B794" t="s">
        <v>1570</v>
      </c>
      <c r="C794"/>
      <c r="D794" t="s">
        <v>111</v>
      </c>
      <c r="E794" t="s">
        <v>2721</v>
      </c>
      <c r="F794" t="s">
        <v>2624</v>
      </c>
      <c r="G794" t="s">
        <v>2625</v>
      </c>
      <c r="H794" t="s">
        <v>9</v>
      </c>
      <c r="I794">
        <v>94.75</v>
      </c>
      <c r="J794" s="41">
        <f>I794/'enter the discount'!$D$7</f>
        <v>22.178268807640094</v>
      </c>
      <c r="K794" s="41">
        <f>J794*(1-IFERROR(VLOOKUP(H794,'enter the discount'!$D$10:$E$40,2,FALSE),0))</f>
        <v>22.178268807640094</v>
      </c>
      <c r="L794" s="43" t="s">
        <v>2549</v>
      </c>
      <c r="M794" t="s">
        <v>2673</v>
      </c>
      <c r="N794" t="s">
        <v>1013</v>
      </c>
      <c r="O794" t="s">
        <v>2723</v>
      </c>
      <c r="P794">
        <v>20</v>
      </c>
      <c r="Q794">
        <v>0</v>
      </c>
      <c r="R794" t="s">
        <v>2465</v>
      </c>
      <c r="S794" s="42" t="str">
        <f>HYPERLINK("https://sklep.kobi.pl/produkt/linea-pro-white-3gn-4usb-1usb-c-3m-zu-w")</f>
        <v>https://sklep.kobi.pl/produkt/linea-pro-white-3gn-4usb-1usb-c-3m-zu-w</v>
      </c>
      <c r="T794" s="42" t="str">
        <f>HYPERLINK("https://eprel.ec.europa.eu/qr/NIE DOTYCZY    ")</f>
        <v xml:space="preserve">https://eprel.ec.europa.eu/qr/NIE DOTYCZY    </v>
      </c>
      <c r="U794">
        <v>0.52</v>
      </c>
      <c r="V794">
        <v>0</v>
      </c>
      <c r="W794">
        <v>0</v>
      </c>
      <c r="X794">
        <v>0</v>
      </c>
      <c r="Y794">
        <v>0</v>
      </c>
    </row>
    <row r="795" spans="1:25" ht="15" x14ac:dyDescent="0.25">
      <c r="A795" t="s">
        <v>24</v>
      </c>
      <c r="B795" t="s">
        <v>1570</v>
      </c>
      <c r="C795"/>
      <c r="D795" t="s">
        <v>111</v>
      </c>
      <c r="E795" t="s">
        <v>2721</v>
      </c>
      <c r="F795" t="s">
        <v>2626</v>
      </c>
      <c r="G795" t="s">
        <v>2627</v>
      </c>
      <c r="H795" t="s">
        <v>9</v>
      </c>
      <c r="I795">
        <v>119.75</v>
      </c>
      <c r="J795" s="41">
        <f>I795/'enter the discount'!$D$7</f>
        <v>28.030054772716635</v>
      </c>
      <c r="K795" s="41">
        <f>J795*(1-IFERROR(VLOOKUP(H795,'enter the discount'!$D$10:$E$40,2,FALSE),0))</f>
        <v>28.030054772716635</v>
      </c>
      <c r="L795" s="43" t="s">
        <v>2549</v>
      </c>
      <c r="M795" t="s">
        <v>2674</v>
      </c>
      <c r="N795" t="s">
        <v>1013</v>
      </c>
      <c r="O795" t="s">
        <v>2723</v>
      </c>
      <c r="P795">
        <v>20</v>
      </c>
      <c r="Q795">
        <v>0</v>
      </c>
      <c r="R795" t="s">
        <v>2465</v>
      </c>
      <c r="S795" s="42" t="str">
        <f>HYPERLINK("https://sklep.kobi.pl/produkt/linea-pro-white-3gn-4usb-1usb-c-5m-zu-w")</f>
        <v>https://sklep.kobi.pl/produkt/linea-pro-white-3gn-4usb-1usb-c-5m-zu-w</v>
      </c>
      <c r="T795" s="42" t="str">
        <f>HYPERLINK("https://eprel.ec.europa.eu/qr/NIE DOTYCZY    ")</f>
        <v xml:space="preserve">https://eprel.ec.europa.eu/qr/NIE DOTYCZY    </v>
      </c>
      <c r="U795">
        <v>0.73</v>
      </c>
      <c r="V795">
        <v>0</v>
      </c>
      <c r="W795">
        <v>0</v>
      </c>
      <c r="X795">
        <v>0</v>
      </c>
      <c r="Y795">
        <v>0</v>
      </c>
    </row>
    <row r="796" spans="1:25" ht="15" x14ac:dyDescent="0.25">
      <c r="A796" t="s">
        <v>24</v>
      </c>
      <c r="B796" t="s">
        <v>1570</v>
      </c>
      <c r="C796"/>
      <c r="D796" t="s">
        <v>111</v>
      </c>
      <c r="E796" t="s">
        <v>14</v>
      </c>
      <c r="F796" t="s">
        <v>2318</v>
      </c>
      <c r="G796" t="s">
        <v>1011</v>
      </c>
      <c r="H796" t="s">
        <v>9</v>
      </c>
      <c r="I796">
        <v>25</v>
      </c>
      <c r="J796" s="41">
        <f>I796/'enter the discount'!$D$7</f>
        <v>5.8517859650765418</v>
      </c>
      <c r="K796" s="41">
        <f>J796*(1-IFERROR(VLOOKUP(H796,'enter the discount'!$D$10:$E$40,2,FALSE),0))</f>
        <v>5.8517859650765418</v>
      </c>
      <c r="L796" s="43" t="s">
        <v>2549</v>
      </c>
      <c r="M796" t="s">
        <v>1012</v>
      </c>
      <c r="N796" t="s">
        <v>1013</v>
      </c>
      <c r="O796" t="s">
        <v>2723</v>
      </c>
      <c r="P796">
        <v>40</v>
      </c>
      <c r="Q796">
        <v>0</v>
      </c>
      <c r="R796" t="s">
        <v>2465</v>
      </c>
      <c r="S796" s="42" t="str">
        <f>HYPERLINK("https://sklep.kobi.pl/produkt/przedluzacz-kobi-linea-3gn-15m-zu")</f>
        <v>https://sklep.kobi.pl/produkt/przedluzacz-kobi-linea-3gn-15m-zu</v>
      </c>
      <c r="T796" s="42" t="str">
        <f>HYPERLINK("https://eprel.ec.europa.eu/qr/NIE DOTYCZY    ")</f>
        <v xml:space="preserve">https://eprel.ec.europa.eu/qr/NIE DOTYCZY    </v>
      </c>
      <c r="U796">
        <v>0.25</v>
      </c>
      <c r="V796">
        <v>0</v>
      </c>
      <c r="W796">
        <v>0</v>
      </c>
      <c r="X796">
        <v>0</v>
      </c>
      <c r="Y796">
        <v>0</v>
      </c>
    </row>
    <row r="797" spans="1:25" ht="15" x14ac:dyDescent="0.25">
      <c r="A797" t="s">
        <v>24</v>
      </c>
      <c r="B797" t="s">
        <v>1570</v>
      </c>
      <c r="C797"/>
      <c r="D797" t="s">
        <v>111</v>
      </c>
      <c r="E797" t="s">
        <v>14</v>
      </c>
      <c r="F797" t="s">
        <v>2319</v>
      </c>
      <c r="G797" t="s">
        <v>1014</v>
      </c>
      <c r="H797" t="s">
        <v>9</v>
      </c>
      <c r="I797">
        <v>34.5</v>
      </c>
      <c r="J797" s="41">
        <f>I797/'enter the discount'!$D$7</f>
        <v>8.0754646318056267</v>
      </c>
      <c r="K797" s="41">
        <f>J797*(1-IFERROR(VLOOKUP(H797,'enter the discount'!$D$10:$E$40,2,FALSE),0))</f>
        <v>8.0754646318056267</v>
      </c>
      <c r="L797" s="43" t="s">
        <v>2549</v>
      </c>
      <c r="M797" t="s">
        <v>1015</v>
      </c>
      <c r="N797" t="s">
        <v>1013</v>
      </c>
      <c r="O797" t="s">
        <v>2723</v>
      </c>
      <c r="P797">
        <v>30</v>
      </c>
      <c r="Q797">
        <v>0</v>
      </c>
      <c r="R797" t="s">
        <v>2465</v>
      </c>
      <c r="S797" s="42" t="str">
        <f>HYPERLINK("https://sklep.kobi.pl/produkt/przedluzacz-kobi-linea-3gn-3m-zu")</f>
        <v>https://sklep.kobi.pl/produkt/przedluzacz-kobi-linea-3gn-3m-zu</v>
      </c>
      <c r="T797" s="42" t="str">
        <f>HYPERLINK("https://eprel.ec.europa.eu/qr/NIE DOTYCZY    ")</f>
        <v xml:space="preserve">https://eprel.ec.europa.eu/qr/NIE DOTYCZY    </v>
      </c>
      <c r="U797">
        <v>0.36</v>
      </c>
      <c r="V797">
        <v>0</v>
      </c>
      <c r="W797">
        <v>240</v>
      </c>
      <c r="X797">
        <v>110</v>
      </c>
      <c r="Y797">
        <v>90</v>
      </c>
    </row>
    <row r="798" spans="1:25" ht="15" x14ac:dyDescent="0.25">
      <c r="A798" t="s">
        <v>24</v>
      </c>
      <c r="B798" t="s">
        <v>1570</v>
      </c>
      <c r="C798"/>
      <c r="D798" t="s">
        <v>111</v>
      </c>
      <c r="E798" t="s">
        <v>14</v>
      </c>
      <c r="F798" t="s">
        <v>2320</v>
      </c>
      <c r="G798" t="s">
        <v>1016</v>
      </c>
      <c r="H798" t="s">
        <v>9</v>
      </c>
      <c r="I798">
        <v>40.9</v>
      </c>
      <c r="J798" s="41">
        <f>I798/'enter the discount'!$D$7</f>
        <v>9.5735218388652221</v>
      </c>
      <c r="K798" s="41">
        <f>J798*(1-IFERROR(VLOOKUP(H798,'enter the discount'!$D$10:$E$40,2,FALSE),0))</f>
        <v>9.5735218388652221</v>
      </c>
      <c r="L798" s="43" t="s">
        <v>2549</v>
      </c>
      <c r="M798" t="s">
        <v>1017</v>
      </c>
      <c r="N798" t="s">
        <v>1013</v>
      </c>
      <c r="O798" t="s">
        <v>2723</v>
      </c>
      <c r="P798">
        <v>30</v>
      </c>
      <c r="Q798">
        <v>0</v>
      </c>
      <c r="R798" t="s">
        <v>2465</v>
      </c>
      <c r="S798" s="42" t="str">
        <f>HYPERLINK("https://sklep.kobi.pl/produkt/przedluzacz-kobi-linea-3gn-3m-zu-w")</f>
        <v>https://sklep.kobi.pl/produkt/przedluzacz-kobi-linea-3gn-3m-zu-w</v>
      </c>
      <c r="T798" s="42" t="str">
        <f>HYPERLINK("https://eprel.ec.europa.eu/qr/NIE DOTYCZY    ")</f>
        <v xml:space="preserve">https://eprel.ec.europa.eu/qr/NIE DOTYCZY    </v>
      </c>
      <c r="U798">
        <v>0.39</v>
      </c>
      <c r="V798">
        <v>0</v>
      </c>
      <c r="W798">
        <v>0</v>
      </c>
      <c r="X798">
        <v>0</v>
      </c>
      <c r="Y798">
        <v>0</v>
      </c>
    </row>
    <row r="799" spans="1:25" ht="15" x14ac:dyDescent="0.25">
      <c r="A799" t="s">
        <v>24</v>
      </c>
      <c r="B799" t="s">
        <v>1570</v>
      </c>
      <c r="C799"/>
      <c r="D799" t="s">
        <v>111</v>
      </c>
      <c r="E799" t="s">
        <v>14</v>
      </c>
      <c r="F799" t="s">
        <v>2321</v>
      </c>
      <c r="G799" t="s">
        <v>1018</v>
      </c>
      <c r="H799" t="s">
        <v>9</v>
      </c>
      <c r="I799">
        <v>46.7</v>
      </c>
      <c r="J799" s="41">
        <f>I799/'enter the discount'!$D$7</f>
        <v>10.93113618276298</v>
      </c>
      <c r="K799" s="41">
        <f>J799*(1-IFERROR(VLOOKUP(H799,'enter the discount'!$D$10:$E$40,2,FALSE),0))</f>
        <v>10.93113618276298</v>
      </c>
      <c r="L799" s="43" t="s">
        <v>2549</v>
      </c>
      <c r="M799" t="s">
        <v>1019</v>
      </c>
      <c r="N799" t="s">
        <v>1013</v>
      </c>
      <c r="O799" t="s">
        <v>2723</v>
      </c>
      <c r="P799">
        <v>30</v>
      </c>
      <c r="Q799">
        <v>0</v>
      </c>
      <c r="R799" t="s">
        <v>2465</v>
      </c>
      <c r="S799" s="42" t="str">
        <f>HYPERLINK("https://sklep.kobi.pl/produkt/przedluzacz-kobi-linea-3gn-5m-zu")</f>
        <v>https://sklep.kobi.pl/produkt/przedluzacz-kobi-linea-3gn-5m-zu</v>
      </c>
      <c r="T799" s="42" t="str">
        <f>HYPERLINK("https://eprel.ec.europa.eu/qr/NIE DOTYCZY    ")</f>
        <v xml:space="preserve">https://eprel.ec.europa.eu/qr/NIE DOTYCZY    </v>
      </c>
      <c r="U799">
        <v>0.52</v>
      </c>
      <c r="V799">
        <v>0</v>
      </c>
      <c r="W799">
        <v>260</v>
      </c>
      <c r="X799">
        <v>110</v>
      </c>
      <c r="Y799">
        <v>90</v>
      </c>
    </row>
    <row r="800" spans="1:25" ht="15" x14ac:dyDescent="0.25">
      <c r="A800" t="s">
        <v>24</v>
      </c>
      <c r="B800" t="s">
        <v>1570</v>
      </c>
      <c r="C800"/>
      <c r="D800" t="s">
        <v>111</v>
      </c>
      <c r="E800" t="s">
        <v>14</v>
      </c>
      <c r="F800" t="s">
        <v>2322</v>
      </c>
      <c r="G800" t="s">
        <v>1020</v>
      </c>
      <c r="H800" t="s">
        <v>9</v>
      </c>
      <c r="I800">
        <v>53.9</v>
      </c>
      <c r="J800" s="41">
        <f>I800/'enter the discount'!$D$7</f>
        <v>12.616450540705024</v>
      </c>
      <c r="K800" s="41">
        <f>J800*(1-IFERROR(VLOOKUP(H800,'enter the discount'!$D$10:$E$40,2,FALSE),0))</f>
        <v>12.616450540705024</v>
      </c>
      <c r="L800" s="43" t="s">
        <v>2549</v>
      </c>
      <c r="M800" t="s">
        <v>1021</v>
      </c>
      <c r="N800" t="s">
        <v>1013</v>
      </c>
      <c r="O800" t="s">
        <v>2723</v>
      </c>
      <c r="P800">
        <v>30</v>
      </c>
      <c r="Q800">
        <v>0</v>
      </c>
      <c r="R800" t="s">
        <v>2465</v>
      </c>
      <c r="S800" s="42" t="str">
        <f>HYPERLINK("https://sklep.kobi.pl/produkt/przedluzacz-kobi-linea-3gn-5m-zu-w")</f>
        <v>https://sklep.kobi.pl/produkt/przedluzacz-kobi-linea-3gn-5m-zu-w</v>
      </c>
      <c r="T800" s="42" t="str">
        <f>HYPERLINK("https://eprel.ec.europa.eu/qr/NIE DOTYCZY    ")</f>
        <v xml:space="preserve">https://eprel.ec.europa.eu/qr/NIE DOTYCZY    </v>
      </c>
      <c r="U800">
        <v>0.54</v>
      </c>
      <c r="V800">
        <v>0</v>
      </c>
      <c r="W800">
        <v>0</v>
      </c>
      <c r="X800">
        <v>0</v>
      </c>
      <c r="Y800">
        <v>0</v>
      </c>
    </row>
    <row r="801" spans="1:25" ht="15" x14ac:dyDescent="0.25">
      <c r="A801" t="s">
        <v>24</v>
      </c>
      <c r="B801" t="s">
        <v>1570</v>
      </c>
      <c r="C801"/>
      <c r="D801" t="s">
        <v>111</v>
      </c>
      <c r="E801" t="s">
        <v>14</v>
      </c>
      <c r="F801" t="s">
        <v>2323</v>
      </c>
      <c r="G801" t="s">
        <v>1022</v>
      </c>
      <c r="H801" t="s">
        <v>9</v>
      </c>
      <c r="I801">
        <v>27.5</v>
      </c>
      <c r="J801" s="41">
        <f>I801/'enter the discount'!$D$7</f>
        <v>6.4369645615841957</v>
      </c>
      <c r="K801" s="41">
        <f>J801*(1-IFERROR(VLOOKUP(H801,'enter the discount'!$D$10:$E$40,2,FALSE),0))</f>
        <v>6.4369645615841957</v>
      </c>
      <c r="L801" s="43" t="s">
        <v>2549</v>
      </c>
      <c r="M801" t="s">
        <v>1023</v>
      </c>
      <c r="N801" t="s">
        <v>1013</v>
      </c>
      <c r="O801" t="s">
        <v>2723</v>
      </c>
      <c r="P801">
        <v>40</v>
      </c>
      <c r="Q801">
        <v>0</v>
      </c>
      <c r="R801" t="s">
        <v>2465</v>
      </c>
      <c r="S801" s="42" t="str">
        <f>HYPERLINK("https://sklep.kobi.pl/produkt/przedluzacz-kobi-linea-4gn-15m-zu")</f>
        <v>https://sklep.kobi.pl/produkt/przedluzacz-kobi-linea-4gn-15m-zu</v>
      </c>
      <c r="T801" s="42" t="str">
        <f>HYPERLINK("https://eprel.ec.europa.eu/qr/NIE DOTYCZY    ")</f>
        <v xml:space="preserve">https://eprel.ec.europa.eu/qr/NIE DOTYCZY    </v>
      </c>
      <c r="U801">
        <v>0.28000000000000003</v>
      </c>
      <c r="V801">
        <v>0</v>
      </c>
      <c r="W801">
        <v>0</v>
      </c>
      <c r="X801">
        <v>0</v>
      </c>
      <c r="Y801">
        <v>0</v>
      </c>
    </row>
    <row r="802" spans="1:25" ht="15" x14ac:dyDescent="0.25">
      <c r="A802" t="s">
        <v>24</v>
      </c>
      <c r="B802" t="s">
        <v>1570</v>
      </c>
      <c r="C802"/>
      <c r="D802" t="s">
        <v>111</v>
      </c>
      <c r="E802" t="s">
        <v>14</v>
      </c>
      <c r="F802" t="s">
        <v>2324</v>
      </c>
      <c r="G802" t="s">
        <v>1024</v>
      </c>
      <c r="H802" t="s">
        <v>9</v>
      </c>
      <c r="I802">
        <v>35.5</v>
      </c>
      <c r="J802" s="41">
        <f>I802/'enter the discount'!$D$7</f>
        <v>8.30953607040869</v>
      </c>
      <c r="K802" s="41">
        <f>J802*(1-IFERROR(VLOOKUP(H802,'enter the discount'!$D$10:$E$40,2,FALSE),0))</f>
        <v>8.30953607040869</v>
      </c>
      <c r="L802" s="43" t="s">
        <v>2549</v>
      </c>
      <c r="M802" t="s">
        <v>1025</v>
      </c>
      <c r="N802" t="s">
        <v>1013</v>
      </c>
      <c r="O802" t="s">
        <v>2723</v>
      </c>
      <c r="P802">
        <v>30</v>
      </c>
      <c r="Q802">
        <v>0</v>
      </c>
      <c r="R802" t="s">
        <v>2465</v>
      </c>
      <c r="S802" s="42" t="str">
        <f>HYPERLINK("https://sklep.kobi.pl/produkt/przedluzacz-kobi-linea-4gn-3m-zu")</f>
        <v>https://sklep.kobi.pl/produkt/przedluzacz-kobi-linea-4gn-3m-zu</v>
      </c>
      <c r="T802" s="42" t="str">
        <f>HYPERLINK("https://eprel.ec.europa.eu/qr/NIE DOTYCZY    ")</f>
        <v xml:space="preserve">https://eprel.ec.europa.eu/qr/NIE DOTYCZY    </v>
      </c>
      <c r="U802">
        <v>0.39</v>
      </c>
      <c r="V802">
        <v>0</v>
      </c>
      <c r="W802">
        <v>0</v>
      </c>
      <c r="X802">
        <v>0</v>
      </c>
      <c r="Y802">
        <v>0</v>
      </c>
    </row>
    <row r="803" spans="1:25" ht="15" x14ac:dyDescent="0.25">
      <c r="A803" t="s">
        <v>24</v>
      </c>
      <c r="B803" t="s">
        <v>1570</v>
      </c>
      <c r="C803"/>
      <c r="D803" t="s">
        <v>111</v>
      </c>
      <c r="E803" t="s">
        <v>14</v>
      </c>
      <c r="F803" t="s">
        <v>2325</v>
      </c>
      <c r="G803" t="s">
        <v>1026</v>
      </c>
      <c r="H803" t="s">
        <v>9</v>
      </c>
      <c r="I803">
        <v>47.5</v>
      </c>
      <c r="J803" s="41">
        <f>I803/'enter the discount'!$D$7</f>
        <v>11.118393333645429</v>
      </c>
      <c r="K803" s="41">
        <f>J803*(1-IFERROR(VLOOKUP(H803,'enter the discount'!$D$10:$E$40,2,FALSE),0))</f>
        <v>11.118393333645429</v>
      </c>
      <c r="L803" s="43" t="s">
        <v>2549</v>
      </c>
      <c r="M803" t="s">
        <v>1027</v>
      </c>
      <c r="N803" t="s">
        <v>1013</v>
      </c>
      <c r="O803" t="s">
        <v>2723</v>
      </c>
      <c r="P803">
        <v>30</v>
      </c>
      <c r="Q803">
        <v>0</v>
      </c>
      <c r="R803" t="s">
        <v>2465</v>
      </c>
      <c r="S803" s="42" t="str">
        <f>HYPERLINK("https://sklep.kobi.pl/produkt/przedluzacz-kobi-linea-4gn-5m-zu")</f>
        <v>https://sklep.kobi.pl/produkt/przedluzacz-kobi-linea-4gn-5m-zu</v>
      </c>
      <c r="T803" s="42" t="str">
        <f>HYPERLINK("https://eprel.ec.europa.eu/qr/NIE DOTYCZY    ")</f>
        <v xml:space="preserve">https://eprel.ec.europa.eu/qr/NIE DOTYCZY    </v>
      </c>
      <c r="U803">
        <v>0.54</v>
      </c>
      <c r="V803">
        <v>0</v>
      </c>
      <c r="W803">
        <v>0</v>
      </c>
      <c r="X803">
        <v>0</v>
      </c>
      <c r="Y803">
        <v>0</v>
      </c>
    </row>
    <row r="804" spans="1:25" ht="15" x14ac:dyDescent="0.25">
      <c r="A804" t="s">
        <v>24</v>
      </c>
      <c r="B804" t="s">
        <v>1570</v>
      </c>
      <c r="C804"/>
      <c r="D804" t="s">
        <v>111</v>
      </c>
      <c r="E804" t="s">
        <v>14</v>
      </c>
      <c r="F804" t="s">
        <v>2326</v>
      </c>
      <c r="G804" t="s">
        <v>1028</v>
      </c>
      <c r="H804" t="s">
        <v>9</v>
      </c>
      <c r="I804">
        <v>30.5</v>
      </c>
      <c r="J804" s="41">
        <f>I804/'enter the discount'!$D$7</f>
        <v>7.1391788773933804</v>
      </c>
      <c r="K804" s="41">
        <f>J804*(1-IFERROR(VLOOKUP(H804,'enter the discount'!$D$10:$E$40,2,FALSE),0))</f>
        <v>7.1391788773933804</v>
      </c>
      <c r="L804" s="43" t="s">
        <v>2549</v>
      </c>
      <c r="M804" t="s">
        <v>1029</v>
      </c>
      <c r="N804" t="s">
        <v>1013</v>
      </c>
      <c r="O804" t="s">
        <v>2723</v>
      </c>
      <c r="P804">
        <v>40</v>
      </c>
      <c r="Q804">
        <v>0</v>
      </c>
      <c r="R804" t="s">
        <v>2465</v>
      </c>
      <c r="S804" s="42" t="str">
        <f>HYPERLINK("https://sklep.kobi.pl/produkt/przedluzacz-kobi-linea-5gn-15m-zu")</f>
        <v>https://sklep.kobi.pl/produkt/przedluzacz-kobi-linea-5gn-15m-zu</v>
      </c>
      <c r="T804" s="42" t="str">
        <f>HYPERLINK("https://eprel.ec.europa.eu/qr/NIE DOTYCZY    ")</f>
        <v xml:space="preserve">https://eprel.ec.europa.eu/qr/NIE DOTYCZY    </v>
      </c>
      <c r="U804">
        <v>0.37</v>
      </c>
      <c r="V804">
        <v>0</v>
      </c>
      <c r="W804">
        <v>0</v>
      </c>
      <c r="X804">
        <v>0</v>
      </c>
      <c r="Y804">
        <v>0</v>
      </c>
    </row>
    <row r="805" spans="1:25" ht="15" x14ac:dyDescent="0.25">
      <c r="A805" t="s">
        <v>24</v>
      </c>
      <c r="B805" t="s">
        <v>1570</v>
      </c>
      <c r="C805"/>
      <c r="D805" t="s">
        <v>111</v>
      </c>
      <c r="E805" t="s">
        <v>14</v>
      </c>
      <c r="F805" t="s">
        <v>2327</v>
      </c>
      <c r="G805" t="s">
        <v>1030</v>
      </c>
      <c r="H805" t="s">
        <v>9</v>
      </c>
      <c r="I805">
        <v>39.700000000000003</v>
      </c>
      <c r="J805" s="41">
        <f>I805/'enter the discount'!$D$7</f>
        <v>9.2926361125415493</v>
      </c>
      <c r="K805" s="41">
        <f>J805*(1-IFERROR(VLOOKUP(H805,'enter the discount'!$D$10:$E$40,2,FALSE),0))</f>
        <v>9.2926361125415493</v>
      </c>
      <c r="L805" s="43" t="s">
        <v>2549</v>
      </c>
      <c r="M805" t="s">
        <v>1031</v>
      </c>
      <c r="N805" t="s">
        <v>1013</v>
      </c>
      <c r="O805" t="s">
        <v>2723</v>
      </c>
      <c r="P805">
        <v>30</v>
      </c>
      <c r="Q805">
        <v>0</v>
      </c>
      <c r="R805" t="s">
        <v>2465</v>
      </c>
      <c r="S805" s="42" t="str">
        <f>HYPERLINK("https://sklep.kobi.pl/produkt/przedluzacz-kobi-linea-5gn-3m-zu")</f>
        <v>https://sklep.kobi.pl/produkt/przedluzacz-kobi-linea-5gn-3m-zu</v>
      </c>
      <c r="T805" s="42" t="str">
        <f>HYPERLINK("https://eprel.ec.europa.eu/qr/NIE DOTYCZY    ")</f>
        <v xml:space="preserve">https://eprel.ec.europa.eu/qr/NIE DOTYCZY    </v>
      </c>
      <c r="U805">
        <v>0.51</v>
      </c>
      <c r="V805">
        <v>0</v>
      </c>
      <c r="W805">
        <v>250</v>
      </c>
      <c r="X805">
        <v>90</v>
      </c>
      <c r="Y805">
        <v>60</v>
      </c>
    </row>
    <row r="806" spans="1:25" ht="15" x14ac:dyDescent="0.25">
      <c r="A806" t="s">
        <v>24</v>
      </c>
      <c r="B806" t="s">
        <v>1570</v>
      </c>
      <c r="C806"/>
      <c r="D806" t="s">
        <v>111</v>
      </c>
      <c r="E806" t="s">
        <v>14</v>
      </c>
      <c r="F806" t="s">
        <v>2328</v>
      </c>
      <c r="G806" t="s">
        <v>1032</v>
      </c>
      <c r="H806" t="s">
        <v>9</v>
      </c>
      <c r="I806">
        <v>46.9</v>
      </c>
      <c r="J806" s="41">
        <f>I806/'enter the discount'!$D$7</f>
        <v>10.977950470483592</v>
      </c>
      <c r="K806" s="41">
        <f>J806*(1-IFERROR(VLOOKUP(H806,'enter the discount'!$D$10:$E$40,2,FALSE),0))</f>
        <v>10.977950470483592</v>
      </c>
      <c r="L806" s="43" t="s">
        <v>2549</v>
      </c>
      <c r="M806" t="s">
        <v>1033</v>
      </c>
      <c r="N806" t="s">
        <v>1013</v>
      </c>
      <c r="O806" t="s">
        <v>2723</v>
      </c>
      <c r="P806">
        <v>30</v>
      </c>
      <c r="Q806">
        <v>0</v>
      </c>
      <c r="R806" t="s">
        <v>2465</v>
      </c>
      <c r="S806" s="42" t="str">
        <f>HYPERLINK("https://sklep.kobi.pl/produkt/przedluzacz-kobi-linea-5gn-3m-zu-w")</f>
        <v>https://sklep.kobi.pl/produkt/przedluzacz-kobi-linea-5gn-3m-zu-w</v>
      </c>
      <c r="T806" s="42" t="str">
        <f>HYPERLINK("https://eprel.ec.europa.eu/qr/NIE DOTYCZY    ")</f>
        <v xml:space="preserve">https://eprel.ec.europa.eu/qr/NIE DOTYCZY    </v>
      </c>
      <c r="U806">
        <v>0.53</v>
      </c>
      <c r="V806">
        <v>0</v>
      </c>
      <c r="W806">
        <v>0</v>
      </c>
      <c r="X806">
        <v>0</v>
      </c>
      <c r="Y806">
        <v>0</v>
      </c>
    </row>
    <row r="807" spans="1:25" ht="15" x14ac:dyDescent="0.25">
      <c r="A807" t="s">
        <v>24</v>
      </c>
      <c r="B807" t="s">
        <v>1570</v>
      </c>
      <c r="C807"/>
      <c r="D807" t="s">
        <v>111</v>
      </c>
      <c r="E807" t="s">
        <v>14</v>
      </c>
      <c r="F807" t="s">
        <v>2329</v>
      </c>
      <c r="G807" t="s">
        <v>1034</v>
      </c>
      <c r="H807" t="s">
        <v>9</v>
      </c>
      <c r="I807">
        <v>52</v>
      </c>
      <c r="J807" s="41">
        <f>I807/'enter the discount'!$D$7</f>
        <v>12.171714807359207</v>
      </c>
      <c r="K807" s="41">
        <f>J807*(1-IFERROR(VLOOKUP(H807,'enter the discount'!$D$10:$E$40,2,FALSE),0))</f>
        <v>12.171714807359207</v>
      </c>
      <c r="L807" s="43" t="s">
        <v>2549</v>
      </c>
      <c r="M807" t="s">
        <v>1035</v>
      </c>
      <c r="N807" t="s">
        <v>1013</v>
      </c>
      <c r="O807" t="s">
        <v>2723</v>
      </c>
      <c r="P807">
        <v>30</v>
      </c>
      <c r="Q807">
        <v>0</v>
      </c>
      <c r="R807" t="s">
        <v>2465</v>
      </c>
      <c r="S807" s="42" t="str">
        <f>HYPERLINK("https://sklep.kobi.pl/produkt/przedluzacz-kobi-linea-5gn-5m-zu")</f>
        <v>https://sklep.kobi.pl/produkt/przedluzacz-kobi-linea-5gn-5m-zu</v>
      </c>
      <c r="T807" s="42" t="str">
        <f>HYPERLINK("https://eprel.ec.europa.eu/qr/NIE DOTYCZY    ")</f>
        <v xml:space="preserve">https://eprel.ec.europa.eu/qr/NIE DOTYCZY    </v>
      </c>
      <c r="U807">
        <v>0.73</v>
      </c>
      <c r="V807">
        <v>0</v>
      </c>
      <c r="W807">
        <v>0</v>
      </c>
      <c r="X807">
        <v>0</v>
      </c>
      <c r="Y807">
        <v>0</v>
      </c>
    </row>
    <row r="808" spans="1:25" ht="15" x14ac:dyDescent="0.25">
      <c r="A808" t="s">
        <v>24</v>
      </c>
      <c r="B808" t="s">
        <v>1570</v>
      </c>
      <c r="C808"/>
      <c r="D808" t="s">
        <v>111</v>
      </c>
      <c r="E808" t="s">
        <v>14</v>
      </c>
      <c r="F808" t="s">
        <v>2330</v>
      </c>
      <c r="G808" t="s">
        <v>1036</v>
      </c>
      <c r="H808" t="s">
        <v>9</v>
      </c>
      <c r="I808">
        <v>56.9</v>
      </c>
      <c r="J808" s="41">
        <f>I808/'enter the discount'!$D$7</f>
        <v>13.318664856514209</v>
      </c>
      <c r="K808" s="41">
        <f>J808*(1-IFERROR(VLOOKUP(H808,'enter the discount'!$D$10:$E$40,2,FALSE),0))</f>
        <v>13.318664856514209</v>
      </c>
      <c r="L808" s="43" t="s">
        <v>2549</v>
      </c>
      <c r="M808" t="s">
        <v>1037</v>
      </c>
      <c r="N808" t="s">
        <v>1013</v>
      </c>
      <c r="O808" t="s">
        <v>2723</v>
      </c>
      <c r="P808">
        <v>30</v>
      </c>
      <c r="Q808">
        <v>0</v>
      </c>
      <c r="R808" t="s">
        <v>2465</v>
      </c>
      <c r="S808" s="42" t="str">
        <f>HYPERLINK("https://sklep.kobi.pl/produkt/przedluzacz-kobi-linea-5gn-5m-zu-w")</f>
        <v>https://sklep.kobi.pl/produkt/przedluzacz-kobi-linea-5gn-5m-zu-w</v>
      </c>
      <c r="T808" s="42" t="str">
        <f>HYPERLINK("https://eprel.ec.europa.eu/qr/NIE DOTYCZY    ")</f>
        <v xml:space="preserve">https://eprel.ec.europa.eu/qr/NIE DOTYCZY    </v>
      </c>
      <c r="U808">
        <v>0.75</v>
      </c>
      <c r="V808">
        <v>0</v>
      </c>
      <c r="W808">
        <v>0</v>
      </c>
      <c r="X808">
        <v>0</v>
      </c>
      <c r="Y808">
        <v>0</v>
      </c>
    </row>
    <row r="809" spans="1:25" ht="15" x14ac:dyDescent="0.25">
      <c r="A809" t="s">
        <v>24</v>
      </c>
      <c r="B809" t="s">
        <v>1570</v>
      </c>
      <c r="C809"/>
      <c r="D809" t="s">
        <v>111</v>
      </c>
      <c r="E809" t="s">
        <v>2721</v>
      </c>
      <c r="F809" t="s">
        <v>2394</v>
      </c>
      <c r="G809" t="s">
        <v>2395</v>
      </c>
      <c r="H809" t="s">
        <v>9</v>
      </c>
      <c r="I809">
        <v>67.25</v>
      </c>
      <c r="J809" s="41">
        <f>I809/'enter the discount'!$D$7</f>
        <v>15.741304246055897</v>
      </c>
      <c r="K809" s="41">
        <f>J809*(1-IFERROR(VLOOKUP(H809,'enter the discount'!$D$10:$E$40,2,FALSE),0))</f>
        <v>15.741304246055897</v>
      </c>
      <c r="L809" s="43" t="s">
        <v>2549</v>
      </c>
      <c r="M809" t="s">
        <v>2413</v>
      </c>
      <c r="N809" t="s">
        <v>1013</v>
      </c>
      <c r="O809" t="s">
        <v>2723</v>
      </c>
      <c r="P809">
        <v>20</v>
      </c>
      <c r="Q809">
        <v>0</v>
      </c>
      <c r="R809" t="s">
        <v>2465</v>
      </c>
      <c r="S809" s="42" t="str">
        <f>HYPERLINK("https://sklep.kobi.pl/produkt/kobi-connecto-black-4gn-usb-15m-zu-w")</f>
        <v>https://sklep.kobi.pl/produkt/kobi-connecto-black-4gn-usb-15m-zu-w</v>
      </c>
      <c r="T809" s="42" t="str">
        <f>HYPERLINK("https://eprel.ec.europa.eu/qr/NIE DOTYCZY    ")</f>
        <v xml:space="preserve">https://eprel.ec.europa.eu/qr/NIE DOTYCZY    </v>
      </c>
      <c r="U809">
        <v>0.39</v>
      </c>
      <c r="V809">
        <v>0</v>
      </c>
      <c r="W809">
        <v>0</v>
      </c>
      <c r="X809">
        <v>0</v>
      </c>
      <c r="Y809">
        <v>0</v>
      </c>
    </row>
    <row r="810" spans="1:25" ht="15" x14ac:dyDescent="0.25">
      <c r="A810" t="s">
        <v>24</v>
      </c>
      <c r="B810" t="s">
        <v>1570</v>
      </c>
      <c r="C810"/>
      <c r="D810" t="s">
        <v>111</v>
      </c>
      <c r="E810" t="s">
        <v>2721</v>
      </c>
      <c r="F810" t="s">
        <v>2396</v>
      </c>
      <c r="G810" t="s">
        <v>2397</v>
      </c>
      <c r="H810" t="s">
        <v>9</v>
      </c>
      <c r="I810">
        <v>67.25</v>
      </c>
      <c r="J810" s="41">
        <f>I810/'enter the discount'!$D$7</f>
        <v>15.741304246055897</v>
      </c>
      <c r="K810" s="41">
        <f>J810*(1-IFERROR(VLOOKUP(H810,'enter the discount'!$D$10:$E$40,2,FALSE),0))</f>
        <v>15.741304246055897</v>
      </c>
      <c r="L810" s="43" t="s">
        <v>2549</v>
      </c>
      <c r="M810" t="s">
        <v>2414</v>
      </c>
      <c r="N810" t="s">
        <v>1013</v>
      </c>
      <c r="O810" t="s">
        <v>2723</v>
      </c>
      <c r="P810">
        <v>20</v>
      </c>
      <c r="Q810">
        <v>0</v>
      </c>
      <c r="R810" t="s">
        <v>2465</v>
      </c>
      <c r="S810" s="42" t="str">
        <f>HYPERLINK("https://sklep.kobi.pl/produkt/kobi-connecto-white-4gn-usb-15m-zu-w")</f>
        <v>https://sklep.kobi.pl/produkt/kobi-connecto-white-4gn-usb-15m-zu-w</v>
      </c>
      <c r="T810" s="42" t="str">
        <f>HYPERLINK("https://eprel.ec.europa.eu/qr/NIE DOTYCZY    ")</f>
        <v xml:space="preserve">https://eprel.ec.europa.eu/qr/NIE DOTYCZY    </v>
      </c>
      <c r="U810">
        <v>0.39</v>
      </c>
      <c r="V810">
        <v>0</v>
      </c>
      <c r="W810">
        <v>0</v>
      </c>
      <c r="X810">
        <v>0</v>
      </c>
      <c r="Y810">
        <v>0</v>
      </c>
    </row>
    <row r="811" spans="1:25" ht="15" x14ac:dyDescent="0.25">
      <c r="A811" t="s">
        <v>24</v>
      </c>
      <c r="B811" t="s">
        <v>1570</v>
      </c>
      <c r="C811"/>
      <c r="D811" t="s">
        <v>111</v>
      </c>
      <c r="E811" t="s">
        <v>2721</v>
      </c>
      <c r="F811" t="s">
        <v>2398</v>
      </c>
      <c r="G811" t="s">
        <v>2399</v>
      </c>
      <c r="H811" t="s">
        <v>9</v>
      </c>
      <c r="I811">
        <v>87.25</v>
      </c>
      <c r="J811" s="41">
        <f>I811/'enter the discount'!$D$7</f>
        <v>20.422733018117132</v>
      </c>
      <c r="K811" s="41">
        <f>J811*(1-IFERROR(VLOOKUP(H811,'enter the discount'!$D$10:$E$40,2,FALSE),0))</f>
        <v>20.422733018117132</v>
      </c>
      <c r="L811" s="43" t="s">
        <v>2549</v>
      </c>
      <c r="M811" t="s">
        <v>2415</v>
      </c>
      <c r="N811" t="s">
        <v>1013</v>
      </c>
      <c r="O811" t="s">
        <v>2723</v>
      </c>
      <c r="P811">
        <v>20</v>
      </c>
      <c r="Q811">
        <v>0</v>
      </c>
      <c r="R811" t="s">
        <v>2465</v>
      </c>
      <c r="S811" s="42" t="str">
        <f>HYPERLINK("https://sklep.kobi.pl/produkt/kobi-connecto-black-4gn-usb-3m-zu-w")</f>
        <v>https://sklep.kobi.pl/produkt/kobi-connecto-black-4gn-usb-3m-zu-w</v>
      </c>
      <c r="T811" s="42" t="str">
        <f>HYPERLINK("https://eprel.ec.europa.eu/qr/NIE DOTYCZY    ")</f>
        <v xml:space="preserve">https://eprel.ec.europa.eu/qr/NIE DOTYCZY    </v>
      </c>
      <c r="U811">
        <v>0.55000000000000004</v>
      </c>
      <c r="V811">
        <v>0</v>
      </c>
      <c r="W811">
        <v>0</v>
      </c>
      <c r="X811">
        <v>0</v>
      </c>
      <c r="Y811">
        <v>0</v>
      </c>
    </row>
    <row r="812" spans="1:25" ht="15" x14ac:dyDescent="0.25">
      <c r="A812" t="s">
        <v>24</v>
      </c>
      <c r="B812" t="s">
        <v>1570</v>
      </c>
      <c r="C812"/>
      <c r="D812" t="s">
        <v>111</v>
      </c>
      <c r="E812" t="s">
        <v>2721</v>
      </c>
      <c r="F812" t="s">
        <v>2400</v>
      </c>
      <c r="G812" t="s">
        <v>2401</v>
      </c>
      <c r="H812" t="s">
        <v>9</v>
      </c>
      <c r="I812">
        <v>87.25</v>
      </c>
      <c r="J812" s="41">
        <f>I812/'enter the discount'!$D$7</f>
        <v>20.422733018117132</v>
      </c>
      <c r="K812" s="41">
        <f>J812*(1-IFERROR(VLOOKUP(H812,'enter the discount'!$D$10:$E$40,2,FALSE),0))</f>
        <v>20.422733018117132</v>
      </c>
      <c r="L812" s="43" t="s">
        <v>2549</v>
      </c>
      <c r="M812" t="s">
        <v>2416</v>
      </c>
      <c r="N812" t="s">
        <v>1013</v>
      </c>
      <c r="O812" t="s">
        <v>2723</v>
      </c>
      <c r="P812">
        <v>1</v>
      </c>
      <c r="Q812">
        <v>0</v>
      </c>
      <c r="R812" t="s">
        <v>2465</v>
      </c>
      <c r="S812" s="42" t="str">
        <f>HYPERLINK("https://sklep.kobi.pl/produkt/kobi-connecto-white-4gn-usb-3m-zu-w")</f>
        <v>https://sklep.kobi.pl/produkt/kobi-connecto-white-4gn-usb-3m-zu-w</v>
      </c>
      <c r="T812" s="42" t="str">
        <f>HYPERLINK("https://eprel.ec.europa.eu/qr/NIE DOTYCZY    ")</f>
        <v xml:space="preserve">https://eprel.ec.europa.eu/qr/NIE DOTYCZY    </v>
      </c>
      <c r="U812">
        <v>0.55000000000000004</v>
      </c>
      <c r="V812">
        <v>0</v>
      </c>
      <c r="W812">
        <v>0</v>
      </c>
      <c r="X812">
        <v>0</v>
      </c>
      <c r="Y812">
        <v>0</v>
      </c>
    </row>
    <row r="813" spans="1:25" ht="15" x14ac:dyDescent="0.25">
      <c r="A813" t="s">
        <v>24</v>
      </c>
      <c r="B813" t="s">
        <v>1570</v>
      </c>
      <c r="C813"/>
      <c r="D813" t="s">
        <v>111</v>
      </c>
      <c r="E813" t="s">
        <v>2721</v>
      </c>
      <c r="F813" t="s">
        <v>2402</v>
      </c>
      <c r="G813" t="s">
        <v>2403</v>
      </c>
      <c r="H813" t="s">
        <v>9</v>
      </c>
      <c r="I813">
        <v>112.25</v>
      </c>
      <c r="J813" s="41">
        <f>I813/'enter the discount'!$D$7</f>
        <v>26.274518983193673</v>
      </c>
      <c r="K813" s="41">
        <f>J813*(1-IFERROR(VLOOKUP(H813,'enter the discount'!$D$10:$E$40,2,FALSE),0))</f>
        <v>26.274518983193673</v>
      </c>
      <c r="L813" s="43" t="s">
        <v>2549</v>
      </c>
      <c r="M813" t="s">
        <v>2417</v>
      </c>
      <c r="N813" t="s">
        <v>1013</v>
      </c>
      <c r="O813" t="s">
        <v>2723</v>
      </c>
      <c r="P813">
        <v>20</v>
      </c>
      <c r="Q813">
        <v>0</v>
      </c>
      <c r="R813" t="s">
        <v>2465</v>
      </c>
      <c r="S813" s="42" t="str">
        <f>HYPERLINK("https://sklep.kobi.pl/produkt/kobi-connecto-black-4gn-usb-5m-zu-w")</f>
        <v>https://sklep.kobi.pl/produkt/kobi-connecto-black-4gn-usb-5m-zu-w</v>
      </c>
      <c r="T813" s="42" t="str">
        <f>HYPERLINK("https://eprel.ec.europa.eu/qr/NIE DOTYCZY    ")</f>
        <v xml:space="preserve">https://eprel.ec.europa.eu/qr/NIE DOTYCZY    </v>
      </c>
      <c r="U813">
        <v>0.76</v>
      </c>
      <c r="V813">
        <v>0</v>
      </c>
      <c r="W813">
        <v>0</v>
      </c>
      <c r="X813">
        <v>0</v>
      </c>
      <c r="Y813">
        <v>0</v>
      </c>
    </row>
    <row r="814" spans="1:25" ht="15" x14ac:dyDescent="0.25">
      <c r="A814" t="s">
        <v>24</v>
      </c>
      <c r="B814" t="s">
        <v>1570</v>
      </c>
      <c r="C814"/>
      <c r="D814" t="s">
        <v>111</v>
      </c>
      <c r="E814" t="s">
        <v>2721</v>
      </c>
      <c r="F814" t="s">
        <v>2404</v>
      </c>
      <c r="G814" t="s">
        <v>2405</v>
      </c>
      <c r="H814" t="s">
        <v>9</v>
      </c>
      <c r="I814">
        <v>112.25</v>
      </c>
      <c r="J814" s="41">
        <f>I814/'enter the discount'!$D$7</f>
        <v>26.274518983193673</v>
      </c>
      <c r="K814" s="41">
        <f>J814*(1-IFERROR(VLOOKUP(H814,'enter the discount'!$D$10:$E$40,2,FALSE),0))</f>
        <v>26.274518983193673</v>
      </c>
      <c r="L814" s="43" t="s">
        <v>2549</v>
      </c>
      <c r="M814" t="s">
        <v>2418</v>
      </c>
      <c r="N814" t="s">
        <v>1013</v>
      </c>
      <c r="O814" t="s">
        <v>2723</v>
      </c>
      <c r="P814">
        <v>20</v>
      </c>
      <c r="Q814">
        <v>0</v>
      </c>
      <c r="R814" t="s">
        <v>2465</v>
      </c>
      <c r="S814" s="42" t="str">
        <f>HYPERLINK("https://sklep.kobi.pl/produkt/kobi-connecto-white-4gn-usb-5m-zu-w")</f>
        <v>https://sklep.kobi.pl/produkt/kobi-connecto-white-4gn-usb-5m-zu-w</v>
      </c>
      <c r="T814" s="42" t="str">
        <f>HYPERLINK("https://eprel.ec.europa.eu/qr/NIE DOTYCZY    ")</f>
        <v xml:space="preserve">https://eprel.ec.europa.eu/qr/NIE DOTYCZY    </v>
      </c>
      <c r="U814">
        <v>0.76</v>
      </c>
      <c r="V814">
        <v>0</v>
      </c>
      <c r="W814">
        <v>0</v>
      </c>
      <c r="X814">
        <v>0</v>
      </c>
      <c r="Y814">
        <v>0</v>
      </c>
    </row>
    <row r="815" spans="1:25" ht="15" x14ac:dyDescent="0.25">
      <c r="A815" t="s">
        <v>24</v>
      </c>
      <c r="B815"/>
      <c r="C815"/>
      <c r="D815" t="s">
        <v>111</v>
      </c>
      <c r="E815" t="s">
        <v>2721</v>
      </c>
      <c r="F815" t="s">
        <v>2628</v>
      </c>
      <c r="G815" t="s">
        <v>2629</v>
      </c>
      <c r="H815" t="s">
        <v>888</v>
      </c>
      <c r="I815">
        <v>70.5</v>
      </c>
      <c r="J815" s="41">
        <f>I815/'enter the discount'!$D$7</f>
        <v>16.502036421515847</v>
      </c>
      <c r="K815" s="41">
        <f>J815*(1-IFERROR(VLOOKUP(H815,'enter the discount'!$D$10:$E$40,2,FALSE),0))</f>
        <v>16.502036421515847</v>
      </c>
      <c r="L815" s="43" t="s">
        <v>2549</v>
      </c>
      <c r="M815" t="s">
        <v>2675</v>
      </c>
      <c r="N815" t="s">
        <v>824</v>
      </c>
      <c r="O815" t="s">
        <v>2723</v>
      </c>
      <c r="P815">
        <v>50</v>
      </c>
      <c r="Q815">
        <v>0</v>
      </c>
      <c r="R815" t="s">
        <v>2465</v>
      </c>
      <c r="S815" s="42" t="str">
        <f>HYPERLINK("https://sklep.kobi.pl/produkt/kobi-pmm-1-white")</f>
        <v>https://sklep.kobi.pl/produkt/kobi-pmm-1-white</v>
      </c>
      <c r="T815" s="42" t="str">
        <f>HYPERLINK("https://eprel.ec.europa.eu/qr/NIE DOTYCZY    ")</f>
        <v xml:space="preserve">https://eprel.ec.europa.eu/qr/NIE DOTYCZY    </v>
      </c>
      <c r="U815">
        <v>0.23</v>
      </c>
      <c r="V815">
        <v>0</v>
      </c>
      <c r="W815">
        <v>0</v>
      </c>
      <c r="X815">
        <v>0</v>
      </c>
      <c r="Y815">
        <v>0</v>
      </c>
    </row>
    <row r="816" spans="1:25" ht="15" x14ac:dyDescent="0.25">
      <c r="A816" t="s">
        <v>24</v>
      </c>
      <c r="B816"/>
      <c r="C816"/>
      <c r="D816" t="s">
        <v>111</v>
      </c>
      <c r="E816" t="s">
        <v>2721</v>
      </c>
      <c r="F816" t="s">
        <v>2630</v>
      </c>
      <c r="G816" t="s">
        <v>2631</v>
      </c>
      <c r="H816" t="s">
        <v>888</v>
      </c>
      <c r="I816">
        <v>74.75</v>
      </c>
      <c r="J816" s="44">
        <f>I816/'enter the discount'!$D$7</f>
        <v>17.49684003557886</v>
      </c>
      <c r="K816" s="44">
        <f>J816*(1-IFERROR(VLOOKUP(H816,'enter the discount'!$D$10:$E$40,2,FALSE),0))</f>
        <v>17.49684003557886</v>
      </c>
      <c r="L816" t="s">
        <v>2549</v>
      </c>
      <c r="M816" t="s">
        <v>2676</v>
      </c>
      <c r="N816" t="s">
        <v>824</v>
      </c>
      <c r="O816" t="s">
        <v>2723</v>
      </c>
      <c r="P816">
        <v>50</v>
      </c>
      <c r="Q816">
        <v>0</v>
      </c>
      <c r="R816" t="s">
        <v>2465</v>
      </c>
      <c r="S816" s="42" t="str">
        <f>HYPERLINK("https://sklep.kobi.pl/produkt/kobi-pmm-2-black")</f>
        <v>https://sklep.kobi.pl/produkt/kobi-pmm-2-black</v>
      </c>
      <c r="T816" s="42" t="str">
        <f>HYPERLINK("https://eprel.ec.europa.eu/qr/NIE DOTYCZY    ")</f>
        <v xml:space="preserve">https://eprel.ec.europa.eu/qr/NIE DOTYCZY    </v>
      </c>
      <c r="U816">
        <v>0.23</v>
      </c>
      <c r="V816">
        <v>0</v>
      </c>
      <c r="W816">
        <v>0</v>
      </c>
      <c r="X816">
        <v>0</v>
      </c>
      <c r="Y816">
        <v>0</v>
      </c>
    </row>
    <row r="817" spans="1:25" ht="15" x14ac:dyDescent="0.25">
      <c r="A817" t="s">
        <v>24</v>
      </c>
      <c r="B817"/>
      <c r="C817"/>
      <c r="D817" t="s">
        <v>111</v>
      </c>
      <c r="E817" t="s">
        <v>2721</v>
      </c>
      <c r="F817" t="s">
        <v>2630</v>
      </c>
      <c r="G817" t="s">
        <v>2632</v>
      </c>
      <c r="H817" t="s">
        <v>888</v>
      </c>
      <c r="I817">
        <v>74.75</v>
      </c>
      <c r="J817" s="44">
        <f>I817/'enter the discount'!$D$7</f>
        <v>17.49684003557886</v>
      </c>
      <c r="K817" s="44">
        <f>J817*(1-IFERROR(VLOOKUP(H817,'enter the discount'!$D$10:$E$40,2,FALSE),0))</f>
        <v>17.49684003557886</v>
      </c>
      <c r="L817" t="s">
        <v>2549</v>
      </c>
      <c r="M817" t="s">
        <v>2677</v>
      </c>
      <c r="N817" t="s">
        <v>824</v>
      </c>
      <c r="O817" t="s">
        <v>2723</v>
      </c>
      <c r="P817">
        <v>50</v>
      </c>
      <c r="Q817">
        <v>0</v>
      </c>
      <c r="R817" t="s">
        <v>2465</v>
      </c>
      <c r="S817" s="42" t="str">
        <f>HYPERLINK("https://sklep.kobi.pl/produkt/kobi-pmm-3-white")</f>
        <v>https://sklep.kobi.pl/produkt/kobi-pmm-3-white</v>
      </c>
      <c r="T817" s="42" t="str">
        <f>HYPERLINK("https://eprel.ec.europa.eu/qr/NIE DOTYCZY    ")</f>
        <v xml:space="preserve">https://eprel.ec.europa.eu/qr/NIE DOTYCZY    </v>
      </c>
      <c r="U817">
        <v>0.21</v>
      </c>
      <c r="V817">
        <v>0</v>
      </c>
      <c r="W817">
        <v>0</v>
      </c>
      <c r="X817">
        <v>0</v>
      </c>
      <c r="Y817">
        <v>0</v>
      </c>
    </row>
    <row r="818" spans="1:25" ht="15" x14ac:dyDescent="0.25">
      <c r="A818" t="s">
        <v>24</v>
      </c>
      <c r="B818" t="s">
        <v>54</v>
      </c>
      <c r="C818" t="s">
        <v>1571</v>
      </c>
      <c r="D818" t="s">
        <v>111</v>
      </c>
      <c r="E818" t="s">
        <v>14</v>
      </c>
      <c r="F818" t="s">
        <v>2331</v>
      </c>
      <c r="G818" t="s">
        <v>889</v>
      </c>
      <c r="H818" t="s">
        <v>10</v>
      </c>
      <c r="I818">
        <v>2.2200000000000002</v>
      </c>
      <c r="J818" s="44">
        <f>I818/'enter the discount'!$D$7</f>
        <v>0.51963859369879695</v>
      </c>
      <c r="K818" s="44">
        <f>J818*(1-IFERROR(VLOOKUP(H818,'enter the discount'!$D$10:$E$40,2,FALSE),0))</f>
        <v>0.51963859369879695</v>
      </c>
      <c r="L818" t="s">
        <v>2549</v>
      </c>
      <c r="M818" t="s">
        <v>890</v>
      </c>
      <c r="N818" t="s">
        <v>954</v>
      </c>
      <c r="O818" t="s">
        <v>2723</v>
      </c>
      <c r="P818">
        <v>25</v>
      </c>
      <c r="Q818">
        <v>0</v>
      </c>
      <c r="R818" t="s">
        <v>2465</v>
      </c>
      <c r="S818" s="42" t="str">
        <f>HYPERLINK("https://sklep.kobi.pl/produkt/starter-do-led-t8")</f>
        <v>https://sklep.kobi.pl/produkt/starter-do-led-t8</v>
      </c>
      <c r="T818" s="42" t="str">
        <f>HYPERLINK("https://eprel.ec.europa.eu/qr/NIE DOTYCZY    ")</f>
        <v xml:space="preserve">https://eprel.ec.europa.eu/qr/NIE DOTYCZY    </v>
      </c>
      <c r="U818">
        <v>3.0000000000000001E-3</v>
      </c>
      <c r="V818">
        <v>2E-3</v>
      </c>
      <c r="W818">
        <v>20</v>
      </c>
      <c r="X818">
        <v>20</v>
      </c>
      <c r="Y818">
        <v>40</v>
      </c>
    </row>
    <row r="819" spans="1:25" ht="15" x14ac:dyDescent="0.25">
      <c r="A819" t="s">
        <v>24</v>
      </c>
      <c r="B819" t="s">
        <v>49</v>
      </c>
      <c r="C819" t="s">
        <v>66</v>
      </c>
      <c r="D819" t="s">
        <v>111</v>
      </c>
      <c r="E819" t="s">
        <v>14</v>
      </c>
      <c r="F819" t="s">
        <v>2332</v>
      </c>
      <c r="G819" t="s">
        <v>453</v>
      </c>
      <c r="H819" t="s">
        <v>10</v>
      </c>
      <c r="I819">
        <v>52</v>
      </c>
      <c r="J819" s="44">
        <f>I819/'enter the discount'!$D$7</f>
        <v>12.171714807359207</v>
      </c>
      <c r="K819" s="44">
        <f>J819*(1-IFERROR(VLOOKUP(H819,'enter the discount'!$D$10:$E$40,2,FALSE),0))</f>
        <v>12.171714807359207</v>
      </c>
      <c r="L819" t="s">
        <v>2549</v>
      </c>
      <c r="M819" t="s">
        <v>825</v>
      </c>
      <c r="N819" t="s">
        <v>1256</v>
      </c>
      <c r="O819" t="s">
        <v>2723</v>
      </c>
      <c r="P819">
        <v>1</v>
      </c>
      <c r="Q819">
        <v>0</v>
      </c>
      <c r="R819" t="s">
        <v>2465</v>
      </c>
      <c r="S819" s="42" t="str">
        <f>HYPERLINK("https://sklep.kobi.pl/produkt/zasilacz-desktop-12v-24w-20a-")</f>
        <v>https://sklep.kobi.pl/produkt/zasilacz-desktop-12v-24w-20a-</v>
      </c>
      <c r="T819" s="42" t="str">
        <f>HYPERLINK("https://eprel.ec.europa.eu/qr/NIE DOTYCZY    ")</f>
        <v xml:space="preserve">https://eprel.ec.europa.eu/qr/NIE DOTYCZY    </v>
      </c>
      <c r="U819">
        <v>0.18</v>
      </c>
      <c r="V819">
        <v>0.25</v>
      </c>
      <c r="W819"/>
      <c r="X819"/>
      <c r="Y819"/>
    </row>
    <row r="820" spans="1:25" ht="15" x14ac:dyDescent="0.25">
      <c r="A820" t="s">
        <v>24</v>
      </c>
      <c r="B820" t="s">
        <v>49</v>
      </c>
      <c r="C820" t="s">
        <v>66</v>
      </c>
      <c r="D820" t="s">
        <v>111</v>
      </c>
      <c r="E820" t="s">
        <v>14</v>
      </c>
      <c r="F820" t="s">
        <v>2333</v>
      </c>
      <c r="G820" t="s">
        <v>454</v>
      </c>
      <c r="H820" t="s">
        <v>10</v>
      </c>
      <c r="I820">
        <v>57</v>
      </c>
      <c r="J820" s="44">
        <f>I820/'enter the discount'!$D$7</f>
        <v>13.342072000374515</v>
      </c>
      <c r="K820" s="44">
        <f>J820*(1-IFERROR(VLOOKUP(H820,'enter the discount'!$D$10:$E$40,2,FALSE),0))</f>
        <v>13.342072000374515</v>
      </c>
      <c r="L820" t="s">
        <v>2549</v>
      </c>
      <c r="M820" t="s">
        <v>826</v>
      </c>
      <c r="N820" t="s">
        <v>1256</v>
      </c>
      <c r="O820" t="s">
        <v>2723</v>
      </c>
      <c r="P820">
        <v>1</v>
      </c>
      <c r="Q820">
        <v>0</v>
      </c>
      <c r="R820" t="s">
        <v>2465</v>
      </c>
      <c r="S820" s="42" t="str">
        <f>HYPERLINK("https://sklep.kobi.pl/produkt/zasilacz-desktop-12v-30w-25a")</f>
        <v>https://sklep.kobi.pl/produkt/zasilacz-desktop-12v-30w-25a</v>
      </c>
      <c r="T820" s="42" t="str">
        <f>HYPERLINK("https://eprel.ec.europa.eu/qr/NIE DOTYCZY    ")</f>
        <v xml:space="preserve">https://eprel.ec.europa.eu/qr/NIE DOTYCZY    </v>
      </c>
      <c r="U820">
        <v>0.18</v>
      </c>
      <c r="V820">
        <v>0.19600000000000001</v>
      </c>
      <c r="W820">
        <v>110</v>
      </c>
      <c r="X820">
        <v>60</v>
      </c>
      <c r="Y820">
        <v>60</v>
      </c>
    </row>
    <row r="821" spans="1:25" ht="15" x14ac:dyDescent="0.25">
      <c r="A821" t="s">
        <v>24</v>
      </c>
      <c r="B821" t="s">
        <v>49</v>
      </c>
      <c r="C821" t="s">
        <v>66</v>
      </c>
      <c r="D821" t="s">
        <v>111</v>
      </c>
      <c r="E821" t="s">
        <v>14</v>
      </c>
      <c r="F821" t="s">
        <v>2334</v>
      </c>
      <c r="G821" t="s">
        <v>455</v>
      </c>
      <c r="H821" t="s">
        <v>10</v>
      </c>
      <c r="I821">
        <v>59.5</v>
      </c>
      <c r="J821" s="44">
        <f>I821/'enter the discount'!$D$7</f>
        <v>13.927250596882169</v>
      </c>
      <c r="K821" s="44">
        <f>J821*(1-IFERROR(VLOOKUP(H821,'enter the discount'!$D$10:$E$40,2,FALSE),0))</f>
        <v>13.927250596882169</v>
      </c>
      <c r="L821" t="s">
        <v>2549</v>
      </c>
      <c r="M821" t="s">
        <v>827</v>
      </c>
      <c r="N821" t="s">
        <v>1256</v>
      </c>
      <c r="O821" t="s">
        <v>2723</v>
      </c>
      <c r="P821">
        <v>1</v>
      </c>
      <c r="Q821">
        <v>0</v>
      </c>
      <c r="R821" t="s">
        <v>2465</v>
      </c>
      <c r="S821" s="42" t="str">
        <f>HYPERLINK("https://sklep.kobi.pl/produkt/zasilacz-desktop-12v-36w-30a")</f>
        <v>https://sklep.kobi.pl/produkt/zasilacz-desktop-12v-36w-30a</v>
      </c>
      <c r="T821" s="42" t="str">
        <f>HYPERLINK("https://eprel.ec.europa.eu/qr/NIE DOTYCZY    ")</f>
        <v xml:space="preserve">https://eprel.ec.europa.eu/qr/NIE DOTYCZY    </v>
      </c>
      <c r="U821">
        <v>0.25</v>
      </c>
      <c r="V821">
        <v>0.27600000000000002</v>
      </c>
      <c r="W821">
        <v>160</v>
      </c>
      <c r="X821">
        <v>100</v>
      </c>
      <c r="Y821">
        <v>40</v>
      </c>
    </row>
    <row r="822" spans="1:25" ht="15" x14ac:dyDescent="0.25">
      <c r="A822" t="s">
        <v>24</v>
      </c>
      <c r="B822" t="s">
        <v>49</v>
      </c>
      <c r="C822" t="s">
        <v>66</v>
      </c>
      <c r="D822" t="s">
        <v>111</v>
      </c>
      <c r="E822" t="s">
        <v>14</v>
      </c>
      <c r="F822" t="s">
        <v>2335</v>
      </c>
      <c r="G822" t="s">
        <v>456</v>
      </c>
      <c r="H822" t="s">
        <v>10</v>
      </c>
      <c r="I822">
        <v>62.5</v>
      </c>
      <c r="J822" s="44">
        <f>I822/'enter the discount'!$D$7</f>
        <v>14.629464912691354</v>
      </c>
      <c r="K822" s="44">
        <f>J822*(1-IFERROR(VLOOKUP(H822,'enter the discount'!$D$10:$E$40,2,FALSE),0))</f>
        <v>14.629464912691354</v>
      </c>
      <c r="L822" t="s">
        <v>2549</v>
      </c>
      <c r="M822" t="s">
        <v>828</v>
      </c>
      <c r="N822" t="s">
        <v>1256</v>
      </c>
      <c r="O822" t="s">
        <v>2723</v>
      </c>
      <c r="P822">
        <v>1</v>
      </c>
      <c r="Q822">
        <v>0</v>
      </c>
      <c r="R822" t="s">
        <v>2465</v>
      </c>
      <c r="S822" s="42" t="str">
        <f>HYPERLINK("https://sklep.kobi.pl/produkt/zasilacz-desktop-12v-42w-35a-")</f>
        <v>https://sklep.kobi.pl/produkt/zasilacz-desktop-12v-42w-35a-</v>
      </c>
      <c r="T822" s="42" t="str">
        <f>HYPERLINK("https://eprel.ec.europa.eu/qr/NIE DOTYCZY    ")</f>
        <v xml:space="preserve">https://eprel.ec.europa.eu/qr/NIE DOTYCZY    </v>
      </c>
      <c r="U822">
        <v>0.25</v>
      </c>
      <c r="V822">
        <v>0.3</v>
      </c>
      <c r="W822"/>
      <c r="X822"/>
      <c r="Y822"/>
    </row>
    <row r="823" spans="1:25" ht="15" x14ac:dyDescent="0.25">
      <c r="A823" t="s">
        <v>24</v>
      </c>
      <c r="B823" t="s">
        <v>49</v>
      </c>
      <c r="C823" t="s">
        <v>66</v>
      </c>
      <c r="D823" t="s">
        <v>111</v>
      </c>
      <c r="E823" t="s">
        <v>14</v>
      </c>
      <c r="F823" t="s">
        <v>2336</v>
      </c>
      <c r="G823" t="s">
        <v>457</v>
      </c>
      <c r="H823" t="s">
        <v>10</v>
      </c>
      <c r="I823">
        <v>77.5</v>
      </c>
      <c r="J823" s="44">
        <f>I823/'enter the discount'!$D$7</f>
        <v>18.140536491737279</v>
      </c>
      <c r="K823" s="44">
        <f>J823*(1-IFERROR(VLOOKUP(H823,'enter the discount'!$D$10:$E$40,2,FALSE),0))</f>
        <v>18.140536491737279</v>
      </c>
      <c r="L823" t="s">
        <v>2549</v>
      </c>
      <c r="M823" t="s">
        <v>829</v>
      </c>
      <c r="N823" t="s">
        <v>1256</v>
      </c>
      <c r="O823" t="s">
        <v>2723</v>
      </c>
      <c r="P823">
        <v>1</v>
      </c>
      <c r="Q823">
        <v>0</v>
      </c>
      <c r="R823" t="s">
        <v>2465</v>
      </c>
      <c r="S823" s="42" t="str">
        <f>HYPERLINK("https://sklep.kobi.pl/produkt/zasilacz-desktop-12v-60w-50a-")</f>
        <v>https://sklep.kobi.pl/produkt/zasilacz-desktop-12v-60w-50a-</v>
      </c>
      <c r="T823" s="42" t="str">
        <f>HYPERLINK("https://eprel.ec.europa.eu/qr/NIE DOTYCZY    ")</f>
        <v xml:space="preserve">https://eprel.ec.europa.eu/qr/NIE DOTYCZY    </v>
      </c>
      <c r="U823">
        <v>0.3</v>
      </c>
      <c r="V823">
        <v>0.32900000000000001</v>
      </c>
      <c r="W823">
        <v>160</v>
      </c>
      <c r="X823">
        <v>100</v>
      </c>
      <c r="Y823">
        <v>40</v>
      </c>
    </row>
    <row r="824" spans="1:25" ht="15" x14ac:dyDescent="0.25">
      <c r="A824" t="s">
        <v>24</v>
      </c>
      <c r="B824" t="s">
        <v>49</v>
      </c>
      <c r="C824" t="s">
        <v>66</v>
      </c>
      <c r="D824" t="s">
        <v>111</v>
      </c>
      <c r="E824" t="s">
        <v>14</v>
      </c>
      <c r="F824" t="s">
        <v>2337</v>
      </c>
      <c r="G824" t="s">
        <v>458</v>
      </c>
      <c r="H824" t="s">
        <v>10</v>
      </c>
      <c r="I824">
        <v>97</v>
      </c>
      <c r="J824" s="44">
        <f>I824/'enter the discount'!$D$7</f>
        <v>22.704929544496981</v>
      </c>
      <c r="K824" s="44">
        <f>J824*(1-IFERROR(VLOOKUP(H824,'enter the discount'!$D$10:$E$40,2,FALSE),0))</f>
        <v>22.704929544496981</v>
      </c>
      <c r="L824" t="s">
        <v>2549</v>
      </c>
      <c r="M824" t="s">
        <v>830</v>
      </c>
      <c r="N824" t="s">
        <v>1256</v>
      </c>
      <c r="O824" t="s">
        <v>2723</v>
      </c>
      <c r="P824">
        <v>1</v>
      </c>
      <c r="Q824">
        <v>0</v>
      </c>
      <c r="R824" t="s">
        <v>2465</v>
      </c>
      <c r="S824" s="42" t="str">
        <f>HYPERLINK("https://sklep.kobi.pl/produkt/zasilacz-led-72w-6a-12v-cp1206000")</f>
        <v>https://sklep.kobi.pl/produkt/zasilacz-led-72w-6a-12v-cp1206000</v>
      </c>
      <c r="T824" s="42" t="str">
        <f>HYPERLINK("https://eprel.ec.europa.eu/qr/NIE DOTYCZY    ")</f>
        <v xml:space="preserve">https://eprel.ec.europa.eu/qr/NIE DOTYCZY    </v>
      </c>
      <c r="U824">
        <v>0.44</v>
      </c>
      <c r="V824">
        <v>0.55000000000000004</v>
      </c>
      <c r="W824">
        <v>40</v>
      </c>
      <c r="X824">
        <v>120</v>
      </c>
      <c r="Y824">
        <v>200</v>
      </c>
    </row>
    <row r="825" spans="1:25" ht="15" x14ac:dyDescent="0.25">
      <c r="A825" t="s">
        <v>24</v>
      </c>
      <c r="B825" t="s">
        <v>49</v>
      </c>
      <c r="C825" t="s">
        <v>66</v>
      </c>
      <c r="D825" t="s">
        <v>111</v>
      </c>
      <c r="E825" t="s">
        <v>14</v>
      </c>
      <c r="F825" t="s">
        <v>2338</v>
      </c>
      <c r="G825" t="s">
        <v>459</v>
      </c>
      <c r="H825" t="s">
        <v>10</v>
      </c>
      <c r="I825">
        <v>179</v>
      </c>
      <c r="J825" s="44">
        <f>I825/'enter the discount'!$D$7</f>
        <v>41.898787509948036</v>
      </c>
      <c r="K825" s="44">
        <f>J825*(1-IFERROR(VLOOKUP(H825,'enter the discount'!$D$10:$E$40,2,FALSE),0))</f>
        <v>41.898787509948036</v>
      </c>
      <c r="L825" t="s">
        <v>2549</v>
      </c>
      <c r="M825" t="s">
        <v>831</v>
      </c>
      <c r="N825" t="s">
        <v>1256</v>
      </c>
      <c r="O825" t="s">
        <v>2723</v>
      </c>
      <c r="P825">
        <v>1</v>
      </c>
      <c r="Q825">
        <v>0</v>
      </c>
      <c r="R825" t="s">
        <v>2465</v>
      </c>
      <c r="S825" s="42" t="str">
        <f>HYPERLINK("https://sklep.kobi.pl/produkt/zasilacz-led-90w-75a-12v-desktop")</f>
        <v>https://sklep.kobi.pl/produkt/zasilacz-led-90w-75a-12v-desktop</v>
      </c>
      <c r="T825" s="42" t="str">
        <f>HYPERLINK("https://eprel.ec.europa.eu/qr/NIE DOTYCZY    ")</f>
        <v xml:space="preserve">https://eprel.ec.europa.eu/qr/NIE DOTYCZY    </v>
      </c>
      <c r="U825">
        <v>0.44</v>
      </c>
      <c r="V825">
        <v>0.55000000000000004</v>
      </c>
      <c r="W825">
        <v>120</v>
      </c>
      <c r="X825">
        <v>200</v>
      </c>
      <c r="Y825">
        <v>40</v>
      </c>
    </row>
    <row r="826" spans="1:25" ht="15" x14ac:dyDescent="0.25">
      <c r="A826" t="s">
        <v>24</v>
      </c>
      <c r="B826" t="s">
        <v>49</v>
      </c>
      <c r="C826" t="s">
        <v>66</v>
      </c>
      <c r="D826" t="s">
        <v>111</v>
      </c>
      <c r="E826" t="s">
        <v>14</v>
      </c>
      <c r="F826" t="s">
        <v>2339</v>
      </c>
      <c r="G826" t="s">
        <v>460</v>
      </c>
      <c r="H826" t="s">
        <v>10</v>
      </c>
      <c r="I826">
        <v>212</v>
      </c>
      <c r="J826" s="44">
        <f>I826/'enter the discount'!$D$7</f>
        <v>49.623144983849073</v>
      </c>
      <c r="K826" s="44">
        <f>J826*(1-IFERROR(VLOOKUP(H826,'enter the discount'!$D$10:$E$40,2,FALSE),0))</f>
        <v>49.623144983849073</v>
      </c>
      <c r="L826" t="s">
        <v>2549</v>
      </c>
      <c r="M826" t="s">
        <v>832</v>
      </c>
      <c r="N826" t="s">
        <v>1256</v>
      </c>
      <c r="O826" t="s">
        <v>2723</v>
      </c>
      <c r="P826">
        <v>1</v>
      </c>
      <c r="Q826">
        <v>0</v>
      </c>
      <c r="R826" t="s">
        <v>2465</v>
      </c>
      <c r="S826" s="42" t="str">
        <f>HYPERLINK("https://sklep.kobi.pl/produkt/zasilacz-desktop-12v-120w-100a")</f>
        <v>https://sklep.kobi.pl/produkt/zasilacz-desktop-12v-120w-100a</v>
      </c>
      <c r="T826" s="42" t="str">
        <f>HYPERLINK("https://eprel.ec.europa.eu/qr/NIE DOTYCZY    ")</f>
        <v xml:space="preserve">https://eprel.ec.europa.eu/qr/NIE DOTYCZY    </v>
      </c>
      <c r="U826">
        <v>0.52</v>
      </c>
      <c r="V826">
        <v>0.55000000000000004</v>
      </c>
      <c r="W826">
        <v>115</v>
      </c>
      <c r="X826">
        <v>205</v>
      </c>
      <c r="Y826">
        <v>55</v>
      </c>
    </row>
    <row r="827" spans="1:25" ht="15" x14ac:dyDescent="0.25">
      <c r="A827" t="s">
        <v>24</v>
      </c>
      <c r="B827" t="s">
        <v>49</v>
      </c>
      <c r="C827" t="s">
        <v>50</v>
      </c>
      <c r="D827" t="s">
        <v>111</v>
      </c>
      <c r="E827" t="s">
        <v>14</v>
      </c>
      <c r="F827" t="s">
        <v>2340</v>
      </c>
      <c r="G827" t="s">
        <v>896</v>
      </c>
      <c r="H827" t="s">
        <v>10</v>
      </c>
      <c r="I827">
        <v>58.5</v>
      </c>
      <c r="J827" s="44">
        <f>I827/'enter the discount'!$D$7</f>
        <v>13.693179158279108</v>
      </c>
      <c r="K827" s="44">
        <f>J827*(1-IFERROR(VLOOKUP(H827,'enter the discount'!$D$10:$E$40,2,FALSE),0))</f>
        <v>13.693179158279108</v>
      </c>
      <c r="L827" t="s">
        <v>2549</v>
      </c>
      <c r="M827" t="s">
        <v>897</v>
      </c>
      <c r="N827" t="s">
        <v>1256</v>
      </c>
      <c r="O827" t="s">
        <v>2723</v>
      </c>
      <c r="P827">
        <v>1</v>
      </c>
      <c r="Q827">
        <v>0</v>
      </c>
      <c r="R827" t="s">
        <v>2465</v>
      </c>
      <c r="S827" s="42" t="str">
        <f>HYPERLINK("https://sklep.kobi.pl/produkt/zasilacz-instalacyjny-12v-10w-083a-ip67")</f>
        <v>https://sklep.kobi.pl/produkt/zasilacz-instalacyjny-12v-10w-083a-ip67</v>
      </c>
      <c r="T827" s="42" t="str">
        <f>HYPERLINK("https://eprel.ec.europa.eu/qr/NIE DOTYCZY    ")</f>
        <v xml:space="preserve">https://eprel.ec.europa.eu/qr/NIE DOTYCZY    </v>
      </c>
      <c r="U827">
        <v>0.11</v>
      </c>
      <c r="V827">
        <v>0.12</v>
      </c>
      <c r="W827">
        <v>77</v>
      </c>
      <c r="X827">
        <v>77</v>
      </c>
      <c r="Y827">
        <v>27</v>
      </c>
    </row>
    <row r="828" spans="1:25" ht="15" x14ac:dyDescent="0.25">
      <c r="A828" t="s">
        <v>24</v>
      </c>
      <c r="B828" t="s">
        <v>49</v>
      </c>
      <c r="C828" t="s">
        <v>50</v>
      </c>
      <c r="D828" t="s">
        <v>111</v>
      </c>
      <c r="E828" t="s">
        <v>14</v>
      </c>
      <c r="F828" t="s">
        <v>2341</v>
      </c>
      <c r="G828" t="s">
        <v>461</v>
      </c>
      <c r="H828" t="s">
        <v>10</v>
      </c>
      <c r="I828">
        <v>63</v>
      </c>
      <c r="J828" s="44">
        <f>I828/'enter the discount'!$D$7</f>
        <v>14.746500631992886</v>
      </c>
      <c r="K828" s="44">
        <f>J828*(1-IFERROR(VLOOKUP(H828,'enter the discount'!$D$10:$E$40,2,FALSE),0))</f>
        <v>14.746500631992886</v>
      </c>
      <c r="L828" t="s">
        <v>2549</v>
      </c>
      <c r="M828" t="s">
        <v>833</v>
      </c>
      <c r="N828" t="s">
        <v>1256</v>
      </c>
      <c r="O828" t="s">
        <v>2723</v>
      </c>
      <c r="P828">
        <v>1</v>
      </c>
      <c r="Q828">
        <v>0</v>
      </c>
      <c r="R828" t="s">
        <v>2465</v>
      </c>
      <c r="S828" s="42" t="str">
        <f>HYPERLINK("https://sklep.kobi.pl/produkt/zasilacz-led-20w-167a-12v-ip67-pro")</f>
        <v>https://sklep.kobi.pl/produkt/zasilacz-led-20w-167a-12v-ip67-pro</v>
      </c>
      <c r="T828" s="42" t="str">
        <f>HYPERLINK("https://eprel.ec.europa.eu/qr/NIE DOTYCZY    ")</f>
        <v xml:space="preserve">https://eprel.ec.europa.eu/qr/NIE DOTYCZY    </v>
      </c>
      <c r="U828">
        <v>0.12</v>
      </c>
      <c r="V828">
        <v>0.20499999999999999</v>
      </c>
      <c r="W828">
        <v>35</v>
      </c>
      <c r="X828">
        <v>240</v>
      </c>
      <c r="Y828">
        <v>35</v>
      </c>
    </row>
    <row r="829" spans="1:25" ht="15" x14ac:dyDescent="0.25">
      <c r="A829" t="s">
        <v>24</v>
      </c>
      <c r="B829" t="s">
        <v>49</v>
      </c>
      <c r="C829" t="s">
        <v>50</v>
      </c>
      <c r="D829" t="s">
        <v>111</v>
      </c>
      <c r="E829" t="s">
        <v>14</v>
      </c>
      <c r="F829" t="s">
        <v>2342</v>
      </c>
      <c r="G829" t="s">
        <v>462</v>
      </c>
      <c r="H829" t="s">
        <v>10</v>
      </c>
      <c r="I829">
        <v>77</v>
      </c>
      <c r="J829" s="44">
        <f>I829/'enter the discount'!$D$7</f>
        <v>18.023500772435749</v>
      </c>
      <c r="K829" s="44">
        <f>J829*(1-IFERROR(VLOOKUP(H829,'enter the discount'!$D$10:$E$40,2,FALSE),0))</f>
        <v>18.023500772435749</v>
      </c>
      <c r="L829" t="s">
        <v>2549</v>
      </c>
      <c r="M829" t="s">
        <v>834</v>
      </c>
      <c r="N829" t="s">
        <v>1256</v>
      </c>
      <c r="O829" t="s">
        <v>2723</v>
      </c>
      <c r="P829">
        <v>1</v>
      </c>
      <c r="Q829">
        <v>0</v>
      </c>
      <c r="R829" t="s">
        <v>2465</v>
      </c>
      <c r="S829" s="42" t="str">
        <f>HYPERLINK("https://sklep.kobi.pl/produkt/zasilacz-led-30w-25a-12v-ip67-pro")</f>
        <v>https://sklep.kobi.pl/produkt/zasilacz-led-30w-25a-12v-ip67-pro</v>
      </c>
      <c r="T829" s="42" t="str">
        <f>HYPERLINK("https://eprel.ec.europa.eu/qr/NIE DOTYCZY    ")</f>
        <v xml:space="preserve">https://eprel.ec.europa.eu/qr/NIE DOTYCZY    </v>
      </c>
      <c r="U829">
        <v>0.14000000000000001</v>
      </c>
      <c r="V829">
        <v>0.14699999999999999</v>
      </c>
      <c r="W829">
        <v>40</v>
      </c>
      <c r="X829">
        <v>35</v>
      </c>
      <c r="Y829">
        <v>240</v>
      </c>
    </row>
    <row r="830" spans="1:25" ht="15" x14ac:dyDescent="0.25">
      <c r="A830" t="s">
        <v>24</v>
      </c>
      <c r="B830" t="s">
        <v>49</v>
      </c>
      <c r="C830" t="s">
        <v>50</v>
      </c>
      <c r="D830" t="s">
        <v>111</v>
      </c>
      <c r="E830" t="s">
        <v>14</v>
      </c>
      <c r="F830" t="s">
        <v>2343</v>
      </c>
      <c r="G830" t="s">
        <v>463</v>
      </c>
      <c r="H830" t="s">
        <v>10</v>
      </c>
      <c r="I830">
        <v>110.5</v>
      </c>
      <c r="J830" s="44">
        <f>I830/'enter the discount'!$D$7</f>
        <v>25.864893965638313</v>
      </c>
      <c r="K830" s="44">
        <f>J830*(1-IFERROR(VLOOKUP(H830,'enter the discount'!$D$10:$E$40,2,FALSE),0))</f>
        <v>25.864893965638313</v>
      </c>
      <c r="L830" t="s">
        <v>2549</v>
      </c>
      <c r="M830" t="s">
        <v>835</v>
      </c>
      <c r="N830" t="s">
        <v>1256</v>
      </c>
      <c r="O830" t="s">
        <v>2723</v>
      </c>
      <c r="P830">
        <v>1</v>
      </c>
      <c r="Q830">
        <v>0</v>
      </c>
      <c r="R830" t="s">
        <v>2465</v>
      </c>
      <c r="S830" s="42" t="str">
        <f>HYPERLINK("https://sklep.kobi.pl/produkt/zasilacz-led-50w-4-16a-12v-ip67")</f>
        <v>https://sklep.kobi.pl/produkt/zasilacz-led-50w-4-16a-12v-ip67</v>
      </c>
      <c r="T830" s="42" t="str">
        <f>HYPERLINK("https://eprel.ec.europa.eu/qr/NIE DOTYCZY    ")</f>
        <v xml:space="preserve">https://eprel.ec.europa.eu/qr/NIE DOTYCZY    </v>
      </c>
      <c r="U830">
        <v>0.26</v>
      </c>
      <c r="V830">
        <v>0.27700000000000002</v>
      </c>
      <c r="W830">
        <v>40</v>
      </c>
      <c r="X830">
        <v>240</v>
      </c>
      <c r="Y830">
        <v>30</v>
      </c>
    </row>
    <row r="831" spans="1:25" ht="15" x14ac:dyDescent="0.25">
      <c r="A831" t="s">
        <v>24</v>
      </c>
      <c r="B831" t="s">
        <v>49</v>
      </c>
      <c r="C831" t="s">
        <v>50</v>
      </c>
      <c r="D831" t="s">
        <v>111</v>
      </c>
      <c r="E831" t="s">
        <v>14</v>
      </c>
      <c r="F831" t="s">
        <v>2344</v>
      </c>
      <c r="G831" t="s">
        <v>898</v>
      </c>
      <c r="H831" t="s">
        <v>10</v>
      </c>
      <c r="I831">
        <v>137</v>
      </c>
      <c r="J831" s="44">
        <f>I831/'enter the discount'!$D$7</f>
        <v>32.067787088619447</v>
      </c>
      <c r="K831" s="44">
        <f>J831*(1-IFERROR(VLOOKUP(H831,'enter the discount'!$D$10:$E$40,2,FALSE),0))</f>
        <v>32.067787088619447</v>
      </c>
      <c r="L831" t="s">
        <v>2549</v>
      </c>
      <c r="M831" t="s">
        <v>899</v>
      </c>
      <c r="N831" t="s">
        <v>1256</v>
      </c>
      <c r="O831" t="s">
        <v>2723</v>
      </c>
      <c r="P831">
        <v>1</v>
      </c>
      <c r="Q831">
        <v>0</v>
      </c>
      <c r="R831" t="s">
        <v>2465</v>
      </c>
      <c r="S831" s="42" t="str">
        <f>HYPERLINK("https://sklep.kobi.pl/produkt/zasilacz-instalacyjny-12v-60w-50a-ip67")</f>
        <v>https://sklep.kobi.pl/produkt/zasilacz-instalacyjny-12v-60w-50a-ip67</v>
      </c>
      <c r="T831" s="42" t="str">
        <f>HYPERLINK("https://eprel.ec.europa.eu/qr/NIE DOTYCZY    ")</f>
        <v xml:space="preserve">https://eprel.ec.europa.eu/qr/NIE DOTYCZY    </v>
      </c>
      <c r="U831">
        <v>0.25</v>
      </c>
      <c r="V831">
        <v>0.27</v>
      </c>
      <c r="W831">
        <v>70</v>
      </c>
      <c r="X831">
        <v>200</v>
      </c>
      <c r="Y831">
        <v>50</v>
      </c>
    </row>
    <row r="832" spans="1:25" ht="15" x14ac:dyDescent="0.25">
      <c r="A832" t="s">
        <v>24</v>
      </c>
      <c r="B832" t="s">
        <v>49</v>
      </c>
      <c r="C832" t="s">
        <v>50</v>
      </c>
      <c r="D832" t="s">
        <v>111</v>
      </c>
      <c r="E832" t="s">
        <v>14</v>
      </c>
      <c r="F832" t="s">
        <v>2345</v>
      </c>
      <c r="G832" t="s">
        <v>464</v>
      </c>
      <c r="H832" t="s">
        <v>10</v>
      </c>
      <c r="I832">
        <v>184.5</v>
      </c>
      <c r="J832" s="44">
        <f>I832/'enter the discount'!$D$7</f>
        <v>43.186180422264876</v>
      </c>
      <c r="K832" s="44">
        <f>J832*(1-IFERROR(VLOOKUP(H832,'enter the discount'!$D$10:$E$40,2,FALSE),0))</f>
        <v>43.186180422264876</v>
      </c>
      <c r="L832" t="s">
        <v>2549</v>
      </c>
      <c r="M832" t="s">
        <v>836</v>
      </c>
      <c r="N832" t="s">
        <v>1256</v>
      </c>
      <c r="O832" t="s">
        <v>2723</v>
      </c>
      <c r="P832">
        <v>1</v>
      </c>
      <c r="Q832">
        <v>0</v>
      </c>
      <c r="R832" t="s">
        <v>2465</v>
      </c>
      <c r="S832" s="42" t="str">
        <f>HYPERLINK("https://sklep.kobi.pl/produkt/zasilacz-led-80w-667a-12v-ip67")</f>
        <v>https://sklep.kobi.pl/produkt/zasilacz-led-80w-667a-12v-ip67</v>
      </c>
      <c r="T832" s="42" t="str">
        <f>HYPERLINK("https://eprel.ec.europa.eu/qr/NIE DOTYCZY    ")</f>
        <v xml:space="preserve">https://eprel.ec.europa.eu/qr/NIE DOTYCZY    </v>
      </c>
      <c r="U832">
        <v>0.81</v>
      </c>
      <c r="V832">
        <v>0.85</v>
      </c>
      <c r="W832">
        <v>45</v>
      </c>
      <c r="X832">
        <v>200</v>
      </c>
      <c r="Y832">
        <v>75</v>
      </c>
    </row>
    <row r="833" spans="1:25" ht="15" x14ac:dyDescent="0.25">
      <c r="A833" t="s">
        <v>24</v>
      </c>
      <c r="B833" t="s">
        <v>49</v>
      </c>
      <c r="C833" t="s">
        <v>50</v>
      </c>
      <c r="D833" t="s">
        <v>111</v>
      </c>
      <c r="E833" t="s">
        <v>14</v>
      </c>
      <c r="F833" t="s">
        <v>2346</v>
      </c>
      <c r="G833" t="s">
        <v>465</v>
      </c>
      <c r="H833" t="s">
        <v>10</v>
      </c>
      <c r="I833">
        <v>211</v>
      </c>
      <c r="J833" s="44">
        <f>I833/'enter the discount'!$D$7</f>
        <v>49.389073545246013</v>
      </c>
      <c r="K833" s="44">
        <f>J833*(1-IFERROR(VLOOKUP(H833,'enter the discount'!$D$10:$E$40,2,FALSE),0))</f>
        <v>49.389073545246013</v>
      </c>
      <c r="L833" t="s">
        <v>2549</v>
      </c>
      <c r="M833" t="s">
        <v>837</v>
      </c>
      <c r="N833" t="s">
        <v>1256</v>
      </c>
      <c r="O833" t="s">
        <v>2723</v>
      </c>
      <c r="P833">
        <v>1</v>
      </c>
      <c r="Q833">
        <v>0</v>
      </c>
      <c r="R833" t="s">
        <v>2465</v>
      </c>
      <c r="S833" s="42" t="str">
        <f>HYPERLINK("https://sklep.kobi.pl/produkt/zasilacz-led-100w-83a-12v-sdk6510-ip65")</f>
        <v>https://sklep.kobi.pl/produkt/zasilacz-led-100w-83a-12v-sdk6510-ip65</v>
      </c>
      <c r="T833" s="42" t="str">
        <f>HYPERLINK("https://eprel.ec.europa.eu/qr/NIE DOTYCZY    ")</f>
        <v xml:space="preserve">https://eprel.ec.europa.eu/qr/NIE DOTYCZY    </v>
      </c>
      <c r="U833">
        <v>0.36199999999999999</v>
      </c>
      <c r="V833">
        <v>0.89</v>
      </c>
      <c r="W833">
        <v>205</v>
      </c>
      <c r="X833">
        <v>79</v>
      </c>
      <c r="Y833">
        <v>26</v>
      </c>
    </row>
    <row r="834" spans="1:25" ht="15" x14ac:dyDescent="0.25">
      <c r="A834" t="s">
        <v>24</v>
      </c>
      <c r="B834" t="s">
        <v>49</v>
      </c>
      <c r="C834" t="s">
        <v>50</v>
      </c>
      <c r="D834" t="s">
        <v>111</v>
      </c>
      <c r="E834" t="s">
        <v>14</v>
      </c>
      <c r="F834" t="s">
        <v>2347</v>
      </c>
      <c r="G834" t="s">
        <v>466</v>
      </c>
      <c r="H834" t="s">
        <v>10</v>
      </c>
      <c r="I834">
        <v>270</v>
      </c>
      <c r="J834" s="44">
        <f>I834/'enter the discount'!$D$7</f>
        <v>63.199288422826648</v>
      </c>
      <c r="K834" s="44">
        <f>J834*(1-IFERROR(VLOOKUP(H834,'enter the discount'!$D$10:$E$40,2,FALSE),0))</f>
        <v>63.199288422826648</v>
      </c>
      <c r="L834" t="s">
        <v>2549</v>
      </c>
      <c r="M834" t="s">
        <v>838</v>
      </c>
      <c r="N834" t="s">
        <v>1256</v>
      </c>
      <c r="O834" t="s">
        <v>2723</v>
      </c>
      <c r="P834">
        <v>1</v>
      </c>
      <c r="Q834">
        <v>0</v>
      </c>
      <c r="R834" t="s">
        <v>2465</v>
      </c>
      <c r="S834" s="42" t="str">
        <f>HYPERLINK("https://sklep.kobi.pl/produkt/zasilacz-led-120w-10a-12v-ip67")</f>
        <v>https://sklep.kobi.pl/produkt/zasilacz-led-120w-10a-12v-ip67</v>
      </c>
      <c r="T834" s="42" t="str">
        <f>HYPERLINK("https://eprel.ec.europa.eu/qr/NIE DOTYCZY    ")</f>
        <v xml:space="preserve">https://eprel.ec.europa.eu/qr/NIE DOTYCZY    </v>
      </c>
      <c r="U834">
        <v>0.83399999999999996</v>
      </c>
      <c r="V834">
        <v>1.2170000000000001</v>
      </c>
      <c r="W834">
        <v>60</v>
      </c>
      <c r="X834">
        <v>250</v>
      </c>
      <c r="Y834">
        <v>80</v>
      </c>
    </row>
    <row r="835" spans="1:25" ht="15" x14ac:dyDescent="0.25">
      <c r="A835" t="s">
        <v>24</v>
      </c>
      <c r="B835" t="s">
        <v>49</v>
      </c>
      <c r="C835" t="s">
        <v>50</v>
      </c>
      <c r="D835" t="s">
        <v>111</v>
      </c>
      <c r="E835" t="s">
        <v>14</v>
      </c>
      <c r="F835" t="s">
        <v>878</v>
      </c>
      <c r="G835" t="s">
        <v>467</v>
      </c>
      <c r="H835" t="s">
        <v>10</v>
      </c>
      <c r="I835">
        <v>338</v>
      </c>
      <c r="J835" s="44">
        <f>I835/'enter the discount'!$D$7</f>
        <v>79.116146247834848</v>
      </c>
      <c r="K835" s="44">
        <f>J835*(1-IFERROR(VLOOKUP(H835,'enter the discount'!$D$10:$E$40,2,FALSE),0))</f>
        <v>79.116146247834848</v>
      </c>
      <c r="L835" t="s">
        <v>2549</v>
      </c>
      <c r="M835" t="s">
        <v>839</v>
      </c>
      <c r="N835" t="s">
        <v>1256</v>
      </c>
      <c r="O835" t="s">
        <v>2723</v>
      </c>
      <c r="P835">
        <v>1</v>
      </c>
      <c r="Q835">
        <v>0</v>
      </c>
      <c r="R835" t="s">
        <v>2465</v>
      </c>
      <c r="S835" s="42" t="str">
        <f>HYPERLINK("https://sklep.kobi.pl/produkt/zasilacz-led-150w-125a-12v-ip67-pro")</f>
        <v>https://sklep.kobi.pl/produkt/zasilacz-led-150w-125a-12v-ip67-pro</v>
      </c>
      <c r="T835" s="42" t="str">
        <f>HYPERLINK("https://eprel.ec.europa.eu/qr/NIE DOTYCZY    ")</f>
        <v xml:space="preserve">https://eprel.ec.europa.eu/qr/NIE DOTYCZY    </v>
      </c>
      <c r="U835">
        <v>0.63</v>
      </c>
      <c r="V835">
        <v>0.751</v>
      </c>
      <c r="W835">
        <v>40</v>
      </c>
      <c r="X835">
        <v>35</v>
      </c>
      <c r="Y835">
        <v>270</v>
      </c>
    </row>
    <row r="836" spans="1:25" ht="15" x14ac:dyDescent="0.25">
      <c r="A836" t="s">
        <v>24</v>
      </c>
      <c r="B836" t="s">
        <v>49</v>
      </c>
      <c r="C836" t="s">
        <v>50</v>
      </c>
      <c r="D836" t="s">
        <v>111</v>
      </c>
      <c r="E836" t="s">
        <v>14</v>
      </c>
      <c r="F836" t="s">
        <v>2348</v>
      </c>
      <c r="G836" t="s">
        <v>468</v>
      </c>
      <c r="H836" t="s">
        <v>10</v>
      </c>
      <c r="I836">
        <v>399</v>
      </c>
      <c r="J836" s="44">
        <f>I836/'enter the discount'!$D$7</f>
        <v>93.394504002621602</v>
      </c>
      <c r="K836" s="44">
        <f>J836*(1-IFERROR(VLOOKUP(H836,'enter the discount'!$D$10:$E$40,2,FALSE),0))</f>
        <v>93.394504002621602</v>
      </c>
      <c r="L836" t="s">
        <v>2549</v>
      </c>
      <c r="M836" t="s">
        <v>840</v>
      </c>
      <c r="N836" t="s">
        <v>1256</v>
      </c>
      <c r="O836" t="s">
        <v>2723</v>
      </c>
      <c r="P836">
        <v>1</v>
      </c>
      <c r="Q836">
        <v>0</v>
      </c>
      <c r="R836" t="s">
        <v>2465</v>
      </c>
      <c r="S836" s="42" t="str">
        <f>HYPERLINK("https://sklep.kobi.pl/produkt/zasilacz-instalacyjn-12v-200w-167a-ip67")</f>
        <v>https://sklep.kobi.pl/produkt/zasilacz-instalacyjn-12v-200w-167a-ip67</v>
      </c>
      <c r="T836" s="42" t="str">
        <f>HYPERLINK("https://eprel.ec.europa.eu/qr/NIE DOTYCZY    ")</f>
        <v xml:space="preserve">https://eprel.ec.europa.eu/qr/NIE DOTYCZY    </v>
      </c>
      <c r="U836">
        <v>0.69</v>
      </c>
      <c r="V836">
        <v>0.73299999999999998</v>
      </c>
      <c r="W836">
        <v>270</v>
      </c>
      <c r="X836">
        <v>80</v>
      </c>
      <c r="Y836">
        <v>30</v>
      </c>
    </row>
    <row r="837" spans="1:25" ht="15" x14ac:dyDescent="0.25">
      <c r="A837" t="s">
        <v>24</v>
      </c>
      <c r="B837" t="s">
        <v>49</v>
      </c>
      <c r="C837" t="s">
        <v>52</v>
      </c>
      <c r="D837" t="s">
        <v>111</v>
      </c>
      <c r="E837" t="s">
        <v>14</v>
      </c>
      <c r="F837" t="s">
        <v>2349</v>
      </c>
      <c r="G837" t="s">
        <v>469</v>
      </c>
      <c r="H837" t="s">
        <v>10</v>
      </c>
      <c r="I837">
        <v>44.5</v>
      </c>
      <c r="J837" s="44">
        <f>I837/'enter the discount'!$D$7</f>
        <v>10.416179017836244</v>
      </c>
      <c r="K837" s="44">
        <f>J837*(1-IFERROR(VLOOKUP(H837,'enter the discount'!$D$10:$E$40,2,FALSE),0))</f>
        <v>10.416179017836244</v>
      </c>
      <c r="L837" t="s">
        <v>2549</v>
      </c>
      <c r="M837" t="s">
        <v>841</v>
      </c>
      <c r="N837" t="s">
        <v>1256</v>
      </c>
      <c r="O837" t="s">
        <v>2723</v>
      </c>
      <c r="P837">
        <v>1</v>
      </c>
      <c r="Q837">
        <v>0</v>
      </c>
      <c r="R837" t="s">
        <v>2465</v>
      </c>
      <c r="S837" s="42" t="str">
        <f>HYPERLINK("https://sklep.kobi.pl/produkt/zasilacz-led-6w-05a-12v-sdk1107-mini")</f>
        <v>https://sklep.kobi.pl/produkt/zasilacz-led-6w-05a-12v-sdk1107-mini</v>
      </c>
      <c r="T837" s="42" t="str">
        <f>HYPERLINK("https://eprel.ec.europa.eu/qr/NIE DOTYCZY    ")</f>
        <v xml:space="preserve">https://eprel.ec.europa.eu/qr/NIE DOTYCZY    </v>
      </c>
      <c r="U837">
        <v>0.03</v>
      </c>
      <c r="V837">
        <v>3.4000000000000002E-2</v>
      </c>
      <c r="W837">
        <v>23</v>
      </c>
      <c r="X837">
        <v>45</v>
      </c>
      <c r="Y837">
        <v>45</v>
      </c>
    </row>
    <row r="838" spans="1:25" ht="15" x14ac:dyDescent="0.25">
      <c r="A838" t="s">
        <v>24</v>
      </c>
      <c r="B838" t="s">
        <v>49</v>
      </c>
      <c r="C838" t="s">
        <v>52</v>
      </c>
      <c r="D838" t="s">
        <v>111</v>
      </c>
      <c r="E838" t="s">
        <v>14</v>
      </c>
      <c r="F838" t="s">
        <v>2350</v>
      </c>
      <c r="G838" t="s">
        <v>470</v>
      </c>
      <c r="H838" t="s">
        <v>10</v>
      </c>
      <c r="I838">
        <v>54</v>
      </c>
      <c r="J838" s="44">
        <f>I838/'enter the discount'!$D$7</f>
        <v>12.63985768456533</v>
      </c>
      <c r="K838" s="44">
        <f>J838*(1-IFERROR(VLOOKUP(H838,'enter the discount'!$D$10:$E$40,2,FALSE),0))</f>
        <v>12.63985768456533</v>
      </c>
      <c r="L838" t="s">
        <v>2549</v>
      </c>
      <c r="M838" t="s">
        <v>842</v>
      </c>
      <c r="N838" t="s">
        <v>1256</v>
      </c>
      <c r="O838" t="s">
        <v>2723</v>
      </c>
      <c r="P838">
        <v>1</v>
      </c>
      <c r="Q838">
        <v>0</v>
      </c>
      <c r="R838" t="s">
        <v>2465</v>
      </c>
      <c r="S838" s="42" t="str">
        <f>HYPERLINK("https://sklep.kobi.pl/produkt/zasilacz-montazowy-12v-25w-21a")</f>
        <v>https://sklep.kobi.pl/produkt/zasilacz-montazowy-12v-25w-21a</v>
      </c>
      <c r="T838" s="42" t="str">
        <f>HYPERLINK("https://eprel.ec.europa.eu/qr/NIE DOTYCZY    ")</f>
        <v xml:space="preserve">https://eprel.ec.europa.eu/qr/NIE DOTYCZY    </v>
      </c>
      <c r="U838">
        <v>0.1</v>
      </c>
      <c r="V838">
        <v>0.12</v>
      </c>
      <c r="W838">
        <v>94</v>
      </c>
      <c r="X838">
        <v>64</v>
      </c>
      <c r="Y838">
        <v>40</v>
      </c>
    </row>
    <row r="839" spans="1:25" ht="15" x14ac:dyDescent="0.25">
      <c r="A839" t="s">
        <v>24</v>
      </c>
      <c r="B839" t="s">
        <v>49</v>
      </c>
      <c r="C839" t="s">
        <v>52</v>
      </c>
      <c r="D839" t="s">
        <v>111</v>
      </c>
      <c r="E839" t="s">
        <v>14</v>
      </c>
      <c r="F839" t="s">
        <v>2351</v>
      </c>
      <c r="G839" t="s">
        <v>471</v>
      </c>
      <c r="H839" t="s">
        <v>10</v>
      </c>
      <c r="I839">
        <v>57</v>
      </c>
      <c r="J839" s="45">
        <f>I839/'enter the discount'!$D$7</f>
        <v>13.342072000374515</v>
      </c>
      <c r="K839" s="45">
        <f>J839*(1-IFERROR(VLOOKUP(H839,'enter the discount'!$D$10:$E$40,2,FALSE),0))</f>
        <v>13.342072000374515</v>
      </c>
      <c r="L839" t="s">
        <v>2549</v>
      </c>
      <c r="M839" t="s">
        <v>843</v>
      </c>
      <c r="N839" t="s">
        <v>1256</v>
      </c>
      <c r="O839" t="s">
        <v>2723</v>
      </c>
      <c r="P839">
        <v>1</v>
      </c>
      <c r="Q839">
        <v>0</v>
      </c>
      <c r="R839" t="s">
        <v>2465</v>
      </c>
      <c r="S839" s="42" t="str">
        <f>HYPERLINK("https://sklep.kobi.pl/produkt/zasilacz-montazowy-12v-35w-29a")</f>
        <v>https://sklep.kobi.pl/produkt/zasilacz-montazowy-12v-35w-29a</v>
      </c>
      <c r="T839" s="42" t="str">
        <f>HYPERLINK("https://eprel.ec.europa.eu/qr/NIE DOTYCZY    ")</f>
        <v xml:space="preserve">https://eprel.ec.europa.eu/qr/NIE DOTYCZY    </v>
      </c>
      <c r="U839">
        <v>0.104</v>
      </c>
      <c r="V839">
        <v>0.11899999999999999</v>
      </c>
      <c r="W839">
        <v>64</v>
      </c>
      <c r="X839">
        <v>94</v>
      </c>
      <c r="Y839">
        <v>40</v>
      </c>
    </row>
    <row r="840" spans="1:25" ht="15" x14ac:dyDescent="0.25">
      <c r="A840" t="s">
        <v>24</v>
      </c>
      <c r="B840" t="s">
        <v>49</v>
      </c>
      <c r="C840" t="s">
        <v>52</v>
      </c>
      <c r="D840" t="s">
        <v>111</v>
      </c>
      <c r="E840" t="s">
        <v>14</v>
      </c>
      <c r="F840" t="s">
        <v>2352</v>
      </c>
      <c r="G840" t="s">
        <v>472</v>
      </c>
      <c r="H840" t="s">
        <v>10</v>
      </c>
      <c r="I840">
        <v>68</v>
      </c>
      <c r="J840" s="44">
        <f>I840/'enter the discount'!$D$7</f>
        <v>15.916857825008194</v>
      </c>
      <c r="K840" s="44">
        <f>J840*(1-IFERROR(VLOOKUP(H840,'enter the discount'!$D$10:$E$40,2,FALSE),0))</f>
        <v>15.916857825008194</v>
      </c>
      <c r="L840" t="s">
        <v>2549</v>
      </c>
      <c r="M840" t="s">
        <v>844</v>
      </c>
      <c r="N840" t="s">
        <v>1256</v>
      </c>
      <c r="O840" t="s">
        <v>2723</v>
      </c>
      <c r="P840">
        <v>1</v>
      </c>
      <c r="Q840">
        <v>0</v>
      </c>
      <c r="R840" t="s">
        <v>2465</v>
      </c>
      <c r="S840" s="42" t="str">
        <f>HYPERLINK("https://sklep.kobi.pl/produkt/zasilacz-montazowy-12v-60w-50a")</f>
        <v>https://sklep.kobi.pl/produkt/zasilacz-montazowy-12v-60w-50a</v>
      </c>
      <c r="T840" s="42" t="str">
        <f>HYPERLINK("https://eprel.ec.europa.eu/qr/NIE DOTYCZY    ")</f>
        <v xml:space="preserve">https://eprel.ec.europa.eu/qr/NIE DOTYCZY    </v>
      </c>
      <c r="U840">
        <v>0.12</v>
      </c>
      <c r="V840">
        <v>0.14299999999999999</v>
      </c>
      <c r="W840">
        <v>90</v>
      </c>
      <c r="X840">
        <v>40</v>
      </c>
      <c r="Y840">
        <v>60</v>
      </c>
    </row>
    <row r="841" spans="1:25" ht="15" x14ac:dyDescent="0.25">
      <c r="A841" t="s">
        <v>24</v>
      </c>
      <c r="B841" t="s">
        <v>49</v>
      </c>
      <c r="C841" t="s">
        <v>52</v>
      </c>
      <c r="D841" t="s">
        <v>111</v>
      </c>
      <c r="E841" t="s">
        <v>14</v>
      </c>
      <c r="F841" t="s">
        <v>2353</v>
      </c>
      <c r="G841" t="s">
        <v>473</v>
      </c>
      <c r="H841" t="s">
        <v>10</v>
      </c>
      <c r="I841">
        <v>125</v>
      </c>
      <c r="J841" s="45">
        <f>I841/'enter the discount'!$D$7</f>
        <v>29.258929825382708</v>
      </c>
      <c r="K841" s="45">
        <f>J841*(1-IFERROR(VLOOKUP(H841,'enter the discount'!$D$10:$E$40,2,FALSE),0))</f>
        <v>29.258929825382708</v>
      </c>
      <c r="L841" t="s">
        <v>2549</v>
      </c>
      <c r="M841" t="s">
        <v>845</v>
      </c>
      <c r="N841" t="s">
        <v>1256</v>
      </c>
      <c r="O841" t="s">
        <v>2723</v>
      </c>
      <c r="P841">
        <v>1</v>
      </c>
      <c r="Q841">
        <v>0</v>
      </c>
      <c r="R841" t="s">
        <v>2465</v>
      </c>
      <c r="S841" s="42" t="str">
        <f>HYPERLINK("https://sklep.kobi.pl/produkt/zasilacz-led-100w-83a-12v-modul-2")</f>
        <v>https://sklep.kobi.pl/produkt/zasilacz-led-100w-83a-12v-modul-2</v>
      </c>
      <c r="T841" s="42" t="str">
        <f>HYPERLINK("https://eprel.ec.europa.eu/qr/NIE DOTYCZY    ")</f>
        <v xml:space="preserve">https://eprel.ec.europa.eu/qr/NIE DOTYCZY    </v>
      </c>
      <c r="U841">
        <v>0.182</v>
      </c>
      <c r="V841">
        <v>0.20399999999999999</v>
      </c>
      <c r="W841">
        <v>42</v>
      </c>
      <c r="X841">
        <v>121</v>
      </c>
      <c r="Y841">
        <v>81</v>
      </c>
    </row>
    <row r="842" spans="1:25" ht="15" x14ac:dyDescent="0.25">
      <c r="A842" t="s">
        <v>24</v>
      </c>
      <c r="B842" t="s">
        <v>49</v>
      </c>
      <c r="C842" t="s">
        <v>52</v>
      </c>
      <c r="D842" t="s">
        <v>111</v>
      </c>
      <c r="E842" t="s">
        <v>14</v>
      </c>
      <c r="F842" t="s">
        <v>2354</v>
      </c>
      <c r="G842" t="s">
        <v>474</v>
      </c>
      <c r="H842" t="s">
        <v>10</v>
      </c>
      <c r="I842">
        <v>155</v>
      </c>
      <c r="J842" s="44">
        <f>I842/'enter the discount'!$D$7</f>
        <v>36.281072983474559</v>
      </c>
      <c r="K842" s="44">
        <f>J842*(1-IFERROR(VLOOKUP(H842,'enter the discount'!$D$10:$E$40,2,FALSE),0))</f>
        <v>36.281072983474559</v>
      </c>
      <c r="L842" t="s">
        <v>2549</v>
      </c>
      <c r="M842" t="s">
        <v>846</v>
      </c>
      <c r="N842" t="s">
        <v>1256</v>
      </c>
      <c r="O842" t="s">
        <v>2723</v>
      </c>
      <c r="P842">
        <v>1</v>
      </c>
      <c r="Q842">
        <v>0</v>
      </c>
      <c r="R842" t="s">
        <v>2465</v>
      </c>
      <c r="S842" s="42" t="str">
        <f>HYPERLINK("https://sklep.kobi.pl/produkt/zasilacz-led-150w-125a-12v-montazowy")</f>
        <v>https://sklep.kobi.pl/produkt/zasilacz-led-150w-125a-12v-montazowy</v>
      </c>
      <c r="T842" s="42" t="str">
        <f>HYPERLINK("https://eprel.ec.europa.eu/qr/NIE DOTYCZY    ")</f>
        <v xml:space="preserve">https://eprel.ec.europa.eu/qr/NIE DOTYCZY    </v>
      </c>
      <c r="U842">
        <v>0.30199999999999999</v>
      </c>
      <c r="V842">
        <v>0.33100000000000002</v>
      </c>
      <c r="W842">
        <v>139</v>
      </c>
      <c r="X842">
        <v>104</v>
      </c>
      <c r="Y842">
        <v>44</v>
      </c>
    </row>
    <row r="843" spans="1:25" ht="15" x14ac:dyDescent="0.25">
      <c r="A843" t="s">
        <v>24</v>
      </c>
      <c r="B843" t="s">
        <v>49</v>
      </c>
      <c r="C843" t="s">
        <v>52</v>
      </c>
      <c r="D843" t="s">
        <v>111</v>
      </c>
      <c r="E843" t="s">
        <v>14</v>
      </c>
      <c r="F843" t="s">
        <v>2355</v>
      </c>
      <c r="G843" t="s">
        <v>475</v>
      </c>
      <c r="H843" t="s">
        <v>10</v>
      </c>
      <c r="I843">
        <v>179</v>
      </c>
      <c r="J843" s="44">
        <f>I843/'enter the discount'!$D$7</f>
        <v>41.898787509948036</v>
      </c>
      <c r="K843" s="44">
        <f>J843*(1-IFERROR(VLOOKUP(H843,'enter the discount'!$D$10:$E$40,2,FALSE),0))</f>
        <v>41.898787509948036</v>
      </c>
      <c r="L843" t="s">
        <v>2549</v>
      </c>
      <c r="M843" t="s">
        <v>847</v>
      </c>
      <c r="N843" t="s">
        <v>1256</v>
      </c>
      <c r="O843" t="s">
        <v>2723</v>
      </c>
      <c r="P843">
        <v>1</v>
      </c>
      <c r="Q843">
        <v>0</v>
      </c>
      <c r="R843" t="s">
        <v>2465</v>
      </c>
      <c r="S843" s="42" t="str">
        <f>HYPERLINK("https://sklep.kobi.pl/produkt/zasilacz-montazowy-12v-200w-166a")</f>
        <v>https://sklep.kobi.pl/produkt/zasilacz-montazowy-12v-200w-166a</v>
      </c>
      <c r="T843" s="42" t="str">
        <f>HYPERLINK("https://eprel.ec.europa.eu/qr/NIE DOTYCZY    ")</f>
        <v xml:space="preserve">https://eprel.ec.europa.eu/qr/NIE DOTYCZY    </v>
      </c>
      <c r="U843">
        <v>0.46</v>
      </c>
      <c r="V843">
        <v>0.5</v>
      </c>
      <c r="W843">
        <v>50</v>
      </c>
      <c r="X843">
        <v>85</v>
      </c>
      <c r="Y843">
        <v>150</v>
      </c>
    </row>
    <row r="844" spans="1:25" ht="15" x14ac:dyDescent="0.25">
      <c r="A844" t="s">
        <v>24</v>
      </c>
      <c r="B844" t="s">
        <v>49</v>
      </c>
      <c r="C844" t="s">
        <v>52</v>
      </c>
      <c r="D844" t="s">
        <v>111</v>
      </c>
      <c r="E844" t="s">
        <v>14</v>
      </c>
      <c r="F844" t="s">
        <v>2356</v>
      </c>
      <c r="G844" t="s">
        <v>476</v>
      </c>
      <c r="H844" t="s">
        <v>10</v>
      </c>
      <c r="I844">
        <v>210</v>
      </c>
      <c r="J844" s="44">
        <f>I844/'enter the discount'!$D$7</f>
        <v>49.155002106642947</v>
      </c>
      <c r="K844" s="44">
        <f>J844*(1-IFERROR(VLOOKUP(H844,'enter the discount'!$D$10:$E$40,2,FALSE),0))</f>
        <v>49.155002106642947</v>
      </c>
      <c r="L844" t="s">
        <v>2549</v>
      </c>
      <c r="M844" t="s">
        <v>848</v>
      </c>
      <c r="N844" t="s">
        <v>1256</v>
      </c>
      <c r="O844" t="s">
        <v>2723</v>
      </c>
      <c r="P844">
        <v>1</v>
      </c>
      <c r="Q844">
        <v>0</v>
      </c>
      <c r="R844" t="s">
        <v>2465</v>
      </c>
      <c r="S844" s="42" t="str">
        <f>HYPERLINK("https://sklep.kobi.pl/produkt/zasilacz-led-250w-208a-12v-mont-cp12250")</f>
        <v>https://sklep.kobi.pl/produkt/zasilacz-led-250w-208a-12v-mont-cp12250</v>
      </c>
      <c r="T844" s="42" t="str">
        <f>HYPERLINK("https://eprel.ec.europa.eu/qr/NIE DOTYCZY    ")</f>
        <v xml:space="preserve">https://eprel.ec.europa.eu/qr/NIE DOTYCZY    </v>
      </c>
      <c r="U844">
        <v>0.46</v>
      </c>
      <c r="V844">
        <v>0.51</v>
      </c>
      <c r="W844">
        <v>167</v>
      </c>
      <c r="X844">
        <v>104</v>
      </c>
      <c r="Y844">
        <v>54</v>
      </c>
    </row>
    <row r="845" spans="1:25" ht="15" x14ac:dyDescent="0.25">
      <c r="A845" t="s">
        <v>24</v>
      </c>
      <c r="B845" t="s">
        <v>49</v>
      </c>
      <c r="C845" t="s">
        <v>52</v>
      </c>
      <c r="D845" t="s">
        <v>111</v>
      </c>
      <c r="E845" t="s">
        <v>14</v>
      </c>
      <c r="F845" t="s">
        <v>2357</v>
      </c>
      <c r="G845" t="s">
        <v>477</v>
      </c>
      <c r="H845" t="s">
        <v>10</v>
      </c>
      <c r="I845">
        <v>224</v>
      </c>
      <c r="J845" s="44">
        <f>I845/'enter the discount'!$D$7</f>
        <v>52.432002247085812</v>
      </c>
      <c r="K845" s="44">
        <f>J845*(1-IFERROR(VLOOKUP(H845,'enter the discount'!$D$10:$E$40,2,FALSE),0))</f>
        <v>52.432002247085812</v>
      </c>
      <c r="L845" t="s">
        <v>2549</v>
      </c>
      <c r="M845" t="s">
        <v>849</v>
      </c>
      <c r="N845" t="s">
        <v>1256</v>
      </c>
      <c r="O845" t="s">
        <v>2723</v>
      </c>
      <c r="P845">
        <v>1</v>
      </c>
      <c r="Q845">
        <v>0</v>
      </c>
      <c r="R845" t="s">
        <v>2465</v>
      </c>
      <c r="S845" s="42" t="str">
        <f>HYPERLINK("https://sklep.kobi.pl/produkt/zasilacz-led-350w-29a-12v-montazowy")</f>
        <v>https://sklep.kobi.pl/produkt/zasilacz-led-350w-29a-12v-montazowy</v>
      </c>
      <c r="T845" s="42" t="str">
        <f>HYPERLINK("https://eprel.ec.europa.eu/qr/NIE DOTYCZY    ")</f>
        <v xml:space="preserve">https://eprel.ec.europa.eu/qr/NIE DOTYCZY    </v>
      </c>
      <c r="U845">
        <v>0.63</v>
      </c>
      <c r="V845">
        <v>0.68200000000000005</v>
      </c>
      <c r="W845">
        <v>150</v>
      </c>
      <c r="X845">
        <v>205</v>
      </c>
      <c r="Y845">
        <v>60</v>
      </c>
    </row>
    <row r="846" spans="1:25" ht="15" x14ac:dyDescent="0.25">
      <c r="A846" t="s">
        <v>23</v>
      </c>
      <c r="B846" t="s">
        <v>51</v>
      </c>
      <c r="C846" t="s">
        <v>1430</v>
      </c>
      <c r="D846" t="s">
        <v>111</v>
      </c>
      <c r="E846" t="s">
        <v>14</v>
      </c>
      <c r="F846" t="s">
        <v>2358</v>
      </c>
      <c r="G846" t="s">
        <v>1608</v>
      </c>
      <c r="H846" t="s">
        <v>7</v>
      </c>
      <c r="I846">
        <v>130.19</v>
      </c>
      <c r="J846" s="44">
        <f>I846/'enter the discount'!$D$7</f>
        <v>30.473760591732599</v>
      </c>
      <c r="K846" s="44">
        <f>J846*(1-IFERROR(VLOOKUP(H846,'enter the discount'!$D$10:$E$40,2,FALSE),0))</f>
        <v>30.473760591732599</v>
      </c>
      <c r="L846" t="s">
        <v>2549</v>
      </c>
      <c r="M846" t="s">
        <v>1609</v>
      </c>
      <c r="N846" t="s">
        <v>930</v>
      </c>
      <c r="O846" t="s">
        <v>2723</v>
      </c>
      <c r="P846">
        <v>4</v>
      </c>
      <c r="Q846">
        <v>0</v>
      </c>
      <c r="R846" t="s">
        <v>2465</v>
      </c>
      <c r="S846" s="42" t="str">
        <f>HYPERLINK("https://sklep.kobi.pl/produkt/kobi-crete-5m-5xe27")</f>
        <v>https://sklep.kobi.pl/produkt/kobi-crete-5m-5xe27</v>
      </c>
      <c r="T846" s="42" t="str">
        <f>HYPERLINK("https://eprel.ec.europa.eu/qr/NIE DOTYCZY    ")</f>
        <v xml:space="preserve">https://eprel.ec.europa.eu/qr/NIE DOTYCZY    </v>
      </c>
      <c r="U846">
        <v>0.83</v>
      </c>
      <c r="V846">
        <v>1.2</v>
      </c>
      <c r="W846">
        <v>0</v>
      </c>
      <c r="X846">
        <v>0</v>
      </c>
      <c r="Y846">
        <v>0</v>
      </c>
    </row>
    <row r="847" spans="1:25" ht="15" x14ac:dyDescent="0.25">
      <c r="A847" t="s">
        <v>23</v>
      </c>
      <c r="B847" t="s">
        <v>51</v>
      </c>
      <c r="C847" t="s">
        <v>1430</v>
      </c>
      <c r="D847" t="s">
        <v>111</v>
      </c>
      <c r="E847" t="s">
        <v>14</v>
      </c>
      <c r="F847" t="s">
        <v>2359</v>
      </c>
      <c r="G847" t="s">
        <v>1610</v>
      </c>
      <c r="H847" t="s">
        <v>7</v>
      </c>
      <c r="I847">
        <v>104.87</v>
      </c>
      <c r="J847" s="44">
        <f>I847/'enter the discount'!$D$7</f>
        <v>24.547071766303077</v>
      </c>
      <c r="K847" s="44">
        <f>J847*(1-IFERROR(VLOOKUP(H847,'enter the discount'!$D$10:$E$40,2,FALSE),0))</f>
        <v>24.547071766303077</v>
      </c>
      <c r="L847" t="s">
        <v>2549</v>
      </c>
      <c r="M847" t="s">
        <v>1611</v>
      </c>
      <c r="N847" t="s">
        <v>633</v>
      </c>
      <c r="O847" t="s">
        <v>2724</v>
      </c>
      <c r="P847">
        <v>20</v>
      </c>
      <c r="Q847">
        <v>0</v>
      </c>
      <c r="R847" t="s">
        <v>2465</v>
      </c>
      <c r="S847" s="42" t="str">
        <f>HYPERLINK("https://sklep.kobi.pl/produkt/kobi-crete-ls-d1-black")</f>
        <v>https://sklep.kobi.pl/produkt/kobi-crete-ls-d1-black</v>
      </c>
      <c r="T847" s="42" t="str">
        <f>HYPERLINK("https://eprel.ec.europa.eu/qr/NIE DOTYCZY    ")</f>
        <v xml:space="preserve">https://eprel.ec.europa.eu/qr/NIE DOTYCZY    </v>
      </c>
      <c r="U847">
        <v>0.25</v>
      </c>
      <c r="V847">
        <v>0</v>
      </c>
      <c r="W847">
        <v>0</v>
      </c>
      <c r="X847">
        <v>0</v>
      </c>
      <c r="Y847">
        <v>0</v>
      </c>
    </row>
    <row r="848" spans="1:25" ht="15" x14ac:dyDescent="0.25">
      <c r="A848" t="s">
        <v>23</v>
      </c>
      <c r="B848" t="s">
        <v>51</v>
      </c>
      <c r="C848" t="s">
        <v>1430</v>
      </c>
      <c r="D848" t="s">
        <v>111</v>
      </c>
      <c r="E848" t="s">
        <v>14</v>
      </c>
      <c r="F848" t="s">
        <v>2360</v>
      </c>
      <c r="G848" t="s">
        <v>1612</v>
      </c>
      <c r="H848" t="s">
        <v>7</v>
      </c>
      <c r="I848">
        <v>300.79000000000002</v>
      </c>
      <c r="J848" s="45">
        <f>I848/'enter the discount'!$D$7</f>
        <v>70.406348017414928</v>
      </c>
      <c r="K848" s="45">
        <f>J848*(1-IFERROR(VLOOKUP(H848,'enter the discount'!$D$10:$E$40,2,FALSE),0))</f>
        <v>70.406348017414928</v>
      </c>
      <c r="L848" t="s">
        <v>2549</v>
      </c>
      <c r="M848" t="s">
        <v>1613</v>
      </c>
      <c r="N848" t="s">
        <v>633</v>
      </c>
      <c r="O848" t="s">
        <v>2724</v>
      </c>
      <c r="P848">
        <v>4</v>
      </c>
      <c r="Q848">
        <v>0</v>
      </c>
      <c r="R848" t="s">
        <v>2465</v>
      </c>
      <c r="S848" s="42" t="str">
        <f>HYPERLINK("https://sklep.kobi.pl/produkt/kobi-crete-ls-r1-wood")</f>
        <v>https://sklep.kobi.pl/produkt/kobi-crete-ls-r1-wood</v>
      </c>
      <c r="T848" s="42" t="str">
        <f>HYPERLINK("https://eprel.ec.europa.eu/qr/NIE DOTYCZY    ")</f>
        <v xml:space="preserve">https://eprel.ec.europa.eu/qr/NIE DOTYCZY    </v>
      </c>
      <c r="U848">
        <v>1.08</v>
      </c>
      <c r="V848">
        <v>0</v>
      </c>
      <c r="W848">
        <v>0</v>
      </c>
      <c r="X848">
        <v>0</v>
      </c>
      <c r="Y848">
        <v>0</v>
      </c>
    </row>
    <row r="849" spans="1:25" ht="15" x14ac:dyDescent="0.25">
      <c r="A849" t="s">
        <v>23</v>
      </c>
      <c r="B849" t="s">
        <v>51</v>
      </c>
      <c r="C849" t="s">
        <v>1430</v>
      </c>
      <c r="D849" t="s">
        <v>111</v>
      </c>
      <c r="E849" t="s">
        <v>14</v>
      </c>
      <c r="F849" t="s">
        <v>2361</v>
      </c>
      <c r="G849" t="s">
        <v>1614</v>
      </c>
      <c r="H849" t="s">
        <v>7</v>
      </c>
      <c r="I849">
        <v>300.79000000000002</v>
      </c>
      <c r="J849" s="45">
        <f>I849/'enter the discount'!$D$7</f>
        <v>70.406348017414928</v>
      </c>
      <c r="K849" s="45">
        <f>J849*(1-IFERROR(VLOOKUP(H849,'enter the discount'!$D$10:$E$40,2,FALSE),0))</f>
        <v>70.406348017414928</v>
      </c>
      <c r="L849" t="s">
        <v>2549</v>
      </c>
      <c r="M849" t="s">
        <v>1615</v>
      </c>
      <c r="N849" t="s">
        <v>633</v>
      </c>
      <c r="O849" t="s">
        <v>2724</v>
      </c>
      <c r="P849">
        <v>4</v>
      </c>
      <c r="Q849">
        <v>0</v>
      </c>
      <c r="R849" t="s">
        <v>2465</v>
      </c>
      <c r="S849" s="42" t="str">
        <f>HYPERLINK("https://sklep.kobi.pl/produkt/kobi-crete-ls-r2-black")</f>
        <v>https://sklep.kobi.pl/produkt/kobi-crete-ls-r2-black</v>
      </c>
      <c r="T849" s="42" t="str">
        <f>HYPERLINK("https://eprel.ec.europa.eu/qr/NIE DOTYCZY    ")</f>
        <v xml:space="preserve">https://eprel.ec.europa.eu/qr/NIE DOTYCZY    </v>
      </c>
      <c r="U849">
        <v>1.04</v>
      </c>
      <c r="V849">
        <v>0</v>
      </c>
      <c r="W849">
        <v>0</v>
      </c>
      <c r="X849">
        <v>0</v>
      </c>
      <c r="Y849">
        <v>0</v>
      </c>
    </row>
    <row r="850" spans="1:25" ht="15" x14ac:dyDescent="0.25">
      <c r="A850" t="s">
        <v>23</v>
      </c>
      <c r="B850" t="s">
        <v>51</v>
      </c>
      <c r="C850" t="s">
        <v>1430</v>
      </c>
      <c r="D850" t="s">
        <v>111</v>
      </c>
      <c r="E850" t="s">
        <v>14</v>
      </c>
      <c r="F850" t="s">
        <v>2362</v>
      </c>
      <c r="G850" t="s">
        <v>1616</v>
      </c>
      <c r="H850" t="s">
        <v>7</v>
      </c>
      <c r="I850">
        <v>97.32</v>
      </c>
      <c r="J850" s="44">
        <f>I850/'enter the discount'!$D$7</f>
        <v>22.779832404849959</v>
      </c>
      <c r="K850" s="44">
        <f>J850*(1-IFERROR(VLOOKUP(H850,'enter the discount'!$D$10:$E$40,2,FALSE),0))</f>
        <v>22.779832404849959</v>
      </c>
      <c r="L850" t="s">
        <v>2549</v>
      </c>
      <c r="M850" t="s">
        <v>1617</v>
      </c>
      <c r="N850" t="s">
        <v>633</v>
      </c>
      <c r="O850" t="s">
        <v>2724</v>
      </c>
      <c r="P850">
        <v>20</v>
      </c>
      <c r="Q850">
        <v>0</v>
      </c>
      <c r="R850" t="s">
        <v>2465</v>
      </c>
      <c r="S850" s="42" t="str">
        <f>HYPERLINK("https://sklep.kobi.pl/produkt/kobi-crete-ls-m1-black")</f>
        <v>https://sklep.kobi.pl/produkt/kobi-crete-ls-m1-black</v>
      </c>
      <c r="T850" s="42" t="str">
        <f>HYPERLINK("https://eprel.ec.europa.eu/qr/NIE DOTYCZY    ")</f>
        <v xml:space="preserve">https://eprel.ec.europa.eu/qr/NIE DOTYCZY    </v>
      </c>
      <c r="U850">
        <v>0.72</v>
      </c>
      <c r="V850">
        <v>0.93</v>
      </c>
      <c r="W850">
        <v>0</v>
      </c>
      <c r="X850">
        <v>0</v>
      </c>
      <c r="Y850">
        <v>0</v>
      </c>
    </row>
    <row r="851" spans="1:25" ht="15" x14ac:dyDescent="0.25">
      <c r="A851" t="s">
        <v>23</v>
      </c>
      <c r="B851" t="s">
        <v>51</v>
      </c>
      <c r="C851" t="s">
        <v>1430</v>
      </c>
      <c r="D851" t="s">
        <v>111</v>
      </c>
      <c r="E851" t="s">
        <v>14</v>
      </c>
      <c r="F851" t="s">
        <v>2363</v>
      </c>
      <c r="G851" t="s">
        <v>1618</v>
      </c>
      <c r="H851" t="s">
        <v>7</v>
      </c>
      <c r="I851">
        <v>89.1</v>
      </c>
      <c r="J851" s="44">
        <f>I851/'enter the discount'!$D$7</f>
        <v>20.855765179532792</v>
      </c>
      <c r="K851" s="44">
        <f>J851*(1-IFERROR(VLOOKUP(H851,'enter the discount'!$D$10:$E$40,2,FALSE),0))</f>
        <v>20.855765179532792</v>
      </c>
      <c r="L851" t="s">
        <v>2549</v>
      </c>
      <c r="M851" t="s">
        <v>1619</v>
      </c>
      <c r="N851" t="s">
        <v>633</v>
      </c>
      <c r="O851" t="s">
        <v>2724</v>
      </c>
      <c r="P851">
        <v>20</v>
      </c>
      <c r="Q851">
        <v>0</v>
      </c>
      <c r="R851" t="s">
        <v>2465</v>
      </c>
      <c r="S851" s="42" t="str">
        <f>HYPERLINK("https://sklep.kobi.pl/produkt/kobi-crete-ls-m2-black")</f>
        <v>https://sklep.kobi.pl/produkt/kobi-crete-ls-m2-black</v>
      </c>
      <c r="T851" s="42" t="str">
        <f>HYPERLINK("https://eprel.ec.europa.eu/qr/NIE DOTYCZY    ")</f>
        <v xml:space="preserve">https://eprel.ec.europa.eu/qr/NIE DOTYCZY    </v>
      </c>
      <c r="U851">
        <v>0.72</v>
      </c>
      <c r="V851">
        <v>0</v>
      </c>
      <c r="W851">
        <v>0</v>
      </c>
      <c r="X851">
        <v>0</v>
      </c>
      <c r="Y851">
        <v>0</v>
      </c>
    </row>
    <row r="852" spans="1:25" ht="15" x14ac:dyDescent="0.25">
      <c r="A852" t="s">
        <v>23</v>
      </c>
      <c r="B852" t="s">
        <v>51</v>
      </c>
      <c r="C852" t="s">
        <v>1430</v>
      </c>
      <c r="D852" t="s">
        <v>111</v>
      </c>
      <c r="E852" t="s">
        <v>14</v>
      </c>
      <c r="F852" t="s">
        <v>2364</v>
      </c>
      <c r="G852" t="s">
        <v>1620</v>
      </c>
      <c r="H852" t="s">
        <v>7</v>
      </c>
      <c r="I852">
        <v>98.82</v>
      </c>
      <c r="J852" s="44">
        <f>I852/'enter the discount'!$D$7</f>
        <v>23.130939562754552</v>
      </c>
      <c r="K852" s="44">
        <f>J852*(1-IFERROR(VLOOKUP(H852,'enter the discount'!$D$10:$E$40,2,FALSE),0))</f>
        <v>23.130939562754552</v>
      </c>
      <c r="L852" t="s">
        <v>2549</v>
      </c>
      <c r="M852" t="s">
        <v>1621</v>
      </c>
      <c r="N852" t="s">
        <v>1013</v>
      </c>
      <c r="O852" t="s">
        <v>2723</v>
      </c>
      <c r="P852">
        <v>20</v>
      </c>
      <c r="Q852">
        <v>0</v>
      </c>
      <c r="R852" t="s">
        <v>2465</v>
      </c>
      <c r="S852" s="42" t="str">
        <f>HYPERLINK("https://sklep.kobi.pl/produkt/kobi-crete-pc-10m")</f>
        <v>https://sklep.kobi.pl/produkt/kobi-crete-pc-10m</v>
      </c>
      <c r="T852" s="42" t="str">
        <f>HYPERLINK("https://eprel.ec.europa.eu/qr/NIE DOTYCZY    ")</f>
        <v xml:space="preserve">https://eprel.ec.europa.eu/qr/NIE DOTYCZY    </v>
      </c>
      <c r="U852">
        <v>0.78</v>
      </c>
      <c r="V852">
        <v>1.02</v>
      </c>
      <c r="W852">
        <v>0</v>
      </c>
      <c r="X852">
        <v>0</v>
      </c>
      <c r="Y852">
        <v>0</v>
      </c>
    </row>
    <row r="853" spans="1:25" ht="15" x14ac:dyDescent="0.25">
      <c r="A853" t="s">
        <v>23</v>
      </c>
      <c r="B853" t="s">
        <v>51</v>
      </c>
      <c r="C853" t="s">
        <v>1430</v>
      </c>
      <c r="D853" t="s">
        <v>111</v>
      </c>
      <c r="E853" t="s">
        <v>14</v>
      </c>
      <c r="F853" t="s">
        <v>2365</v>
      </c>
      <c r="G853" t="s">
        <v>1622</v>
      </c>
      <c r="H853" t="s">
        <v>7</v>
      </c>
      <c r="I853">
        <v>54.75</v>
      </c>
      <c r="J853" s="44">
        <f>I853/'enter the discount'!$D$7</f>
        <v>12.815411263517626</v>
      </c>
      <c r="K853" s="44">
        <f>J853*(1-IFERROR(VLOOKUP(H853,'enter the discount'!$D$10:$E$40,2,FALSE),0))</f>
        <v>12.815411263517626</v>
      </c>
      <c r="L853" t="s">
        <v>2549</v>
      </c>
      <c r="M853" t="s">
        <v>1623</v>
      </c>
      <c r="N853" t="s">
        <v>1013</v>
      </c>
      <c r="O853" t="s">
        <v>2723</v>
      </c>
      <c r="P853">
        <v>40</v>
      </c>
      <c r="Q853">
        <v>0</v>
      </c>
      <c r="R853" t="s">
        <v>2465</v>
      </c>
      <c r="S853" s="42" t="str">
        <f>HYPERLINK("https://sklep.kobi.pl/produkt/kobi-crete-pc-5m")</f>
        <v>https://sklep.kobi.pl/produkt/kobi-crete-pc-5m</v>
      </c>
      <c r="T853" s="42" t="str">
        <f>HYPERLINK("https://eprel.ec.europa.eu/qr/NIE DOTYCZY    ")</f>
        <v xml:space="preserve">https://eprel.ec.europa.eu/qr/NIE DOTYCZY    </v>
      </c>
      <c r="U853">
        <v>0.44</v>
      </c>
      <c r="V853">
        <v>0</v>
      </c>
      <c r="W853">
        <v>0</v>
      </c>
      <c r="X853">
        <v>0</v>
      </c>
      <c r="Y853">
        <v>0</v>
      </c>
    </row>
    <row r="854" spans="1:25" ht="15" x14ac:dyDescent="0.25">
      <c r="A854" t="s">
        <v>25</v>
      </c>
      <c r="B854" t="s">
        <v>104</v>
      </c>
      <c r="C854"/>
      <c r="D854" t="s">
        <v>111</v>
      </c>
      <c r="E854" t="s">
        <v>14</v>
      </c>
      <c r="F854" t="s">
        <v>2366</v>
      </c>
      <c r="G854" t="s">
        <v>1624</v>
      </c>
      <c r="H854" t="s">
        <v>881</v>
      </c>
      <c r="I854">
        <v>211</v>
      </c>
      <c r="J854" s="44">
        <f>I854/'enter the discount'!$D$7</f>
        <v>49.389073545246013</v>
      </c>
      <c r="K854" s="44">
        <f>J854*(1-IFERROR(VLOOKUP(H854,'enter the discount'!$D$10:$E$40,2,FALSE),0))</f>
        <v>49.389073545246013</v>
      </c>
      <c r="L854" t="s">
        <v>2549</v>
      </c>
      <c r="M854" t="s">
        <v>1625</v>
      </c>
      <c r="N854" t="s">
        <v>622</v>
      </c>
      <c r="O854" t="s">
        <v>2723</v>
      </c>
      <c r="P854">
        <v>1</v>
      </c>
      <c r="Q854">
        <v>63</v>
      </c>
      <c r="R854" t="s">
        <v>2465</v>
      </c>
      <c r="S854" s="42" t="str">
        <f>HYPERLINK("https://sklep.kobi.pl/produkt/tower-fan-kobi-hoorn-45w-black")</f>
        <v>https://sklep.kobi.pl/produkt/tower-fan-kobi-hoorn-45w-black</v>
      </c>
      <c r="T854" s="42" t="str">
        <f>HYPERLINK("https://eprel.ec.europa.eu/qr/NIE DOTYCZY    ")</f>
        <v xml:space="preserve">https://eprel.ec.europa.eu/qr/NIE DOTYCZY    </v>
      </c>
      <c r="U854">
        <v>2.1</v>
      </c>
      <c r="V854">
        <v>0</v>
      </c>
      <c r="W854">
        <v>0</v>
      </c>
      <c r="X854">
        <v>0</v>
      </c>
      <c r="Y854">
        <v>0</v>
      </c>
    </row>
    <row r="855" spans="1:25" ht="15" x14ac:dyDescent="0.25">
      <c r="A855" t="s">
        <v>25</v>
      </c>
      <c r="B855" t="s">
        <v>104</v>
      </c>
      <c r="C855"/>
      <c r="D855" t="s">
        <v>111</v>
      </c>
      <c r="E855" t="s">
        <v>14</v>
      </c>
      <c r="F855" t="s">
        <v>2367</v>
      </c>
      <c r="G855" t="s">
        <v>1626</v>
      </c>
      <c r="H855" t="s">
        <v>881</v>
      </c>
      <c r="I855">
        <v>335.69</v>
      </c>
      <c r="J855" s="44">
        <f>I855/'enter the discount'!$D$7</f>
        <v>78.575441224661773</v>
      </c>
      <c r="K855" s="44">
        <f>J855*(1-IFERROR(VLOOKUP(H855,'enter the discount'!$D$10:$E$40,2,FALSE),0))</f>
        <v>78.575441224661773</v>
      </c>
      <c r="L855" t="s">
        <v>2549</v>
      </c>
      <c r="M855" t="s">
        <v>1627</v>
      </c>
      <c r="N855" t="s">
        <v>622</v>
      </c>
      <c r="O855" t="s">
        <v>2723</v>
      </c>
      <c r="P855">
        <v>1</v>
      </c>
      <c r="Q855">
        <v>32</v>
      </c>
      <c r="R855" t="s">
        <v>2465</v>
      </c>
      <c r="S855" s="42" t="str">
        <f>HYPERLINK("https://sklep.kobi.pl/produkt/tower-fan-kobi-lisse-55w-black")</f>
        <v>https://sklep.kobi.pl/produkt/tower-fan-kobi-lisse-55w-black</v>
      </c>
      <c r="T855" s="42" t="str">
        <f>HYPERLINK("https://eprel.ec.europa.eu/qr/NIE DOTYCZY    ")</f>
        <v xml:space="preserve">https://eprel.ec.europa.eu/qr/NIE DOTYCZY    </v>
      </c>
      <c r="U855">
        <v>3.75</v>
      </c>
      <c r="V855">
        <v>0</v>
      </c>
      <c r="W855">
        <v>0</v>
      </c>
      <c r="X855">
        <v>0</v>
      </c>
      <c r="Y855">
        <v>0</v>
      </c>
    </row>
    <row r="856" spans="1:25" ht="15" x14ac:dyDescent="0.25">
      <c r="A856" t="s">
        <v>25</v>
      </c>
      <c r="B856" t="s">
        <v>104</v>
      </c>
      <c r="C856"/>
      <c r="D856" t="s">
        <v>111</v>
      </c>
      <c r="E856" t="s">
        <v>14</v>
      </c>
      <c r="F856" t="s">
        <v>2368</v>
      </c>
      <c r="G856" t="s">
        <v>1628</v>
      </c>
      <c r="H856" t="s">
        <v>881</v>
      </c>
      <c r="I856">
        <v>149.12</v>
      </c>
      <c r="J856" s="44">
        <f>I856/'enter the discount'!$D$7</f>
        <v>34.904732924488556</v>
      </c>
      <c r="K856" s="44">
        <f>J856*(1-IFERROR(VLOOKUP(H856,'enter the discount'!$D$10:$E$40,2,FALSE),0))</f>
        <v>34.904732924488556</v>
      </c>
      <c r="L856" t="s">
        <v>2549</v>
      </c>
      <c r="M856" t="s">
        <v>1629</v>
      </c>
      <c r="N856" t="s">
        <v>622</v>
      </c>
      <c r="O856" t="s">
        <v>2723</v>
      </c>
      <c r="P856">
        <v>1</v>
      </c>
      <c r="Q856">
        <v>63</v>
      </c>
      <c r="R856" t="s">
        <v>2465</v>
      </c>
      <c r="S856" s="42" t="str">
        <f>HYPERLINK("https://sklep.kobi.pl/produkt/tower-fan-kobi-venlo-45w-black")</f>
        <v>https://sklep.kobi.pl/produkt/tower-fan-kobi-venlo-45w-black</v>
      </c>
      <c r="T856" s="42" t="str">
        <f>HYPERLINK("https://eprel.ec.europa.eu/qr/NIE DOTYCZY    ")</f>
        <v xml:space="preserve">https://eprel.ec.europa.eu/qr/NIE DOTYCZY    </v>
      </c>
      <c r="U856">
        <v>1.8</v>
      </c>
      <c r="V856">
        <v>0</v>
      </c>
      <c r="W856">
        <v>0</v>
      </c>
      <c r="X856">
        <v>0</v>
      </c>
      <c r="Y856">
        <v>0</v>
      </c>
    </row>
    <row r="857" spans="1:25" ht="15" x14ac:dyDescent="0.25">
      <c r="A857" t="s">
        <v>21</v>
      </c>
      <c r="B857" t="s">
        <v>73</v>
      </c>
      <c r="C857"/>
      <c r="D857" t="s">
        <v>111</v>
      </c>
      <c r="E857" t="s">
        <v>2721</v>
      </c>
      <c r="F857" t="s">
        <v>2369</v>
      </c>
      <c r="G857" t="s">
        <v>2370</v>
      </c>
      <c r="H857" t="s">
        <v>0</v>
      </c>
      <c r="I857">
        <v>141.44999999999999</v>
      </c>
      <c r="J857" s="44">
        <f>I857/'enter the discount'!$D$7</f>
        <v>33.109404990403071</v>
      </c>
      <c r="K857" s="44">
        <f>J857*(1-IFERROR(VLOOKUP(H857,'enter the discount'!$D$10:$E$40,2,FALSE),0))</f>
        <v>33.109404990403071</v>
      </c>
      <c r="L857" t="s">
        <v>2549</v>
      </c>
      <c r="M857" t="s">
        <v>2371</v>
      </c>
      <c r="N857" t="s">
        <v>927</v>
      </c>
      <c r="O857" t="s">
        <v>2723</v>
      </c>
      <c r="P857">
        <v>20</v>
      </c>
      <c r="Q857">
        <v>0</v>
      </c>
      <c r="R857" t="s">
        <v>2465</v>
      </c>
      <c r="S857" s="42" t="str">
        <f>HYPERLINK("https://sklep.kobi.pl/produkt/led-play-set-10m")</f>
        <v>https://sklep.kobi.pl/produkt/led-play-set-10m</v>
      </c>
      <c r="T857" s="42" t="str">
        <f>HYPERLINK("https://eprel.ec.europa.eu/qr/NIE DOTYCZY    ")</f>
        <v xml:space="preserve">https://eprel.ec.europa.eu/qr/NIE DOTYCZY    </v>
      </c>
      <c r="U857">
        <v>0.22</v>
      </c>
      <c r="V857">
        <v>0</v>
      </c>
      <c r="W857">
        <v>0</v>
      </c>
      <c r="X857">
        <v>0</v>
      </c>
      <c r="Y857">
        <v>0</v>
      </c>
    </row>
    <row r="858" spans="1:25" ht="15" x14ac:dyDescent="0.25">
      <c r="A858" t="s">
        <v>21</v>
      </c>
      <c r="B858" t="s">
        <v>73</v>
      </c>
      <c r="C858"/>
      <c r="D858" t="s">
        <v>111</v>
      </c>
      <c r="E858" t="s">
        <v>2721</v>
      </c>
      <c r="F858" t="s">
        <v>2372</v>
      </c>
      <c r="G858" t="s">
        <v>2373</v>
      </c>
      <c r="H858" t="s">
        <v>0</v>
      </c>
      <c r="I858">
        <v>185.52</v>
      </c>
      <c r="J858" s="44">
        <f>I858/'enter the discount'!$D$7</f>
        <v>43.424933289640002</v>
      </c>
      <c r="K858" s="44">
        <f>J858*(1-IFERROR(VLOOKUP(H858,'enter the discount'!$D$10:$E$40,2,FALSE),0))</f>
        <v>43.424933289640002</v>
      </c>
      <c r="L858" t="s">
        <v>2549</v>
      </c>
      <c r="M858" t="s">
        <v>2374</v>
      </c>
      <c r="N858" t="s">
        <v>927</v>
      </c>
      <c r="O858" t="s">
        <v>2723</v>
      </c>
      <c r="P858">
        <v>20</v>
      </c>
      <c r="Q858">
        <v>0</v>
      </c>
      <c r="R858" t="s">
        <v>2465</v>
      </c>
      <c r="S858" s="42" t="str">
        <f>HYPERLINK("https://sklep.kobi.pl/produkt/led-play-set-15m")</f>
        <v>https://sklep.kobi.pl/produkt/led-play-set-15m</v>
      </c>
      <c r="T858" s="42" t="str">
        <f>HYPERLINK("https://eprel.ec.europa.eu/qr/NIE DOTYCZY    ")</f>
        <v xml:space="preserve">https://eprel.ec.europa.eu/qr/NIE DOTYCZY    </v>
      </c>
      <c r="U858">
        <v>0.28000000000000003</v>
      </c>
      <c r="V858">
        <v>0</v>
      </c>
      <c r="W858">
        <v>0</v>
      </c>
      <c r="X858">
        <v>0</v>
      </c>
      <c r="Y858">
        <v>0</v>
      </c>
    </row>
    <row r="859" spans="1:25" ht="15" x14ac:dyDescent="0.25">
      <c r="A859" t="s">
        <v>21</v>
      </c>
      <c r="B859" t="s">
        <v>73</v>
      </c>
      <c r="C859"/>
      <c r="D859" t="s">
        <v>111</v>
      </c>
      <c r="E859" t="s">
        <v>2721</v>
      </c>
      <c r="F859" t="s">
        <v>2375</v>
      </c>
      <c r="G859" t="s">
        <v>2376</v>
      </c>
      <c r="H859" t="s">
        <v>0</v>
      </c>
      <c r="I859">
        <v>218.57</v>
      </c>
      <c r="J859" s="44">
        <f>I859/'enter the discount'!$D$7</f>
        <v>51.160994335471187</v>
      </c>
      <c r="K859" s="44">
        <f>J859*(1-IFERROR(VLOOKUP(H859,'enter the discount'!$D$10:$E$40,2,FALSE),0))</f>
        <v>51.160994335471187</v>
      </c>
      <c r="L859" t="s">
        <v>2549</v>
      </c>
      <c r="M859" t="s">
        <v>2377</v>
      </c>
      <c r="N859" t="s">
        <v>927</v>
      </c>
      <c r="O859" t="s">
        <v>2723</v>
      </c>
      <c r="P859">
        <v>20</v>
      </c>
      <c r="Q859">
        <v>0</v>
      </c>
      <c r="R859" t="s">
        <v>2465</v>
      </c>
      <c r="S859" s="42" t="str">
        <f>HYPERLINK("https://sklep.kobi.pl/produkt/led-play-set-20m")</f>
        <v>https://sklep.kobi.pl/produkt/led-play-set-20m</v>
      </c>
      <c r="T859" s="42" t="str">
        <f>HYPERLINK("https://eprel.ec.europa.eu/qr/NIE DOTYCZY    ")</f>
        <v xml:space="preserve">https://eprel.ec.europa.eu/qr/NIE DOTYCZY    </v>
      </c>
      <c r="U859">
        <v>0.31</v>
      </c>
      <c r="V859">
        <v>0</v>
      </c>
      <c r="W859">
        <v>0</v>
      </c>
      <c r="X859">
        <v>0</v>
      </c>
      <c r="Y859">
        <v>0</v>
      </c>
    </row>
    <row r="860" spans="1:25" ht="15" x14ac:dyDescent="0.25">
      <c r="A860" t="s">
        <v>21</v>
      </c>
      <c r="B860" t="s">
        <v>73</v>
      </c>
      <c r="C860"/>
      <c r="D860" t="s">
        <v>111</v>
      </c>
      <c r="E860" t="s">
        <v>2721</v>
      </c>
      <c r="F860" t="s">
        <v>2378</v>
      </c>
      <c r="G860" t="s">
        <v>2379</v>
      </c>
      <c r="H860" t="s">
        <v>0</v>
      </c>
      <c r="I860">
        <v>97.34</v>
      </c>
      <c r="J860" s="44">
        <f>I860/'enter the discount'!$D$7</f>
        <v>22.784513833622025</v>
      </c>
      <c r="K860" s="44">
        <f>J860*(1-IFERROR(VLOOKUP(H860,'enter the discount'!$D$10:$E$40,2,FALSE),0))</f>
        <v>22.784513833622025</v>
      </c>
      <c r="L860" t="s">
        <v>2549</v>
      </c>
      <c r="M860" t="s">
        <v>2380</v>
      </c>
      <c r="N860" t="s">
        <v>927</v>
      </c>
      <c r="O860" t="s">
        <v>2723</v>
      </c>
      <c r="P860">
        <v>20</v>
      </c>
      <c r="Q860">
        <v>0</v>
      </c>
      <c r="R860" t="s">
        <v>2465</v>
      </c>
      <c r="S860" s="42" t="str">
        <f>HYPERLINK("https://sklep.kobi.pl/produkt/led-play-set-5m")</f>
        <v>https://sklep.kobi.pl/produkt/led-play-set-5m</v>
      </c>
      <c r="T860" s="42" t="str">
        <f>HYPERLINK("https://eprel.ec.europa.eu/qr/NIE DOTYCZY    ")</f>
        <v xml:space="preserve">https://eprel.ec.europa.eu/qr/NIE DOTYCZY    </v>
      </c>
      <c r="U860">
        <v>0.19</v>
      </c>
      <c r="V860">
        <v>0</v>
      </c>
      <c r="W860">
        <v>0</v>
      </c>
      <c r="X860">
        <v>0</v>
      </c>
      <c r="Y860">
        <v>0</v>
      </c>
    </row>
    <row r="861" spans="1:25" ht="15" x14ac:dyDescent="0.25">
      <c r="A861" t="s">
        <v>23</v>
      </c>
      <c r="B861"/>
      <c r="C861"/>
      <c r="D861" t="s">
        <v>111</v>
      </c>
      <c r="E861" t="s">
        <v>2721</v>
      </c>
      <c r="F861" t="s">
        <v>2406</v>
      </c>
      <c r="G861" t="s">
        <v>2407</v>
      </c>
      <c r="H861" t="s">
        <v>4</v>
      </c>
      <c r="I861">
        <v>275.19</v>
      </c>
      <c r="J861" s="44">
        <f>I861/'enter the discount'!$D$7</f>
        <v>64.414119189176546</v>
      </c>
      <c r="K861" s="44">
        <f>J861*(1-IFERROR(VLOOKUP(H861,'enter the discount'!$D$10:$E$40,2,FALSE),0))</f>
        <v>64.414119189176546</v>
      </c>
      <c r="L861" t="s">
        <v>2549</v>
      </c>
      <c r="M861" t="s">
        <v>2419</v>
      </c>
      <c r="N861" t="s">
        <v>1454</v>
      </c>
      <c r="O861" t="s">
        <v>2723</v>
      </c>
      <c r="P861">
        <v>10</v>
      </c>
      <c r="Q861">
        <v>0</v>
      </c>
      <c r="R861" t="s">
        <v>2465</v>
      </c>
      <c r="S861" s="42" t="str">
        <f>HYPERLINK("https://sklep.kobi.pl/produkt/led-bloom-20w")</f>
        <v>https://sklep.kobi.pl/produkt/led-bloom-20w</v>
      </c>
      <c r="T861" s="42" t="str">
        <f>HYPERLINK("https://eprel.ec.europa.eu/qr/NIE DOTYCZY    ")</f>
        <v xml:space="preserve">https://eprel.ec.europa.eu/qr/NIE DOTYCZY    </v>
      </c>
      <c r="U861">
        <v>1.34</v>
      </c>
      <c r="V861">
        <v>0</v>
      </c>
      <c r="W861">
        <v>0</v>
      </c>
      <c r="X861">
        <v>0</v>
      </c>
      <c r="Y861">
        <v>0</v>
      </c>
    </row>
    <row r="862" spans="1:25" ht="15" x14ac:dyDescent="0.25">
      <c r="A862" t="s">
        <v>23</v>
      </c>
      <c r="B862"/>
      <c r="C862"/>
      <c r="D862" t="s">
        <v>111</v>
      </c>
      <c r="E862" t="s">
        <v>2721</v>
      </c>
      <c r="F862" t="s">
        <v>2408</v>
      </c>
      <c r="G862" t="s">
        <v>2409</v>
      </c>
      <c r="H862" t="s">
        <v>4</v>
      </c>
      <c r="I862">
        <v>60.58</v>
      </c>
      <c r="J862" s="44">
        <f>I862/'enter the discount'!$D$7</f>
        <v>14.180047750573475</v>
      </c>
      <c r="K862" s="44">
        <f>J862*(1-IFERROR(VLOOKUP(H862,'enter the discount'!$D$10:$E$40,2,FALSE),0))</f>
        <v>14.180047750573475</v>
      </c>
      <c r="L862" t="s">
        <v>2549</v>
      </c>
      <c r="M862" t="s">
        <v>2420</v>
      </c>
      <c r="N862" t="s">
        <v>1454</v>
      </c>
      <c r="O862" t="s">
        <v>2723</v>
      </c>
      <c r="P862">
        <v>20</v>
      </c>
      <c r="Q862">
        <v>0</v>
      </c>
      <c r="R862" t="s">
        <v>2465</v>
      </c>
      <c r="S862" s="42" t="str">
        <f>HYPERLINK("https://sklep.kobi.pl/produkt/led-verdi-5w")</f>
        <v>https://sklep.kobi.pl/produkt/led-verdi-5w</v>
      </c>
      <c r="T862" s="42" t="str">
        <f>HYPERLINK("https://eprel.ec.europa.eu/qr/NIE DOTYCZY    ")</f>
        <v xml:space="preserve">https://eprel.ec.europa.eu/qr/NIE DOTYCZY    </v>
      </c>
      <c r="U862">
        <v>0.14000000000000001</v>
      </c>
      <c r="V862">
        <v>0</v>
      </c>
      <c r="W862">
        <v>0</v>
      </c>
      <c r="X862">
        <v>0</v>
      </c>
      <c r="Y862">
        <v>0</v>
      </c>
    </row>
    <row r="863" spans="1:25" ht="15" x14ac:dyDescent="0.25">
      <c r="A863" t="s">
        <v>23</v>
      </c>
      <c r="B863"/>
      <c r="C863"/>
      <c r="D863" t="s">
        <v>111</v>
      </c>
      <c r="E863" t="s">
        <v>2721</v>
      </c>
      <c r="F863" t="s">
        <v>2410</v>
      </c>
      <c r="G863" t="s">
        <v>2411</v>
      </c>
      <c r="H863" t="s">
        <v>4</v>
      </c>
      <c r="I863">
        <v>82.92</v>
      </c>
      <c r="J863" s="44">
        <f>I863/'enter the discount'!$D$7</f>
        <v>19.409203688965874</v>
      </c>
      <c r="K863" s="44">
        <f>J863*(1-IFERROR(VLOOKUP(H863,'enter the discount'!$D$10:$E$40,2,FALSE),0))</f>
        <v>19.409203688965874</v>
      </c>
      <c r="L863" t="s">
        <v>2549</v>
      </c>
      <c r="M863" t="s">
        <v>2421</v>
      </c>
      <c r="N863" t="s">
        <v>1454</v>
      </c>
      <c r="O863" t="s">
        <v>2723</v>
      </c>
      <c r="P863">
        <v>20</v>
      </c>
      <c r="Q863">
        <v>0</v>
      </c>
      <c r="R863" t="s">
        <v>2465</v>
      </c>
      <c r="S863" s="42" t="str">
        <f>HYPERLINK("https://sklep.kobi.pl/produkt/led-verdi-10w")</f>
        <v>https://sklep.kobi.pl/produkt/led-verdi-10w</v>
      </c>
      <c r="T863" s="42" t="str">
        <f>HYPERLINK("https://eprel.ec.europa.eu/qr/NIE DOTYCZY    ")</f>
        <v xml:space="preserve">https://eprel.ec.europa.eu/qr/NIE DOTYCZY    </v>
      </c>
      <c r="U863">
        <v>0.17</v>
      </c>
      <c r="V863">
        <v>0</v>
      </c>
      <c r="W863">
        <v>0</v>
      </c>
      <c r="X863">
        <v>0</v>
      </c>
      <c r="Y863">
        <v>0</v>
      </c>
    </row>
    <row r="864" spans="1:25" ht="15" x14ac:dyDescent="0.25">
      <c r="A864" t="s">
        <v>23</v>
      </c>
      <c r="B864" t="s">
        <v>40</v>
      </c>
      <c r="C864"/>
      <c r="D864" t="s">
        <v>112</v>
      </c>
      <c r="E864" t="s">
        <v>2721</v>
      </c>
      <c r="F864" t="s">
        <v>2422</v>
      </c>
      <c r="G864" t="s">
        <v>2423</v>
      </c>
      <c r="H864" t="s">
        <v>4</v>
      </c>
      <c r="I864">
        <v>96.6</v>
      </c>
      <c r="J864" s="44">
        <f>I864/'enter the discount'!$D$7</f>
        <v>22.611300969055755</v>
      </c>
      <c r="K864" s="44">
        <f>J864*(1-IFERROR(VLOOKUP(H864,'enter the discount'!$D$10:$E$40,2,FALSE),0))</f>
        <v>22.611300969055755</v>
      </c>
      <c r="L864" t="s">
        <v>2540</v>
      </c>
      <c r="M864" t="s">
        <v>2470</v>
      </c>
      <c r="N864" t="s">
        <v>1454</v>
      </c>
      <c r="O864" t="s">
        <v>2723</v>
      </c>
      <c r="P864">
        <v>16</v>
      </c>
      <c r="Q864">
        <v>0</v>
      </c>
      <c r="R864" t="s">
        <v>2465</v>
      </c>
      <c r="S864" s="42" t="str">
        <f>HYPERLINK("https://sklep.kobi.pl/produkt/led-tenuix-14w")</f>
        <v>https://sklep.kobi.pl/produkt/led-tenuix-14w</v>
      </c>
      <c r="T864" s="42" t="str">
        <f>HYPERLINK("https://eprel.ec.europa.eu/qr/2077025        ")</f>
        <v xml:space="preserve">https://eprel.ec.europa.eu/qr/2077025        </v>
      </c>
      <c r="U864">
        <v>1.57</v>
      </c>
      <c r="V864">
        <v>0</v>
      </c>
      <c r="W864">
        <v>330</v>
      </c>
      <c r="X864">
        <v>330</v>
      </c>
      <c r="Y864">
        <v>165</v>
      </c>
    </row>
    <row r="865" spans="1:25" ht="15" x14ac:dyDescent="0.25">
      <c r="A865" t="s">
        <v>23</v>
      </c>
      <c r="B865" t="s">
        <v>40</v>
      </c>
      <c r="C865"/>
      <c r="D865" t="s">
        <v>112</v>
      </c>
      <c r="E865" t="s">
        <v>2721</v>
      </c>
      <c r="F865" t="s">
        <v>2424</v>
      </c>
      <c r="G865" t="s">
        <v>2425</v>
      </c>
      <c r="H865" t="s">
        <v>4</v>
      </c>
      <c r="I865">
        <v>149.19999999999999</v>
      </c>
      <c r="J865" s="44">
        <f>I865/'enter the discount'!$D$7</f>
        <v>34.923458639576801</v>
      </c>
      <c r="K865" s="44">
        <f>J865*(1-IFERROR(VLOOKUP(H865,'enter the discount'!$D$10:$E$40,2,FALSE),0))</f>
        <v>34.923458639576801</v>
      </c>
      <c r="L865" t="s">
        <v>2540</v>
      </c>
      <c r="M865" t="s">
        <v>2471</v>
      </c>
      <c r="N865" t="s">
        <v>1454</v>
      </c>
      <c r="O865" t="s">
        <v>2723</v>
      </c>
      <c r="P865">
        <v>16</v>
      </c>
      <c r="Q865">
        <v>0</v>
      </c>
      <c r="R865" t="s">
        <v>2465</v>
      </c>
      <c r="S865" s="42" t="str">
        <f>HYPERLINK("https://sklep.kobi.pl/produkt/led-tenuix-duo-28w")</f>
        <v>https://sklep.kobi.pl/produkt/led-tenuix-duo-28w</v>
      </c>
      <c r="T865" s="42" t="str">
        <f>HYPERLINK("https://eprel.ec.europa.eu/qr/2077037        ")</f>
        <v xml:space="preserve">https://eprel.ec.europa.eu/qr/2077037        </v>
      </c>
      <c r="U865">
        <v>0.77</v>
      </c>
      <c r="V865">
        <v>0</v>
      </c>
      <c r="W865">
        <v>330</v>
      </c>
      <c r="X865">
        <v>330</v>
      </c>
      <c r="Y865">
        <v>165</v>
      </c>
    </row>
    <row r="866" spans="1:25" ht="15" x14ac:dyDescent="0.25">
      <c r="A866" t="s">
        <v>23</v>
      </c>
      <c r="B866" t="s">
        <v>40</v>
      </c>
      <c r="C866"/>
      <c r="D866" t="s">
        <v>112</v>
      </c>
      <c r="E866" t="s">
        <v>2721</v>
      </c>
      <c r="F866" t="s">
        <v>2426</v>
      </c>
      <c r="G866" t="s">
        <v>2427</v>
      </c>
      <c r="H866" t="s">
        <v>4</v>
      </c>
      <c r="I866">
        <v>63.13</v>
      </c>
      <c r="J866" s="44">
        <f>I866/'enter the discount'!$D$7</f>
        <v>14.776929919011284</v>
      </c>
      <c r="K866" s="44">
        <f>J866*(1-IFERROR(VLOOKUP(H866,'enter the discount'!$D$10:$E$40,2,FALSE),0))</f>
        <v>14.776929919011284</v>
      </c>
      <c r="L866" t="s">
        <v>2549</v>
      </c>
      <c r="M866" t="s">
        <v>2472</v>
      </c>
      <c r="N866" t="s">
        <v>937</v>
      </c>
      <c r="O866" t="s">
        <v>2723</v>
      </c>
      <c r="P866">
        <v>12</v>
      </c>
      <c r="Q866">
        <v>0</v>
      </c>
      <c r="R866" t="s">
        <v>2465</v>
      </c>
      <c r="S866" s="42" t="str">
        <f>HYPERLINK("https://sklep.kobi.pl/produkt/auriq-black")</f>
        <v>https://sklep.kobi.pl/produkt/auriq-black</v>
      </c>
      <c r="T866" s="42" t="str">
        <f>HYPERLINK("https://eprel.ec.europa.eu/qr/NIE DOTYCZY    ")</f>
        <v xml:space="preserve">https://eprel.ec.europa.eu/qr/NIE DOTYCZY    </v>
      </c>
      <c r="U866">
        <v>1.26</v>
      </c>
      <c r="V866">
        <v>0</v>
      </c>
      <c r="W866">
        <v>330</v>
      </c>
      <c r="X866">
        <v>330</v>
      </c>
      <c r="Y866">
        <v>165</v>
      </c>
    </row>
    <row r="867" spans="1:25" ht="15" x14ac:dyDescent="0.25">
      <c r="A867" t="s">
        <v>23</v>
      </c>
      <c r="B867" t="s">
        <v>40</v>
      </c>
      <c r="C867"/>
      <c r="D867" t="s">
        <v>112</v>
      </c>
      <c r="E867" t="s">
        <v>2721</v>
      </c>
      <c r="F867" t="s">
        <v>2428</v>
      </c>
      <c r="G867" t="s">
        <v>2429</v>
      </c>
      <c r="H867" t="s">
        <v>4</v>
      </c>
      <c r="I867">
        <v>63.13</v>
      </c>
      <c r="J867" s="44">
        <f>I867/'enter the discount'!$D$7</f>
        <v>14.776929919011284</v>
      </c>
      <c r="K867" s="44">
        <f>J867*(1-IFERROR(VLOOKUP(H867,'enter the discount'!$D$10:$E$40,2,FALSE),0))</f>
        <v>14.776929919011284</v>
      </c>
      <c r="L867" t="s">
        <v>2549</v>
      </c>
      <c r="M867" t="s">
        <v>2473</v>
      </c>
      <c r="N867" t="s">
        <v>937</v>
      </c>
      <c r="O867" t="s">
        <v>2723</v>
      </c>
      <c r="P867">
        <v>12</v>
      </c>
      <c r="Q867">
        <v>0</v>
      </c>
      <c r="R867" t="s">
        <v>2465</v>
      </c>
      <c r="S867" s="42" t="str">
        <f>HYPERLINK("https://sklep.kobi.pl/produkt/auriq-white")</f>
        <v>https://sklep.kobi.pl/produkt/auriq-white</v>
      </c>
      <c r="T867" s="42" t="str">
        <f>HYPERLINK("https://eprel.ec.europa.eu/qr/NIE DOTYCZY    ")</f>
        <v xml:space="preserve">https://eprel.ec.europa.eu/qr/NIE DOTYCZY    </v>
      </c>
      <c r="U867">
        <v>1.26</v>
      </c>
      <c r="V867">
        <v>0</v>
      </c>
      <c r="W867">
        <v>330</v>
      </c>
      <c r="X867">
        <v>330</v>
      </c>
      <c r="Y867">
        <v>165</v>
      </c>
    </row>
    <row r="868" spans="1:25" ht="15" x14ac:dyDescent="0.25">
      <c r="A868" t="s">
        <v>23</v>
      </c>
      <c r="B868" t="s">
        <v>40</v>
      </c>
      <c r="C868"/>
      <c r="D868" t="s">
        <v>112</v>
      </c>
      <c r="E868" t="s">
        <v>2721</v>
      </c>
      <c r="F868" t="s">
        <v>2430</v>
      </c>
      <c r="G868" t="s">
        <v>2431</v>
      </c>
      <c r="H868" t="s">
        <v>4</v>
      </c>
      <c r="I868">
        <v>117.5</v>
      </c>
      <c r="J868" s="44">
        <f>I868/'enter the discount'!$D$7</f>
        <v>27.503394035859746</v>
      </c>
      <c r="K868" s="44">
        <f>J868*(1-IFERROR(VLOOKUP(H868,'enter the discount'!$D$10:$E$40,2,FALSE),0))</f>
        <v>27.503394035859746</v>
      </c>
      <c r="L868" t="s">
        <v>2549</v>
      </c>
      <c r="M868" t="s">
        <v>2474</v>
      </c>
      <c r="N868" t="s">
        <v>937</v>
      </c>
      <c r="O868" t="s">
        <v>2723</v>
      </c>
      <c r="P868">
        <v>5</v>
      </c>
      <c r="Q868">
        <v>0</v>
      </c>
      <c r="R868" t="s">
        <v>2465</v>
      </c>
      <c r="S868" s="42" t="str">
        <f>HYPERLINK("https://sklep.kobi.pl/produkt/auriq-st-black")</f>
        <v>https://sklep.kobi.pl/produkt/auriq-st-black</v>
      </c>
      <c r="T868" s="42" t="str">
        <f>HYPERLINK("https://eprel.ec.europa.eu/qr/NIE DOTYCZY    ")</f>
        <v xml:space="preserve">https://eprel.ec.europa.eu/qr/NIE DOTYCZY    </v>
      </c>
      <c r="U868">
        <v>4.74</v>
      </c>
      <c r="V868">
        <v>0</v>
      </c>
      <c r="W868">
        <v>0</v>
      </c>
      <c r="X868">
        <v>0</v>
      </c>
      <c r="Y868">
        <v>0</v>
      </c>
    </row>
    <row r="869" spans="1:25" ht="15" x14ac:dyDescent="0.25">
      <c r="A869" t="s">
        <v>23</v>
      </c>
      <c r="B869" t="s">
        <v>40</v>
      </c>
      <c r="C869"/>
      <c r="D869" t="s">
        <v>112</v>
      </c>
      <c r="E869" t="s">
        <v>2721</v>
      </c>
      <c r="F869" t="s">
        <v>2432</v>
      </c>
      <c r="G869" t="s">
        <v>2433</v>
      </c>
      <c r="H869" t="s">
        <v>4</v>
      </c>
      <c r="I869">
        <v>211.9</v>
      </c>
      <c r="J869" s="44">
        <f>I869/'enter the discount'!$D$7</f>
        <v>49.599737839988769</v>
      </c>
      <c r="K869" s="44">
        <f>J869*(1-IFERROR(VLOOKUP(H869,'enter the discount'!$D$10:$E$40,2,FALSE),0))</f>
        <v>49.599737839988769</v>
      </c>
      <c r="L869" t="s">
        <v>2542</v>
      </c>
      <c r="M869" t="s">
        <v>2475</v>
      </c>
      <c r="N869" t="s">
        <v>1454</v>
      </c>
      <c r="O869" t="s">
        <v>2723</v>
      </c>
      <c r="P869">
        <v>18</v>
      </c>
      <c r="Q869">
        <v>0</v>
      </c>
      <c r="R869" t="s">
        <v>2465</v>
      </c>
      <c r="S869" s="42" t="str">
        <f>HYPERLINK("https://sklep.kobi.pl/produkt/led-noblite-7w-black")</f>
        <v>https://sklep.kobi.pl/produkt/led-noblite-7w-black</v>
      </c>
      <c r="T869" s="42" t="str">
        <f>HYPERLINK("https://eprel.ec.europa.eu/qr/2076933        ")</f>
        <v xml:space="preserve">https://eprel.ec.europa.eu/qr/2076933        </v>
      </c>
      <c r="U869">
        <v>0.59</v>
      </c>
      <c r="V869">
        <v>0</v>
      </c>
      <c r="W869">
        <v>0</v>
      </c>
      <c r="X869">
        <v>0</v>
      </c>
      <c r="Y869">
        <v>0</v>
      </c>
    </row>
    <row r="870" spans="1:25" ht="15" x14ac:dyDescent="0.25">
      <c r="A870" t="s">
        <v>23</v>
      </c>
      <c r="B870" t="s">
        <v>40</v>
      </c>
      <c r="C870"/>
      <c r="D870" t="s">
        <v>112</v>
      </c>
      <c r="E870" t="s">
        <v>2721</v>
      </c>
      <c r="F870" t="s">
        <v>2434</v>
      </c>
      <c r="G870" t="s">
        <v>2435</v>
      </c>
      <c r="H870" t="s">
        <v>4</v>
      </c>
      <c r="I870">
        <v>211.9</v>
      </c>
      <c r="J870" s="44">
        <f>I870/'enter the discount'!$D$7</f>
        <v>49.599737839988769</v>
      </c>
      <c r="K870" s="44">
        <f>J870*(1-IFERROR(VLOOKUP(H870,'enter the discount'!$D$10:$E$40,2,FALSE),0))</f>
        <v>49.599737839988769</v>
      </c>
      <c r="L870" t="s">
        <v>2542</v>
      </c>
      <c r="M870" t="s">
        <v>2476</v>
      </c>
      <c r="N870" t="s">
        <v>1454</v>
      </c>
      <c r="O870" t="s">
        <v>2723</v>
      </c>
      <c r="P870">
        <v>18</v>
      </c>
      <c r="Q870">
        <v>0</v>
      </c>
      <c r="R870" t="s">
        <v>2465</v>
      </c>
      <c r="S870" s="42" t="str">
        <f>HYPERLINK("https://sklep.kobi.pl/produkt/led-noblite-7w-white")</f>
        <v>https://sklep.kobi.pl/produkt/led-noblite-7w-white</v>
      </c>
      <c r="T870" s="42" t="str">
        <f>HYPERLINK("https://eprel.ec.europa.eu/qr/2076933        ")</f>
        <v xml:space="preserve">https://eprel.ec.europa.eu/qr/2076933        </v>
      </c>
      <c r="U870">
        <v>0.59</v>
      </c>
      <c r="V870">
        <v>0</v>
      </c>
      <c r="W870">
        <v>0</v>
      </c>
      <c r="X870">
        <v>0</v>
      </c>
      <c r="Y870">
        <v>0</v>
      </c>
    </row>
    <row r="871" spans="1:25" ht="15" x14ac:dyDescent="0.25">
      <c r="A871" t="s">
        <v>21</v>
      </c>
      <c r="B871" t="s">
        <v>73</v>
      </c>
      <c r="C871"/>
      <c r="D871" t="s">
        <v>111</v>
      </c>
      <c r="E871" t="s">
        <v>2721</v>
      </c>
      <c r="F871" t="s">
        <v>2436</v>
      </c>
      <c r="G871" t="s">
        <v>2437</v>
      </c>
      <c r="H871" t="s">
        <v>4</v>
      </c>
      <c r="I871">
        <v>170.38</v>
      </c>
      <c r="J871" s="44">
        <f>I871/'enter the discount'!$D$7</f>
        <v>39.881091709189647</v>
      </c>
      <c r="K871" s="44">
        <f>J871*(1-IFERROR(VLOOKUP(H871,'enter the discount'!$D$10:$E$40,2,FALSE),0))</f>
        <v>39.881091709189647</v>
      </c>
      <c r="L871" t="s">
        <v>2549</v>
      </c>
      <c r="M871" t="s">
        <v>2477</v>
      </c>
      <c r="N871" t="s">
        <v>2478</v>
      </c>
      <c r="O871" t="s">
        <v>2723</v>
      </c>
      <c r="P871">
        <v>20</v>
      </c>
      <c r="Q871">
        <v>0</v>
      </c>
      <c r="R871" t="s">
        <v>14</v>
      </c>
      <c r="S871"/>
      <c r="T871" s="42" t="str">
        <f>HYPERLINK("https://eprel.ec.europa.eu/qr/NIE DOTYCZY    ")</f>
        <v xml:space="preserve">https://eprel.ec.europa.eu/qr/NIE DOTYCZY    </v>
      </c>
      <c r="U871">
        <v>0.64</v>
      </c>
      <c r="V871">
        <v>0</v>
      </c>
      <c r="W871">
        <v>0</v>
      </c>
      <c r="X871">
        <v>0</v>
      </c>
      <c r="Y871">
        <v>0</v>
      </c>
    </row>
    <row r="872" spans="1:25" ht="15" x14ac:dyDescent="0.25">
      <c r="A872" t="s">
        <v>23</v>
      </c>
      <c r="B872" t="s">
        <v>40</v>
      </c>
      <c r="C872"/>
      <c r="D872" t="s">
        <v>112</v>
      </c>
      <c r="E872" t="s">
        <v>2721</v>
      </c>
      <c r="F872" t="s">
        <v>2438</v>
      </c>
      <c r="G872" t="s">
        <v>2439</v>
      </c>
      <c r="H872" t="s">
        <v>4</v>
      </c>
      <c r="I872">
        <v>44.88</v>
      </c>
      <c r="J872" s="44">
        <f>I872/'enter the discount'!$D$7</f>
        <v>10.505126164505409</v>
      </c>
      <c r="K872" s="44">
        <f>J872*(1-IFERROR(VLOOKUP(H872,'enter the discount'!$D$10:$E$40,2,FALSE),0))</f>
        <v>10.505126164505409</v>
      </c>
      <c r="L872" t="s">
        <v>2549</v>
      </c>
      <c r="M872" t="s">
        <v>2479</v>
      </c>
      <c r="N872" t="s">
        <v>1454</v>
      </c>
      <c r="O872" t="s">
        <v>2723</v>
      </c>
      <c r="P872">
        <v>60</v>
      </c>
      <c r="Q872">
        <v>0</v>
      </c>
      <c r="R872" t="s">
        <v>2465</v>
      </c>
      <c r="S872" s="42" t="str">
        <f>HYPERLINK("https://sklep.kobi.pl/produkt/led-visua-desk-5w-black")</f>
        <v>https://sklep.kobi.pl/produkt/led-visua-desk-5w-black</v>
      </c>
      <c r="T872" s="42" t="str">
        <f>HYPERLINK("https://eprel.ec.europa.eu/qr/NIE DOTYCZY    ")</f>
        <v xml:space="preserve">https://eprel.ec.europa.eu/qr/NIE DOTYCZY    </v>
      </c>
      <c r="U872">
        <v>0.26</v>
      </c>
      <c r="V872">
        <v>0</v>
      </c>
      <c r="W872">
        <v>90</v>
      </c>
      <c r="X872">
        <v>90</v>
      </c>
      <c r="Y872">
        <v>100</v>
      </c>
    </row>
    <row r="873" spans="1:25" ht="15" x14ac:dyDescent="0.25">
      <c r="A873" t="s">
        <v>23</v>
      </c>
      <c r="B873" t="s">
        <v>40</v>
      </c>
      <c r="C873"/>
      <c r="D873" t="s">
        <v>112</v>
      </c>
      <c r="E873" t="s">
        <v>2721</v>
      </c>
      <c r="F873" t="s">
        <v>2440</v>
      </c>
      <c r="G873" t="s">
        <v>2441</v>
      </c>
      <c r="H873" t="s">
        <v>4</v>
      </c>
      <c r="I873">
        <v>44.88</v>
      </c>
      <c r="J873" s="44">
        <f>I873/'enter the discount'!$D$7</f>
        <v>10.505126164505409</v>
      </c>
      <c r="K873" s="44">
        <f>J873*(1-IFERROR(VLOOKUP(H873,'enter the discount'!$D$10:$E$40,2,FALSE),0))</f>
        <v>10.505126164505409</v>
      </c>
      <c r="L873" t="s">
        <v>2549</v>
      </c>
      <c r="M873" t="s">
        <v>2480</v>
      </c>
      <c r="N873" t="s">
        <v>1454</v>
      </c>
      <c r="O873" t="s">
        <v>2723</v>
      </c>
      <c r="P873">
        <v>60</v>
      </c>
      <c r="Q873">
        <v>0</v>
      </c>
      <c r="R873" t="s">
        <v>2465</v>
      </c>
      <c r="S873" s="42" t="str">
        <f>HYPERLINK("https://sklep.kobi.pl/produkt/led-visua-desk-5w-white")</f>
        <v>https://sklep.kobi.pl/produkt/led-visua-desk-5w-white</v>
      </c>
      <c r="T873" s="42" t="str">
        <f>HYPERLINK("https://eprel.ec.europa.eu/qr/NIE DOTYCZY    ")</f>
        <v xml:space="preserve">https://eprel.ec.europa.eu/qr/NIE DOTYCZY    </v>
      </c>
      <c r="U873">
        <v>0.26</v>
      </c>
      <c r="V873">
        <v>0</v>
      </c>
      <c r="W873">
        <v>90</v>
      </c>
      <c r="X873">
        <v>90</v>
      </c>
      <c r="Y873">
        <v>100</v>
      </c>
    </row>
    <row r="874" spans="1:25" ht="15" x14ac:dyDescent="0.25">
      <c r="A874" t="s">
        <v>23</v>
      </c>
      <c r="B874" t="s">
        <v>40</v>
      </c>
      <c r="C874"/>
      <c r="D874" t="s">
        <v>112</v>
      </c>
      <c r="E874" t="s">
        <v>2721</v>
      </c>
      <c r="F874" t="s">
        <v>2442</v>
      </c>
      <c r="G874" t="s">
        <v>2443</v>
      </c>
      <c r="H874" t="s">
        <v>4</v>
      </c>
      <c r="I874">
        <v>44.88</v>
      </c>
      <c r="J874" s="44">
        <f>I874/'enter the discount'!$D$7</f>
        <v>10.505126164505409</v>
      </c>
      <c r="K874" s="44">
        <f>J874*(1-IFERROR(VLOOKUP(H874,'enter the discount'!$D$10:$E$40,2,FALSE),0))</f>
        <v>10.505126164505409</v>
      </c>
      <c r="L874" t="s">
        <v>2549</v>
      </c>
      <c r="M874" t="s">
        <v>2481</v>
      </c>
      <c r="N874" t="s">
        <v>1454</v>
      </c>
      <c r="O874" t="s">
        <v>2723</v>
      </c>
      <c r="P874">
        <v>60</v>
      </c>
      <c r="Q874">
        <v>0</v>
      </c>
      <c r="R874" t="s">
        <v>2465</v>
      </c>
      <c r="S874" s="42" t="str">
        <f>HYPERLINK("https://sklep.kobi.pl/produkt/led-visua-desk-5w-grey")</f>
        <v>https://sklep.kobi.pl/produkt/led-visua-desk-5w-grey</v>
      </c>
      <c r="T874" s="42" t="str">
        <f>HYPERLINK("https://eprel.ec.europa.eu/qr/NIE DOTYCZY    ")</f>
        <v xml:space="preserve">https://eprel.ec.europa.eu/qr/NIE DOTYCZY    </v>
      </c>
      <c r="U874">
        <v>0.26</v>
      </c>
      <c r="V874">
        <v>0</v>
      </c>
      <c r="W874">
        <v>90</v>
      </c>
      <c r="X874">
        <v>90</v>
      </c>
      <c r="Y874">
        <v>100</v>
      </c>
    </row>
    <row r="875" spans="1:25" ht="15" x14ac:dyDescent="0.25">
      <c r="A875" t="s">
        <v>23</v>
      </c>
      <c r="B875" t="s">
        <v>40</v>
      </c>
      <c r="C875"/>
      <c r="D875" t="s">
        <v>112</v>
      </c>
      <c r="E875" t="s">
        <v>2721</v>
      </c>
      <c r="F875" t="s">
        <v>2444</v>
      </c>
      <c r="G875" t="s">
        <v>2445</v>
      </c>
      <c r="H875" t="s">
        <v>4</v>
      </c>
      <c r="I875">
        <v>44.88</v>
      </c>
      <c r="J875" s="44">
        <f>I875/'enter the discount'!$D$7</f>
        <v>10.505126164505409</v>
      </c>
      <c r="K875" s="44">
        <f>J875*(1-IFERROR(VLOOKUP(H875,'enter the discount'!$D$10:$E$40,2,FALSE),0))</f>
        <v>10.505126164505409</v>
      </c>
      <c r="L875" t="s">
        <v>2549</v>
      </c>
      <c r="M875" t="s">
        <v>2482</v>
      </c>
      <c r="N875" t="s">
        <v>1454</v>
      </c>
      <c r="O875" t="s">
        <v>2723</v>
      </c>
      <c r="P875">
        <v>60</v>
      </c>
      <c r="Q875">
        <v>0</v>
      </c>
      <c r="R875" t="s">
        <v>2465</v>
      </c>
      <c r="S875" s="42" t="str">
        <f>HYPERLINK("https://sklep.kobi.pl/produkt/led-visua-desk-5w-pink")</f>
        <v>https://sklep.kobi.pl/produkt/led-visua-desk-5w-pink</v>
      </c>
      <c r="T875" s="42" t="str">
        <f>HYPERLINK("https://eprel.ec.europa.eu/qr/NIE DOTYCZY    ")</f>
        <v xml:space="preserve">https://eprel.ec.europa.eu/qr/NIE DOTYCZY    </v>
      </c>
      <c r="U875">
        <v>0.26</v>
      </c>
      <c r="V875">
        <v>0</v>
      </c>
      <c r="W875">
        <v>90</v>
      </c>
      <c r="X875">
        <v>90</v>
      </c>
      <c r="Y875">
        <v>100</v>
      </c>
    </row>
    <row r="876" spans="1:25" ht="15" x14ac:dyDescent="0.25">
      <c r="A876" t="s">
        <v>23</v>
      </c>
      <c r="B876"/>
      <c r="C876"/>
      <c r="D876" t="s">
        <v>111</v>
      </c>
      <c r="E876" t="s">
        <v>2721</v>
      </c>
      <c r="F876" t="s">
        <v>2446</v>
      </c>
      <c r="G876" t="s">
        <v>2447</v>
      </c>
      <c r="H876" t="s">
        <v>4</v>
      </c>
      <c r="I876">
        <v>129</v>
      </c>
      <c r="J876" s="44">
        <f>I876/'enter the discount'!$D$7</f>
        <v>30.195215579794954</v>
      </c>
      <c r="K876" s="44">
        <f>J876*(1-IFERROR(VLOOKUP(H876,'enter the discount'!$D$10:$E$40,2,FALSE),0))</f>
        <v>30.195215579794954</v>
      </c>
      <c r="L876" t="s">
        <v>2544</v>
      </c>
      <c r="M876" t="s">
        <v>2483</v>
      </c>
      <c r="N876" t="s">
        <v>937</v>
      </c>
      <c r="O876" t="s">
        <v>2723</v>
      </c>
      <c r="P876">
        <v>20</v>
      </c>
      <c r="Q876">
        <v>0</v>
      </c>
      <c r="R876" t="s">
        <v>2465</v>
      </c>
      <c r="S876" s="42" t="str">
        <f>HYPERLINK("https://sklep.kobi.pl/produkt/led-lume-iq-5w")</f>
        <v>https://sklep.kobi.pl/produkt/led-lume-iq-5w</v>
      </c>
      <c r="T876" t="s">
        <v>14</v>
      </c>
      <c r="U876">
        <v>0.5</v>
      </c>
      <c r="V876">
        <v>0</v>
      </c>
      <c r="W876"/>
      <c r="X876"/>
      <c r="Y876"/>
    </row>
    <row r="877" spans="1:25" ht="15" x14ac:dyDescent="0.25">
      <c r="A877" t="s">
        <v>23</v>
      </c>
      <c r="B877" t="s">
        <v>2448</v>
      </c>
      <c r="C877"/>
      <c r="D877" t="s">
        <v>111</v>
      </c>
      <c r="E877" t="s">
        <v>2721</v>
      </c>
      <c r="F877" t="s">
        <v>2449</v>
      </c>
      <c r="G877" t="s">
        <v>2450</v>
      </c>
      <c r="H877" t="s">
        <v>2123</v>
      </c>
      <c r="I877">
        <v>109.84</v>
      </c>
      <c r="J877" s="44">
        <f>I877/'enter the discount'!$D$7</f>
        <v>25.710406816160294</v>
      </c>
      <c r="K877" s="44">
        <f>J877*(1-IFERROR(VLOOKUP(H877,'enter the discount'!$D$10:$E$40,2,FALSE),0))</f>
        <v>25.710406816160294</v>
      </c>
      <c r="L877" t="s">
        <v>2540</v>
      </c>
      <c r="M877" t="s">
        <v>2484</v>
      </c>
      <c r="N877" t="s">
        <v>936</v>
      </c>
      <c r="O877" t="s">
        <v>2723</v>
      </c>
      <c r="P877">
        <v>20</v>
      </c>
      <c r="Q877">
        <v>0</v>
      </c>
      <c r="R877" t="s">
        <v>2465</v>
      </c>
      <c r="S877" s="42" t="str">
        <f>HYPERLINK("https://sklep.kobi.pl/produkt/led-lumireflect-8w")</f>
        <v>https://sklep.kobi.pl/produkt/led-lumireflect-8w</v>
      </c>
      <c r="T877" t="s">
        <v>14</v>
      </c>
      <c r="U877">
        <v>0.27</v>
      </c>
      <c r="V877">
        <v>0</v>
      </c>
      <c r="W877">
        <v>0</v>
      </c>
      <c r="X877">
        <v>0</v>
      </c>
      <c r="Y877">
        <v>0</v>
      </c>
    </row>
    <row r="878" spans="1:25" ht="15" x14ac:dyDescent="0.25">
      <c r="A878" t="s">
        <v>23</v>
      </c>
      <c r="B878" t="s">
        <v>2448</v>
      </c>
      <c r="C878"/>
      <c r="D878" t="s">
        <v>111</v>
      </c>
      <c r="E878" t="s">
        <v>2721</v>
      </c>
      <c r="F878" t="s">
        <v>2451</v>
      </c>
      <c r="G878" t="s">
        <v>2452</v>
      </c>
      <c r="H878" t="s">
        <v>2123</v>
      </c>
      <c r="I878">
        <v>111.27</v>
      </c>
      <c r="J878" s="44">
        <f>I878/'enter the discount'!$D$7</f>
        <v>26.045128973362672</v>
      </c>
      <c r="K878" s="44">
        <f>J878*(1-IFERROR(VLOOKUP(H878,'enter the discount'!$D$10:$E$40,2,FALSE),0))</f>
        <v>26.045128973362672</v>
      </c>
      <c r="L878" t="s">
        <v>2540</v>
      </c>
      <c r="M878" t="s">
        <v>2485</v>
      </c>
      <c r="N878" t="s">
        <v>936</v>
      </c>
      <c r="O878" t="s">
        <v>2723</v>
      </c>
      <c r="P878">
        <v>20</v>
      </c>
      <c r="Q878">
        <v>0</v>
      </c>
      <c r="R878" t="s">
        <v>2465</v>
      </c>
      <c r="S878" s="42" t="str">
        <f>HYPERLINK("https://sklep.kobi.pl/produkt/led-lumireflect-10w")</f>
        <v>https://sklep.kobi.pl/produkt/led-lumireflect-10w</v>
      </c>
      <c r="T878" t="s">
        <v>14</v>
      </c>
      <c r="U878">
        <v>0.28999999999999998</v>
      </c>
      <c r="V878">
        <v>0</v>
      </c>
      <c r="W878">
        <v>0</v>
      </c>
      <c r="X878">
        <v>0</v>
      </c>
      <c r="Y878">
        <v>0</v>
      </c>
    </row>
    <row r="879" spans="1:25" ht="15" x14ac:dyDescent="0.25">
      <c r="A879" t="s">
        <v>23</v>
      </c>
      <c r="B879" t="s">
        <v>2448</v>
      </c>
      <c r="C879"/>
      <c r="D879" t="s">
        <v>111</v>
      </c>
      <c r="E879" t="s">
        <v>2721</v>
      </c>
      <c r="F879" t="s">
        <v>2453</v>
      </c>
      <c r="G879" t="s">
        <v>2454</v>
      </c>
      <c r="H879" t="s">
        <v>2123</v>
      </c>
      <c r="I879">
        <v>121.72</v>
      </c>
      <c r="J879" s="44">
        <f>I879/'enter the discount'!$D$7</f>
        <v>28.491175506764666</v>
      </c>
      <c r="K879" s="44">
        <f>J879*(1-IFERROR(VLOOKUP(H879,'enter the discount'!$D$10:$E$40,2,FALSE),0))</f>
        <v>28.491175506764666</v>
      </c>
      <c r="L879" t="s">
        <v>2540</v>
      </c>
      <c r="M879" t="s">
        <v>2486</v>
      </c>
      <c r="N879" t="s">
        <v>936</v>
      </c>
      <c r="O879" t="s">
        <v>2723</v>
      </c>
      <c r="P879">
        <v>20</v>
      </c>
      <c r="Q879">
        <v>0</v>
      </c>
      <c r="R879" t="s">
        <v>2465</v>
      </c>
      <c r="S879" s="42" t="str">
        <f>HYPERLINK("https://sklep.kobi.pl/produkt/led-lumireflect-12w")</f>
        <v>https://sklep.kobi.pl/produkt/led-lumireflect-12w</v>
      </c>
      <c r="T879" t="s">
        <v>14</v>
      </c>
      <c r="U879">
        <v>0.31</v>
      </c>
      <c r="V879">
        <v>0</v>
      </c>
      <c r="W879">
        <v>0</v>
      </c>
      <c r="X879">
        <v>0</v>
      </c>
      <c r="Y879">
        <v>0</v>
      </c>
    </row>
    <row r="880" spans="1:25" ht="15" x14ac:dyDescent="0.25">
      <c r="A880" t="s">
        <v>24</v>
      </c>
      <c r="B880"/>
      <c r="C880"/>
      <c r="D880" t="s">
        <v>112</v>
      </c>
      <c r="E880" t="s">
        <v>2721</v>
      </c>
      <c r="F880" t="s">
        <v>2455</v>
      </c>
      <c r="G880" t="s">
        <v>2456</v>
      </c>
      <c r="H880" t="s">
        <v>852</v>
      </c>
      <c r="I880">
        <v>84.79</v>
      </c>
      <c r="J880" s="44">
        <f>I880/'enter the discount'!$D$7</f>
        <v>19.846917279153601</v>
      </c>
      <c r="K880" s="44">
        <f>J880*(1-IFERROR(VLOOKUP(H880,'enter the discount'!$D$10:$E$40,2,FALSE),0))</f>
        <v>19.846917279153601</v>
      </c>
      <c r="L880" t="s">
        <v>2549</v>
      </c>
      <c r="M880" t="s">
        <v>2487</v>
      </c>
      <c r="N880" t="s">
        <v>927</v>
      </c>
      <c r="O880" t="s">
        <v>2723</v>
      </c>
      <c r="P880">
        <v>48</v>
      </c>
      <c r="Q880">
        <v>0</v>
      </c>
      <c r="R880" t="s">
        <v>2465</v>
      </c>
      <c r="S880" s="42" t="str">
        <f>HYPERLINK("https://sklep.kobi.pl/produkt/led-x-mpr-5w-led2b")</f>
        <v>https://sklep.kobi.pl/produkt/led-x-mpr-5w-led2b</v>
      </c>
      <c r="T880" s="42" t="str">
        <f>HYPERLINK("https://eprel.ec.europa.eu/qr/NIE DOTYCZY    ")</f>
        <v xml:space="preserve">https://eprel.ec.europa.eu/qr/NIE DOTYCZY    </v>
      </c>
      <c r="U880">
        <v>0.2</v>
      </c>
      <c r="V880">
        <v>0</v>
      </c>
      <c r="W880">
        <v>0</v>
      </c>
      <c r="X880">
        <v>0</v>
      </c>
      <c r="Y880">
        <v>0</v>
      </c>
    </row>
    <row r="881" spans="1:25" ht="15" x14ac:dyDescent="0.25">
      <c r="A881" t="s">
        <v>24</v>
      </c>
      <c r="B881"/>
      <c r="C881"/>
      <c r="D881" t="s">
        <v>112</v>
      </c>
      <c r="E881" t="s">
        <v>2721</v>
      </c>
      <c r="F881" t="s">
        <v>2457</v>
      </c>
      <c r="G881" t="s">
        <v>2458</v>
      </c>
      <c r="H881" t="s">
        <v>852</v>
      </c>
      <c r="I881">
        <v>28.47</v>
      </c>
      <c r="J881" s="44">
        <f>I881/'enter the discount'!$D$7</f>
        <v>6.6640138570291656</v>
      </c>
      <c r="K881" s="44">
        <f>J881*(1-IFERROR(VLOOKUP(H881,'enter the discount'!$D$10:$E$40,2,FALSE),0))</f>
        <v>6.6640138570291656</v>
      </c>
      <c r="L881" t="s">
        <v>2549</v>
      </c>
      <c r="M881" t="s">
        <v>2488</v>
      </c>
      <c r="N881" t="s">
        <v>927</v>
      </c>
      <c r="O881" t="s">
        <v>2723</v>
      </c>
      <c r="P881">
        <v>40</v>
      </c>
      <c r="Q881">
        <v>0</v>
      </c>
      <c r="R881" t="s">
        <v>2465</v>
      </c>
      <c r="S881" s="42" t="str">
        <f>HYPERLINK("https://sklep.kobi.pl/produkt/led-x-mpr-micro-led2b")</f>
        <v>https://sklep.kobi.pl/produkt/led-x-mpr-micro-led2b</v>
      </c>
      <c r="T881" s="42" t="str">
        <f>HYPERLINK("https://eprel.ec.europa.eu/qr/NIE DOTYCZY    ")</f>
        <v xml:space="preserve">https://eprel.ec.europa.eu/qr/NIE DOTYCZY    </v>
      </c>
      <c r="U881">
        <v>0.04</v>
      </c>
      <c r="V881">
        <v>0</v>
      </c>
      <c r="W881">
        <v>0</v>
      </c>
      <c r="X881">
        <v>0</v>
      </c>
      <c r="Y881">
        <v>0</v>
      </c>
    </row>
    <row r="882" spans="1:25" ht="15" x14ac:dyDescent="0.25">
      <c r="A882" t="s">
        <v>23</v>
      </c>
      <c r="B882" t="s">
        <v>40</v>
      </c>
      <c r="C882"/>
      <c r="D882" t="s">
        <v>112</v>
      </c>
      <c r="E882" t="s">
        <v>2721</v>
      </c>
      <c r="F882" t="s">
        <v>2459</v>
      </c>
      <c r="G882" t="s">
        <v>2460</v>
      </c>
      <c r="H882" t="s">
        <v>4</v>
      </c>
      <c r="I882">
        <v>44.88</v>
      </c>
      <c r="J882" s="44">
        <f>I882/'enter the discount'!$D$7</f>
        <v>10.505126164505409</v>
      </c>
      <c r="K882" s="44">
        <f>J882*(1-IFERROR(VLOOKUP(H882,'enter the discount'!$D$10:$E$40,2,FALSE),0))</f>
        <v>10.505126164505409</v>
      </c>
      <c r="L882" t="s">
        <v>2549</v>
      </c>
      <c r="M882" t="s">
        <v>2489</v>
      </c>
      <c r="N882" t="s">
        <v>1454</v>
      </c>
      <c r="O882" t="s">
        <v>2723</v>
      </c>
      <c r="P882">
        <v>60</v>
      </c>
      <c r="Q882">
        <v>0</v>
      </c>
      <c r="R882" t="s">
        <v>2465</v>
      </c>
      <c r="S882" s="42" t="str">
        <f>HYPERLINK("https://sklep.kobi.pl/produkt/led-visua-desk-5w-mint")</f>
        <v>https://sklep.kobi.pl/produkt/led-visua-desk-5w-mint</v>
      </c>
      <c r="T882" s="42" t="str">
        <f>HYPERLINK("https://eprel.ec.europa.eu/qr/NIE DOTYCZY    ")</f>
        <v xml:space="preserve">https://eprel.ec.europa.eu/qr/NIE DOTYCZY    </v>
      </c>
      <c r="U882">
        <v>0.26</v>
      </c>
      <c r="V882">
        <v>0</v>
      </c>
      <c r="W882">
        <v>90</v>
      </c>
      <c r="X882">
        <v>90</v>
      </c>
      <c r="Y882">
        <v>100</v>
      </c>
    </row>
    <row r="883" spans="1:25" ht="15" x14ac:dyDescent="0.25">
      <c r="A883" t="s">
        <v>24</v>
      </c>
      <c r="B883" t="s">
        <v>1570</v>
      </c>
      <c r="C883"/>
      <c r="D883" t="s">
        <v>111</v>
      </c>
      <c r="E883" t="s">
        <v>2721</v>
      </c>
      <c r="F883" t="s">
        <v>2461</v>
      </c>
      <c r="G883" t="s">
        <v>2462</v>
      </c>
      <c r="H883" t="s">
        <v>9</v>
      </c>
      <c r="I883">
        <v>117.77</v>
      </c>
      <c r="J883" s="44">
        <f>I883/'enter the discount'!$D$7</f>
        <v>27.566593324282572</v>
      </c>
      <c r="K883" s="44">
        <f>J883*(1-IFERROR(VLOOKUP(H883,'enter the discount'!$D$10:$E$40,2,FALSE),0))</f>
        <v>27.566593324282572</v>
      </c>
      <c r="L883" t="s">
        <v>2549</v>
      </c>
      <c r="M883" t="s">
        <v>2490</v>
      </c>
      <c r="N883" t="s">
        <v>1013</v>
      </c>
      <c r="O883" t="s">
        <v>2723</v>
      </c>
      <c r="P883">
        <v>18</v>
      </c>
      <c r="Q883">
        <v>0</v>
      </c>
      <c r="R883" t="s">
        <v>2465</v>
      </c>
      <c r="S883" s="42" t="str">
        <f>HYPERLINK("https://sklep.kobi.pl/produkt/flowflexer-orange-w")</f>
        <v>https://sklep.kobi.pl/produkt/flowflexer-orange-w</v>
      </c>
      <c r="T883" s="42" t="str">
        <f>HYPERLINK("https://eprel.ec.europa.eu/qr/NIE DOTYCZY    ")</f>
        <v xml:space="preserve">https://eprel.ec.europa.eu/qr/NIE DOTYCZY    </v>
      </c>
      <c r="U883">
        <v>0.35</v>
      </c>
      <c r="V883">
        <v>0</v>
      </c>
      <c r="W883">
        <v>0</v>
      </c>
      <c r="X883">
        <v>0</v>
      </c>
      <c r="Y883">
        <v>0</v>
      </c>
    </row>
    <row r="884" spans="1:25" ht="15" x14ac:dyDescent="0.25">
      <c r="A884" t="s">
        <v>24</v>
      </c>
      <c r="B884" t="s">
        <v>1570</v>
      </c>
      <c r="C884"/>
      <c r="D884" t="s">
        <v>111</v>
      </c>
      <c r="E884" t="s">
        <v>2721</v>
      </c>
      <c r="F884" t="s">
        <v>2463</v>
      </c>
      <c r="G884" t="s">
        <v>2464</v>
      </c>
      <c r="H884" t="s">
        <v>9</v>
      </c>
      <c r="I884">
        <v>117.77</v>
      </c>
      <c r="J884" s="44">
        <f>I884/'enter the discount'!$D$7</f>
        <v>27.566593324282572</v>
      </c>
      <c r="K884" s="44">
        <f>J884*(1-IFERROR(VLOOKUP(H884,'enter the discount'!$D$10:$E$40,2,FALSE),0))</f>
        <v>27.566593324282572</v>
      </c>
      <c r="L884" t="s">
        <v>2549</v>
      </c>
      <c r="M884" t="s">
        <v>2491</v>
      </c>
      <c r="N884" t="s">
        <v>1013</v>
      </c>
      <c r="O884" t="s">
        <v>2723</v>
      </c>
      <c r="P884">
        <v>18</v>
      </c>
      <c r="Q884">
        <v>0</v>
      </c>
      <c r="R884" t="s">
        <v>2465</v>
      </c>
      <c r="S884" s="42" t="str">
        <f>HYPERLINK("https://sklep.kobi.pl/produkt/flowflexer-orange-b")</f>
        <v>https://sklep.kobi.pl/produkt/flowflexer-orange-b</v>
      </c>
      <c r="T884" s="42" t="str">
        <f>HYPERLINK("https://eprel.ec.europa.eu/qr/NIE DOTYCZY    ")</f>
        <v xml:space="preserve">https://eprel.ec.europa.eu/qr/NIE DOTYCZY    </v>
      </c>
      <c r="U884">
        <v>0.35</v>
      </c>
      <c r="V884">
        <v>0</v>
      </c>
      <c r="W884">
        <v>0</v>
      </c>
      <c r="X884">
        <v>0</v>
      </c>
      <c r="Y884">
        <v>0</v>
      </c>
    </row>
    <row r="885" spans="1:25" ht="15" x14ac:dyDescent="0.25">
      <c r="A885"/>
      <c r="B885"/>
      <c r="C885"/>
      <c r="D885"/>
      <c r="E885"/>
      <c r="F885"/>
      <c r="G885"/>
      <c r="H885"/>
      <c r="I885"/>
      <c r="J885" s="44"/>
      <c r="K885" s="44"/>
      <c r="L885"/>
      <c r="M885"/>
      <c r="N885"/>
      <c r="O885"/>
      <c r="P885"/>
      <c r="Q885"/>
      <c r="R885"/>
      <c r="S885" s="42"/>
      <c r="T885" s="42"/>
      <c r="U885"/>
      <c r="V885"/>
      <c r="W885"/>
      <c r="X885"/>
      <c r="Y885"/>
    </row>
    <row r="886" spans="1:25" ht="15" x14ac:dyDescent="0.25">
      <c r="A886"/>
      <c r="B886"/>
      <c r="C886"/>
      <c r="D886"/>
      <c r="E886"/>
      <c r="F886"/>
      <c r="G886"/>
      <c r="H886"/>
      <c r="I886"/>
      <c r="J886" s="44"/>
      <c r="K886" s="44"/>
      <c r="L886"/>
      <c r="M886"/>
      <c r="N886"/>
      <c r="O886"/>
      <c r="P886"/>
      <c r="Q886"/>
      <c r="R886"/>
      <c r="S886" s="42"/>
      <c r="T886" s="42"/>
      <c r="U886"/>
      <c r="V886"/>
      <c r="W886"/>
      <c r="X886"/>
      <c r="Y886"/>
    </row>
    <row r="887" spans="1:25" ht="15" x14ac:dyDescent="0.25">
      <c r="A887"/>
      <c r="B887"/>
      <c r="C887"/>
      <c r="D887"/>
      <c r="E887"/>
      <c r="F887"/>
      <c r="G887"/>
      <c r="H887"/>
      <c r="I887"/>
      <c r="J887" s="44"/>
      <c r="K887" s="44"/>
      <c r="L887"/>
      <c r="M887"/>
      <c r="N887"/>
      <c r="O887"/>
      <c r="P887"/>
      <c r="Q887"/>
      <c r="R887"/>
      <c r="S887" s="42"/>
      <c r="T887" s="42"/>
      <c r="U887"/>
      <c r="V887"/>
      <c r="W887"/>
      <c r="X887"/>
      <c r="Y887"/>
    </row>
    <row r="888" spans="1:25" ht="15" x14ac:dyDescent="0.25">
      <c r="A888"/>
      <c r="B888"/>
      <c r="C888"/>
      <c r="D888"/>
      <c r="E888"/>
      <c r="F888"/>
      <c r="G888"/>
      <c r="H888"/>
      <c r="I888"/>
      <c r="J888" s="44"/>
      <c r="K888" s="44"/>
      <c r="L888"/>
      <c r="M888"/>
      <c r="N888"/>
      <c r="O888"/>
      <c r="P888"/>
      <c r="Q888"/>
      <c r="R888"/>
      <c r="S888" s="42"/>
      <c r="T888"/>
      <c r="U888"/>
      <c r="V888"/>
      <c r="W888"/>
      <c r="X888"/>
      <c r="Y888"/>
    </row>
    <row r="889" spans="1:25" ht="15" x14ac:dyDescent="0.25">
      <c r="A889"/>
      <c r="B889"/>
      <c r="C889"/>
      <c r="D889"/>
      <c r="E889"/>
      <c r="F889"/>
      <c r="G889"/>
      <c r="H889"/>
      <c r="I889"/>
      <c r="J889" s="44"/>
      <c r="K889" s="44"/>
      <c r="L889"/>
      <c r="M889"/>
      <c r="N889"/>
      <c r="O889"/>
      <c r="P889"/>
      <c r="Q889"/>
      <c r="R889"/>
      <c r="S889" s="42"/>
      <c r="T889"/>
      <c r="U889"/>
      <c r="V889"/>
      <c r="W889"/>
      <c r="X889"/>
      <c r="Y889"/>
    </row>
    <row r="890" spans="1:25" ht="15" x14ac:dyDescent="0.25">
      <c r="A890"/>
      <c r="B890"/>
      <c r="C890"/>
      <c r="D890"/>
      <c r="E890"/>
      <c r="F890"/>
      <c r="G890"/>
      <c r="H890"/>
      <c r="I890"/>
      <c r="J890" s="44"/>
      <c r="K890" s="44"/>
      <c r="L890"/>
      <c r="M890"/>
      <c r="N890"/>
      <c r="O890"/>
      <c r="P890"/>
      <c r="Q890"/>
      <c r="R890"/>
      <c r="S890" s="42"/>
      <c r="T890"/>
      <c r="U890"/>
      <c r="V890"/>
      <c r="W890"/>
      <c r="X890"/>
      <c r="Y890"/>
    </row>
    <row r="891" spans="1:25" ht="15" x14ac:dyDescent="0.25">
      <c r="A891"/>
      <c r="B891"/>
      <c r="C891"/>
      <c r="D891"/>
      <c r="E891"/>
      <c r="F891"/>
      <c r="G891"/>
      <c r="H891"/>
      <c r="I891"/>
      <c r="J891" s="44"/>
      <c r="K891" s="44"/>
      <c r="L891"/>
      <c r="M891"/>
      <c r="N891"/>
      <c r="O891"/>
      <c r="P891"/>
      <c r="Q891"/>
      <c r="R891"/>
      <c r="S891" s="42"/>
      <c r="T891"/>
      <c r="U891"/>
      <c r="V891"/>
      <c r="W891"/>
      <c r="X891"/>
      <c r="Y891"/>
    </row>
    <row r="892" spans="1:25" ht="15" x14ac:dyDescent="0.25">
      <c r="A892"/>
      <c r="B892"/>
      <c r="C892"/>
      <c r="D892"/>
      <c r="E892"/>
      <c r="F892"/>
      <c r="G892"/>
      <c r="H892"/>
      <c r="I892"/>
      <c r="J892" s="44"/>
      <c r="K892" s="44"/>
      <c r="L892"/>
      <c r="M892"/>
      <c r="N892"/>
      <c r="O892"/>
      <c r="P892"/>
      <c r="Q892"/>
      <c r="R892"/>
      <c r="S892" s="42"/>
      <c r="T892" s="42"/>
      <c r="U892"/>
      <c r="V892"/>
      <c r="W892"/>
      <c r="X892"/>
      <c r="Y892"/>
    </row>
    <row r="893" spans="1:25" ht="15" x14ac:dyDescent="0.25">
      <c r="A893"/>
      <c r="B893"/>
      <c r="C893"/>
      <c r="D893"/>
      <c r="E893"/>
      <c r="F893"/>
      <c r="G893"/>
      <c r="H893"/>
      <c r="I893"/>
      <c r="J893" s="44"/>
      <c r="K893" s="44"/>
      <c r="L893"/>
      <c r="M893"/>
      <c r="N893"/>
      <c r="O893"/>
      <c r="P893"/>
      <c r="Q893"/>
      <c r="R893"/>
      <c r="S893" s="42"/>
      <c r="T893" s="42"/>
      <c r="U893"/>
      <c r="V893"/>
      <c r="W893"/>
      <c r="X893"/>
      <c r="Y893"/>
    </row>
    <row r="894" spans="1:25" ht="15" x14ac:dyDescent="0.25">
      <c r="A894"/>
      <c r="B894"/>
      <c r="C894"/>
      <c r="D894"/>
      <c r="E894"/>
      <c r="F894"/>
      <c r="G894"/>
      <c r="H894"/>
      <c r="I894"/>
      <c r="J894" s="44"/>
      <c r="K894" s="44"/>
      <c r="L894"/>
      <c r="M894"/>
      <c r="N894"/>
      <c r="O894"/>
      <c r="P894"/>
      <c r="Q894"/>
      <c r="R894"/>
      <c r="S894" s="42"/>
      <c r="T894" s="42"/>
      <c r="U894"/>
      <c r="V894"/>
      <c r="W894"/>
      <c r="X894"/>
      <c r="Y894"/>
    </row>
    <row r="895" spans="1:25" ht="15" x14ac:dyDescent="0.25">
      <c r="A895"/>
      <c r="B895"/>
      <c r="C895"/>
      <c r="D895"/>
      <c r="E895"/>
      <c r="F895"/>
      <c r="G895"/>
      <c r="H895"/>
      <c r="I895"/>
      <c r="J895" s="44"/>
      <c r="K895" s="44"/>
      <c r="L895"/>
      <c r="M895"/>
      <c r="N895"/>
      <c r="O895"/>
      <c r="P895"/>
      <c r="Q895"/>
      <c r="R895"/>
      <c r="S895" s="42"/>
      <c r="T895" s="42"/>
      <c r="U895"/>
      <c r="V895"/>
      <c r="W895"/>
      <c r="X895"/>
      <c r="Y895"/>
    </row>
    <row r="896" spans="1:25" ht="15" x14ac:dyDescent="0.25">
      <c r="A896"/>
      <c r="B896"/>
      <c r="C896"/>
      <c r="D896"/>
      <c r="E896"/>
      <c r="F896"/>
      <c r="G896"/>
      <c r="H896"/>
      <c r="I896"/>
      <c r="J896" s="44"/>
      <c r="K896" s="44"/>
      <c r="L896"/>
      <c r="M896"/>
      <c r="N896"/>
      <c r="O896"/>
      <c r="P896"/>
      <c r="Q896"/>
      <c r="R896"/>
      <c r="S896" s="42"/>
      <c r="T896" s="42"/>
      <c r="U896"/>
      <c r="V896"/>
      <c r="W896"/>
      <c r="X896"/>
      <c r="Y896"/>
    </row>
    <row r="897" spans="1:25" ht="15" x14ac:dyDescent="0.25">
      <c r="A897"/>
      <c r="B897"/>
      <c r="C897"/>
      <c r="D897"/>
      <c r="E897"/>
      <c r="F897"/>
      <c r="G897"/>
      <c r="H897"/>
      <c r="I897"/>
      <c r="J897" s="44"/>
      <c r="K897" s="44"/>
      <c r="L897"/>
      <c r="M897"/>
      <c r="N897"/>
      <c r="O897"/>
      <c r="P897"/>
      <c r="Q897"/>
      <c r="R897"/>
      <c r="S897" s="42"/>
      <c r="T897" s="42"/>
      <c r="U897"/>
      <c r="V897"/>
      <c r="W897"/>
      <c r="X897"/>
      <c r="Y897"/>
    </row>
    <row r="898" spans="1:25" ht="15" x14ac:dyDescent="0.25">
      <c r="A898" s="33"/>
      <c r="B898" s="33"/>
      <c r="C898" s="33"/>
      <c r="D898" s="33"/>
      <c r="E898" s="33"/>
      <c r="F898" s="33"/>
      <c r="G898" s="33"/>
      <c r="H898" s="33"/>
      <c r="I898" s="35"/>
      <c r="J898" s="35"/>
      <c r="K898" s="35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</row>
    <row r="899" spans="1:25" ht="15" x14ac:dyDescent="0.25">
      <c r="A899" s="33"/>
      <c r="B899" s="33"/>
      <c r="C899" s="33"/>
      <c r="D899" s="33"/>
      <c r="E899" s="33"/>
      <c r="F899" s="33"/>
      <c r="G899" s="33"/>
      <c r="H899" s="33"/>
      <c r="I899" s="35"/>
      <c r="J899" s="35"/>
      <c r="K899" s="35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</row>
    <row r="900" spans="1:25" ht="15" x14ac:dyDescent="0.25">
      <c r="A900" s="33"/>
      <c r="B900" s="33"/>
      <c r="C900" s="33"/>
      <c r="D900" s="33"/>
      <c r="E900" s="33"/>
      <c r="F900" s="33"/>
      <c r="G900" s="33"/>
      <c r="H900" s="33"/>
      <c r="I900" s="35"/>
      <c r="J900" s="35"/>
      <c r="K900" s="35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</row>
    <row r="901" spans="1:25" ht="15" x14ac:dyDescent="0.25">
      <c r="A901" s="33"/>
      <c r="B901" s="33"/>
      <c r="C901" s="33"/>
      <c r="D901" s="33"/>
      <c r="E901" s="33"/>
      <c r="F901" s="33"/>
      <c r="G901" s="33"/>
      <c r="H901" s="33"/>
      <c r="I901" s="35"/>
      <c r="J901" s="35"/>
      <c r="K901" s="35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</row>
    <row r="902" spans="1:25" ht="15" x14ac:dyDescent="0.25">
      <c r="A902" s="33"/>
      <c r="B902" s="33"/>
      <c r="C902" s="33"/>
      <c r="D902" s="33"/>
      <c r="E902" s="33"/>
      <c r="F902" s="33"/>
      <c r="G902" s="33"/>
      <c r="H902" s="33"/>
      <c r="I902" s="35"/>
      <c r="J902" s="35"/>
      <c r="K902" s="35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</row>
    <row r="903" spans="1:25" ht="15" x14ac:dyDescent="0.25">
      <c r="A903" s="33"/>
      <c r="B903" s="33"/>
      <c r="C903" s="33"/>
      <c r="D903" s="33"/>
      <c r="E903" s="33"/>
      <c r="F903" s="33"/>
      <c r="G903" s="33"/>
      <c r="H903" s="33"/>
      <c r="I903" s="35"/>
      <c r="J903" s="35"/>
      <c r="K903" s="35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</row>
    <row r="904" spans="1:25" ht="15" x14ac:dyDescent="0.25">
      <c r="A904" s="33"/>
      <c r="B904" s="33"/>
      <c r="C904" s="33"/>
      <c r="D904" s="33"/>
      <c r="E904" s="33"/>
      <c r="F904" s="33"/>
      <c r="G904" s="33"/>
      <c r="H904" s="33"/>
      <c r="I904" s="35"/>
      <c r="J904" s="35"/>
      <c r="K904" s="35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</row>
    <row r="905" spans="1:25" ht="15" x14ac:dyDescent="0.25">
      <c r="A905" s="34"/>
      <c r="B905" s="34"/>
      <c r="C905" s="34"/>
      <c r="D905" s="34"/>
      <c r="E905" s="34"/>
      <c r="F905" s="34"/>
      <c r="G905" s="34"/>
      <c r="H905" s="34"/>
      <c r="I905" s="36"/>
      <c r="J905" s="36"/>
      <c r="K905" s="36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</row>
    <row r="906" spans="1:25" ht="15" x14ac:dyDescent="0.25">
      <c r="A906" s="34"/>
      <c r="B906" s="34"/>
      <c r="C906" s="34"/>
      <c r="D906" s="34"/>
      <c r="E906" s="34"/>
      <c r="F906" s="34"/>
      <c r="G906" s="34"/>
      <c r="H906" s="34"/>
      <c r="I906" s="36"/>
      <c r="J906" s="36"/>
      <c r="K906" s="36"/>
      <c r="L906" s="34"/>
      <c r="M906" s="34"/>
      <c r="N906" s="34"/>
      <c r="O906" s="34"/>
      <c r="P906" s="34"/>
      <c r="Q906" s="34"/>
      <c r="R906" s="34"/>
      <c r="S906" s="37"/>
      <c r="T906" s="37"/>
      <c r="U906" s="34"/>
      <c r="V906" s="34"/>
      <c r="W906" s="34"/>
      <c r="X906" s="34"/>
      <c r="Y906" s="34"/>
    </row>
    <row r="907" spans="1:25" x14ac:dyDescent="0.2">
      <c r="A907" s="29"/>
      <c r="B907" s="29"/>
      <c r="C907" s="29"/>
      <c r="D907" s="29"/>
      <c r="E907" s="29"/>
      <c r="F907" s="30"/>
      <c r="G907" s="30"/>
      <c r="H907" s="30"/>
      <c r="I907" s="30"/>
      <c r="J907" s="30"/>
      <c r="K907" s="30"/>
      <c r="L907" s="29"/>
      <c r="M907" s="29"/>
      <c r="N907" s="29"/>
      <c r="O907" s="29"/>
      <c r="P907" s="29"/>
      <c r="Q907" s="29"/>
      <c r="R907" s="29"/>
      <c r="S907" s="29"/>
      <c r="T907" s="29"/>
      <c r="U907" s="31"/>
      <c r="V907" s="31"/>
      <c r="W907" s="31"/>
      <c r="X907" s="31"/>
      <c r="Y907" s="31"/>
    </row>
    <row r="908" spans="1:25" x14ac:dyDescent="0.2">
      <c r="A908" s="29"/>
      <c r="B908" s="29"/>
      <c r="C908" s="29"/>
      <c r="D908" s="29"/>
      <c r="E908" s="29"/>
      <c r="F908" s="30"/>
      <c r="G908" s="30"/>
      <c r="H908" s="30"/>
      <c r="I908" s="30"/>
      <c r="J908" s="30"/>
      <c r="K908" s="30"/>
      <c r="L908" s="29"/>
      <c r="M908" s="29"/>
      <c r="N908" s="29"/>
      <c r="O908" s="29"/>
      <c r="P908" s="29"/>
      <c r="Q908" s="29"/>
      <c r="R908" s="29"/>
      <c r="S908" s="29"/>
      <c r="T908" s="29"/>
      <c r="U908" s="31"/>
      <c r="V908" s="31"/>
      <c r="W908" s="31"/>
      <c r="X908" s="31"/>
      <c r="Y908" s="31"/>
    </row>
    <row r="909" spans="1:25" x14ac:dyDescent="0.2">
      <c r="A909" s="29"/>
      <c r="B909" s="29"/>
      <c r="C909" s="29"/>
      <c r="D909" s="29"/>
      <c r="E909" s="29"/>
      <c r="F909" s="30"/>
      <c r="G909" s="30"/>
      <c r="H909" s="30"/>
      <c r="I909" s="30"/>
      <c r="J909" s="30"/>
      <c r="K909" s="30"/>
      <c r="L909" s="29"/>
      <c r="M909" s="29"/>
      <c r="N909" s="29"/>
      <c r="O909" s="29"/>
      <c r="P909" s="29"/>
      <c r="Q909" s="29"/>
      <c r="R909" s="29"/>
      <c r="S909" s="29"/>
      <c r="T909" s="29"/>
      <c r="U909" s="31"/>
      <c r="V909" s="31"/>
      <c r="W909" s="31"/>
      <c r="X909" s="31"/>
      <c r="Y909" s="31"/>
    </row>
    <row r="910" spans="1:25" x14ac:dyDescent="0.2">
      <c r="A910" s="29"/>
      <c r="B910" s="29"/>
      <c r="C910" s="29"/>
      <c r="D910" s="29"/>
      <c r="E910" s="29"/>
      <c r="F910" s="30"/>
      <c r="G910" s="30"/>
      <c r="H910" s="30"/>
      <c r="I910" s="30"/>
      <c r="J910" s="30"/>
      <c r="K910" s="30"/>
      <c r="L910" s="29"/>
      <c r="M910" s="29"/>
      <c r="N910" s="29"/>
      <c r="O910" s="29"/>
      <c r="P910" s="29"/>
      <c r="Q910" s="29"/>
      <c r="R910" s="29"/>
      <c r="S910" s="29"/>
      <c r="T910" s="29"/>
      <c r="U910" s="31"/>
      <c r="V910" s="31"/>
      <c r="W910" s="31"/>
      <c r="X910" s="31"/>
      <c r="Y910" s="31"/>
    </row>
    <row r="911" spans="1:25" x14ac:dyDescent="0.2">
      <c r="A911" s="29"/>
      <c r="B911" s="29"/>
      <c r="C911" s="29"/>
      <c r="D911" s="29"/>
      <c r="E911" s="29"/>
      <c r="F911" s="30"/>
      <c r="G911" s="30"/>
      <c r="H911" s="30"/>
      <c r="I911" s="30"/>
      <c r="J911" s="30"/>
      <c r="K911" s="30"/>
      <c r="L911" s="29"/>
      <c r="M911" s="29"/>
      <c r="N911" s="29"/>
      <c r="O911" s="29"/>
      <c r="P911" s="29"/>
      <c r="Q911" s="29"/>
      <c r="R911" s="29"/>
      <c r="S911" s="29"/>
      <c r="T911" s="29"/>
      <c r="U911" s="31"/>
      <c r="V911" s="31"/>
      <c r="W911" s="31"/>
      <c r="X911" s="31"/>
      <c r="Y911" s="31"/>
    </row>
    <row r="912" spans="1:25" x14ac:dyDescent="0.2">
      <c r="A912" s="29"/>
      <c r="B912" s="29"/>
      <c r="C912" s="29"/>
      <c r="D912" s="29"/>
      <c r="E912" s="29"/>
      <c r="F912" s="30"/>
      <c r="G912" s="30"/>
      <c r="H912" s="30"/>
      <c r="I912" s="30"/>
      <c r="J912" s="30"/>
      <c r="K912" s="30"/>
      <c r="L912" s="29"/>
      <c r="M912" s="29"/>
      <c r="N912" s="29"/>
      <c r="O912" s="29"/>
      <c r="P912" s="29"/>
      <c r="Q912" s="29"/>
      <c r="R912" s="29"/>
      <c r="S912" s="29"/>
      <c r="T912" s="29"/>
      <c r="U912" s="31"/>
      <c r="V912" s="31"/>
      <c r="W912" s="31"/>
      <c r="X912" s="31"/>
      <c r="Y912" s="31"/>
    </row>
    <row r="913" spans="1:25" x14ac:dyDescent="0.2">
      <c r="A913" s="29"/>
      <c r="B913" s="29"/>
      <c r="C913" s="29"/>
      <c r="D913" s="29"/>
      <c r="E913" s="29"/>
      <c r="F913" s="30"/>
      <c r="G913" s="30"/>
      <c r="H913" s="30"/>
      <c r="I913" s="30"/>
      <c r="J913" s="30"/>
      <c r="K913" s="30"/>
      <c r="L913" s="29"/>
      <c r="M913" s="29"/>
      <c r="N913" s="29"/>
      <c r="O913" s="29"/>
      <c r="P913" s="29"/>
      <c r="Q913" s="29"/>
      <c r="R913" s="29"/>
      <c r="S913" s="29"/>
      <c r="T913" s="29"/>
      <c r="U913" s="31"/>
      <c r="V913" s="31"/>
      <c r="W913" s="31"/>
      <c r="X913" s="31"/>
      <c r="Y913" s="31"/>
    </row>
    <row r="914" spans="1:25" x14ac:dyDescent="0.2">
      <c r="A914" s="29"/>
      <c r="B914" s="29"/>
      <c r="C914" s="29"/>
      <c r="D914" s="29"/>
      <c r="E914" s="29"/>
      <c r="F914" s="30"/>
      <c r="G914" s="30"/>
      <c r="H914" s="30"/>
      <c r="I914" s="30"/>
      <c r="J914" s="30"/>
      <c r="K914" s="30"/>
      <c r="L914" s="29"/>
      <c r="M914" s="29"/>
      <c r="N914" s="29"/>
      <c r="O914" s="29"/>
      <c r="P914" s="29"/>
      <c r="Q914" s="29"/>
      <c r="R914" s="29"/>
      <c r="S914" s="29"/>
      <c r="T914" s="29"/>
      <c r="U914" s="31"/>
      <c r="V914" s="31"/>
      <c r="W914" s="31"/>
      <c r="X914" s="31"/>
      <c r="Y914" s="31"/>
    </row>
    <row r="915" spans="1:25" x14ac:dyDescent="0.2">
      <c r="A915" s="29"/>
      <c r="B915" s="29"/>
      <c r="C915" s="29"/>
      <c r="D915" s="29"/>
      <c r="E915" s="29"/>
      <c r="F915" s="30"/>
      <c r="G915" s="30"/>
      <c r="H915" s="30"/>
      <c r="I915" s="30"/>
      <c r="J915" s="30"/>
      <c r="K915" s="30"/>
      <c r="L915" s="29"/>
      <c r="M915" s="29"/>
      <c r="N915" s="29"/>
      <c r="O915" s="29"/>
      <c r="P915" s="29"/>
      <c r="Q915" s="29"/>
      <c r="R915" s="29"/>
      <c r="S915" s="29"/>
      <c r="T915" s="29"/>
      <c r="U915" s="31"/>
      <c r="V915" s="31"/>
      <c r="W915" s="31"/>
      <c r="X915" s="31"/>
      <c r="Y915" s="31"/>
    </row>
    <row r="916" spans="1:25" x14ac:dyDescent="0.2">
      <c r="A916" s="29"/>
      <c r="B916" s="29"/>
      <c r="C916" s="29"/>
      <c r="D916" s="29"/>
      <c r="E916" s="29"/>
      <c r="F916" s="30"/>
      <c r="G916" s="30"/>
      <c r="H916" s="30"/>
      <c r="I916" s="30"/>
      <c r="J916" s="30"/>
      <c r="K916" s="30"/>
      <c r="L916" s="29"/>
      <c r="M916" s="29"/>
      <c r="N916" s="29"/>
      <c r="O916" s="29"/>
      <c r="P916" s="29"/>
      <c r="Q916" s="29"/>
      <c r="R916" s="29"/>
      <c r="S916" s="29"/>
      <c r="T916" s="29"/>
      <c r="U916" s="31"/>
      <c r="V916" s="31"/>
      <c r="W916" s="31"/>
      <c r="X916" s="31"/>
      <c r="Y916" s="31"/>
    </row>
    <row r="917" spans="1:25" x14ac:dyDescent="0.2">
      <c r="A917" s="29"/>
      <c r="B917" s="29"/>
      <c r="C917" s="29"/>
      <c r="D917" s="29"/>
      <c r="E917" s="29"/>
      <c r="F917" s="30"/>
      <c r="G917" s="30"/>
      <c r="H917" s="30"/>
      <c r="I917" s="30"/>
      <c r="J917" s="30"/>
      <c r="K917" s="30"/>
      <c r="L917" s="29"/>
      <c r="M917" s="29"/>
      <c r="N917" s="29"/>
      <c r="O917" s="29"/>
      <c r="P917" s="29"/>
      <c r="Q917" s="29"/>
      <c r="R917" s="29"/>
      <c r="S917" s="29"/>
      <c r="T917" s="29"/>
      <c r="U917" s="31"/>
      <c r="V917" s="31"/>
      <c r="W917" s="31"/>
      <c r="X917" s="31"/>
      <c r="Y917" s="31"/>
    </row>
    <row r="918" spans="1:25" x14ac:dyDescent="0.2">
      <c r="A918" s="29"/>
      <c r="B918" s="29"/>
      <c r="C918" s="29"/>
      <c r="D918" s="29"/>
      <c r="E918" s="29"/>
      <c r="F918" s="30"/>
      <c r="G918" s="30"/>
      <c r="H918" s="30"/>
      <c r="I918" s="30"/>
      <c r="J918" s="30"/>
      <c r="K918" s="30"/>
      <c r="L918" s="29"/>
      <c r="M918" s="29"/>
      <c r="N918" s="29"/>
      <c r="O918" s="29"/>
      <c r="P918" s="29"/>
      <c r="Q918" s="29"/>
      <c r="R918" s="29"/>
      <c r="S918" s="29"/>
      <c r="T918" s="29"/>
      <c r="U918" s="31"/>
      <c r="V918" s="31"/>
      <c r="W918" s="31"/>
      <c r="X918" s="31"/>
      <c r="Y918" s="31"/>
    </row>
    <row r="919" spans="1:25" x14ac:dyDescent="0.2">
      <c r="A919" s="29"/>
      <c r="B919" s="29"/>
      <c r="C919" s="29"/>
      <c r="D919" s="29"/>
      <c r="E919" s="29"/>
      <c r="F919" s="30"/>
      <c r="G919" s="30"/>
      <c r="H919" s="30"/>
      <c r="I919" s="30"/>
      <c r="J919" s="30"/>
      <c r="K919" s="30"/>
      <c r="L919" s="29"/>
      <c r="M919" s="29"/>
      <c r="N919" s="29"/>
      <c r="O919" s="29"/>
      <c r="P919" s="29"/>
      <c r="Q919" s="29"/>
      <c r="R919" s="29"/>
      <c r="S919" s="29"/>
      <c r="T919" s="29"/>
      <c r="U919" s="31"/>
      <c r="V919" s="31"/>
      <c r="W919" s="31"/>
      <c r="X919" s="31"/>
      <c r="Y919" s="31"/>
    </row>
    <row r="920" spans="1:25" x14ac:dyDescent="0.2">
      <c r="A920" s="29"/>
      <c r="B920" s="29"/>
      <c r="C920" s="29"/>
      <c r="D920" s="29"/>
      <c r="E920" s="29"/>
      <c r="F920" s="30"/>
      <c r="G920" s="30"/>
      <c r="H920" s="30"/>
      <c r="I920" s="30"/>
      <c r="J920" s="30"/>
      <c r="K920" s="30"/>
      <c r="L920" s="29"/>
      <c r="M920" s="29"/>
      <c r="N920" s="29"/>
      <c r="O920" s="29"/>
      <c r="P920" s="29"/>
      <c r="Q920" s="29"/>
      <c r="R920" s="29"/>
      <c r="S920" s="29"/>
      <c r="T920" s="29"/>
      <c r="U920" s="31"/>
      <c r="V920" s="31"/>
      <c r="W920" s="31"/>
      <c r="X920" s="31"/>
      <c r="Y920" s="31"/>
    </row>
    <row r="921" spans="1:25" x14ac:dyDescent="0.2">
      <c r="A921" s="29"/>
      <c r="B921" s="29"/>
      <c r="C921" s="29"/>
      <c r="D921" s="29"/>
      <c r="E921" s="29"/>
      <c r="F921" s="30"/>
      <c r="G921" s="30"/>
      <c r="H921" s="30"/>
      <c r="I921" s="30"/>
      <c r="J921" s="30"/>
      <c r="K921" s="30"/>
      <c r="L921" s="29"/>
      <c r="M921" s="29"/>
      <c r="N921" s="29"/>
      <c r="O921" s="29"/>
      <c r="P921" s="29"/>
      <c r="Q921" s="29"/>
      <c r="R921" s="29"/>
      <c r="S921" s="29"/>
      <c r="T921" s="29"/>
      <c r="U921" s="31"/>
      <c r="V921" s="31"/>
      <c r="W921" s="31"/>
      <c r="X921" s="31"/>
      <c r="Y921" s="31"/>
    </row>
    <row r="922" spans="1:25" x14ac:dyDescent="0.2">
      <c r="A922" s="29"/>
      <c r="B922" s="29"/>
      <c r="C922" s="29"/>
      <c r="D922" s="29"/>
      <c r="E922" s="29"/>
      <c r="F922" s="30"/>
      <c r="G922" s="30"/>
      <c r="H922" s="30"/>
      <c r="I922" s="30"/>
      <c r="J922" s="30"/>
      <c r="K922" s="30"/>
      <c r="L922" s="29"/>
      <c r="M922" s="29"/>
      <c r="N922" s="29"/>
      <c r="O922" s="29"/>
      <c r="P922" s="29"/>
      <c r="Q922" s="29"/>
      <c r="R922" s="29"/>
      <c r="S922" s="29"/>
      <c r="T922" s="29"/>
      <c r="U922" s="31"/>
      <c r="V922" s="31"/>
      <c r="W922" s="31"/>
      <c r="X922" s="31"/>
      <c r="Y922" s="31"/>
    </row>
    <row r="923" spans="1:25" x14ac:dyDescent="0.2">
      <c r="A923" s="29"/>
      <c r="B923" s="29"/>
      <c r="C923" s="29"/>
      <c r="D923" s="29"/>
      <c r="E923" s="29"/>
      <c r="F923" s="30"/>
      <c r="G923" s="30"/>
      <c r="H923" s="30"/>
      <c r="I923" s="30"/>
      <c r="J923" s="30"/>
      <c r="K923" s="30"/>
      <c r="L923" s="29"/>
      <c r="M923" s="29"/>
      <c r="N923" s="29"/>
      <c r="O923" s="29"/>
      <c r="P923" s="29"/>
      <c r="Q923" s="29"/>
      <c r="R923" s="29"/>
      <c r="S923" s="29"/>
      <c r="T923" s="29"/>
      <c r="U923" s="31"/>
      <c r="V923" s="31"/>
      <c r="W923" s="31"/>
      <c r="X923" s="31"/>
      <c r="Y923" s="31"/>
    </row>
    <row r="924" spans="1:25" x14ac:dyDescent="0.2">
      <c r="A924" s="29"/>
      <c r="B924" s="29"/>
      <c r="C924" s="29"/>
      <c r="D924" s="29"/>
      <c r="E924" s="29"/>
      <c r="F924" s="30"/>
      <c r="G924" s="30"/>
      <c r="H924" s="30"/>
      <c r="I924" s="30"/>
      <c r="J924" s="30"/>
      <c r="K924" s="30"/>
      <c r="L924" s="29"/>
      <c r="M924" s="29"/>
      <c r="N924" s="29"/>
      <c r="O924" s="29"/>
      <c r="P924" s="29"/>
      <c r="Q924" s="29"/>
      <c r="R924" s="29"/>
      <c r="S924" s="29"/>
      <c r="T924" s="29"/>
      <c r="U924" s="31"/>
      <c r="V924" s="31"/>
      <c r="W924" s="31"/>
      <c r="X924" s="31"/>
      <c r="Y924" s="31"/>
    </row>
    <row r="925" spans="1:25" x14ac:dyDescent="0.2">
      <c r="A925" s="29"/>
      <c r="B925" s="29"/>
      <c r="C925" s="29"/>
      <c r="D925" s="29"/>
      <c r="E925" s="29"/>
      <c r="F925" s="30"/>
      <c r="G925" s="30"/>
      <c r="H925" s="30"/>
      <c r="I925" s="30"/>
      <c r="J925" s="30"/>
      <c r="K925" s="30"/>
      <c r="L925" s="29"/>
      <c r="M925" s="29"/>
      <c r="N925" s="29"/>
      <c r="O925" s="29"/>
      <c r="P925" s="29"/>
      <c r="Q925" s="29"/>
      <c r="R925" s="29"/>
      <c r="S925" s="29"/>
      <c r="T925" s="29"/>
      <c r="U925" s="31"/>
      <c r="V925" s="31"/>
      <c r="W925" s="31"/>
      <c r="X925" s="31"/>
      <c r="Y925" s="31"/>
    </row>
    <row r="926" spans="1:25" x14ac:dyDescent="0.2">
      <c r="A926" s="29"/>
      <c r="B926" s="29"/>
      <c r="C926" s="29"/>
      <c r="D926" s="29"/>
      <c r="E926" s="29"/>
      <c r="F926" s="30"/>
      <c r="G926" s="30"/>
      <c r="H926" s="30"/>
      <c r="I926" s="30"/>
      <c r="J926" s="30"/>
      <c r="K926" s="30"/>
      <c r="L926" s="29"/>
      <c r="M926" s="29"/>
      <c r="N926" s="29"/>
      <c r="O926" s="29"/>
      <c r="P926" s="29"/>
      <c r="Q926" s="29"/>
      <c r="R926" s="29"/>
      <c r="S926" s="29"/>
      <c r="T926" s="29"/>
      <c r="U926" s="31"/>
      <c r="V926" s="31"/>
      <c r="W926" s="31"/>
      <c r="X926" s="31"/>
      <c r="Y926" s="31"/>
    </row>
    <row r="927" spans="1:25" x14ac:dyDescent="0.2">
      <c r="A927" s="29"/>
      <c r="B927" s="29"/>
      <c r="C927" s="29"/>
      <c r="D927" s="29"/>
      <c r="E927" s="29"/>
      <c r="F927" s="30"/>
      <c r="G927" s="30"/>
      <c r="H927" s="30"/>
      <c r="I927" s="30"/>
      <c r="J927" s="30"/>
      <c r="K927" s="30"/>
      <c r="L927" s="29"/>
      <c r="M927" s="29"/>
      <c r="N927" s="29"/>
      <c r="O927" s="29"/>
      <c r="P927" s="29"/>
      <c r="Q927" s="29"/>
      <c r="R927" s="29"/>
      <c r="S927" s="29"/>
      <c r="T927" s="29"/>
      <c r="U927" s="31"/>
      <c r="V927" s="31"/>
      <c r="W927" s="31"/>
      <c r="X927" s="31"/>
      <c r="Y927" s="31"/>
    </row>
    <row r="928" spans="1:25" x14ac:dyDescent="0.2">
      <c r="A928" s="29"/>
      <c r="B928" s="29"/>
      <c r="C928" s="29"/>
      <c r="D928" s="29"/>
      <c r="E928" s="29"/>
      <c r="F928" s="30"/>
      <c r="G928" s="30"/>
      <c r="H928" s="30"/>
      <c r="I928" s="30"/>
      <c r="J928" s="30"/>
      <c r="K928" s="30"/>
      <c r="L928" s="29"/>
      <c r="M928" s="29"/>
      <c r="N928" s="29"/>
      <c r="O928" s="29"/>
      <c r="P928" s="29"/>
      <c r="Q928" s="29"/>
      <c r="R928" s="29"/>
      <c r="S928" s="29"/>
      <c r="T928" s="29"/>
      <c r="U928" s="31"/>
      <c r="V928" s="31"/>
      <c r="W928" s="31"/>
      <c r="X928" s="31"/>
      <c r="Y928" s="31"/>
    </row>
    <row r="929" spans="1:25" x14ac:dyDescent="0.2">
      <c r="A929" s="29"/>
      <c r="B929" s="29"/>
      <c r="C929" s="29"/>
      <c r="D929" s="29"/>
      <c r="E929" s="29"/>
      <c r="F929" s="30"/>
      <c r="G929" s="30"/>
      <c r="H929" s="30"/>
      <c r="I929" s="30"/>
      <c r="J929" s="30"/>
      <c r="K929" s="30"/>
      <c r="L929" s="29"/>
      <c r="M929" s="29"/>
      <c r="N929" s="29"/>
      <c r="O929" s="29"/>
      <c r="P929" s="29"/>
      <c r="Q929" s="29"/>
      <c r="R929" s="29"/>
      <c r="S929" s="29"/>
      <c r="T929" s="29"/>
      <c r="U929" s="31"/>
      <c r="V929" s="31"/>
      <c r="W929" s="31"/>
      <c r="X929" s="31"/>
      <c r="Y929" s="31"/>
    </row>
    <row r="930" spans="1:25" x14ac:dyDescent="0.2">
      <c r="A930" s="29"/>
      <c r="B930" s="29"/>
      <c r="C930" s="29"/>
      <c r="D930" s="29"/>
      <c r="E930" s="29"/>
      <c r="F930" s="30"/>
      <c r="G930" s="30"/>
      <c r="H930" s="30"/>
      <c r="I930" s="30"/>
      <c r="J930" s="30"/>
      <c r="K930" s="30"/>
      <c r="L930" s="29"/>
      <c r="M930" s="29"/>
      <c r="N930" s="29"/>
      <c r="O930" s="29"/>
      <c r="P930" s="29"/>
      <c r="Q930" s="29"/>
      <c r="R930" s="29"/>
      <c r="S930" s="29"/>
      <c r="T930" s="29"/>
      <c r="U930" s="31"/>
      <c r="V930" s="31"/>
      <c r="W930" s="31"/>
      <c r="X930" s="31"/>
      <c r="Y930" s="31"/>
    </row>
    <row r="931" spans="1:25" x14ac:dyDescent="0.2">
      <c r="A931" s="29"/>
      <c r="B931" s="29"/>
      <c r="C931" s="29"/>
      <c r="D931" s="29"/>
      <c r="E931" s="29"/>
      <c r="F931" s="30"/>
      <c r="G931" s="30"/>
      <c r="H931" s="30"/>
      <c r="I931" s="30"/>
      <c r="J931" s="30"/>
      <c r="K931" s="30"/>
      <c r="L931" s="29"/>
      <c r="M931" s="29"/>
      <c r="N931" s="29"/>
      <c r="O931" s="29"/>
      <c r="P931" s="29"/>
      <c r="Q931" s="29"/>
      <c r="R931" s="29"/>
      <c r="S931" s="29"/>
      <c r="T931" s="29"/>
      <c r="U931" s="31"/>
      <c r="V931" s="31"/>
      <c r="W931" s="31"/>
      <c r="X931" s="31"/>
      <c r="Y931" s="31"/>
    </row>
    <row r="932" spans="1:25" x14ac:dyDescent="0.2">
      <c r="A932" s="29"/>
      <c r="B932" s="29"/>
      <c r="C932" s="29"/>
      <c r="D932" s="29"/>
      <c r="E932" s="29"/>
      <c r="F932" s="30"/>
      <c r="G932" s="30"/>
      <c r="H932" s="30"/>
      <c r="I932" s="30"/>
      <c r="J932" s="30"/>
      <c r="K932" s="30"/>
      <c r="L932" s="29"/>
      <c r="M932" s="29"/>
      <c r="N932" s="29"/>
      <c r="O932" s="29"/>
      <c r="P932" s="29"/>
      <c r="Q932" s="29"/>
      <c r="R932" s="29"/>
      <c r="S932" s="29"/>
      <c r="T932" s="29"/>
      <c r="U932" s="31"/>
      <c r="V932" s="31"/>
      <c r="W932" s="31"/>
      <c r="X932" s="31"/>
      <c r="Y932" s="31"/>
    </row>
    <row r="933" spans="1:25" x14ac:dyDescent="0.2">
      <c r="A933" s="29"/>
      <c r="B933" s="29"/>
      <c r="C933" s="29"/>
      <c r="D933" s="29"/>
      <c r="E933" s="29"/>
      <c r="F933" s="30"/>
      <c r="G933" s="30"/>
      <c r="H933" s="30"/>
      <c r="I933" s="30"/>
      <c r="J933" s="30"/>
      <c r="K933" s="30"/>
      <c r="L933" s="29"/>
      <c r="M933" s="29"/>
      <c r="N933" s="29"/>
      <c r="O933" s="29"/>
      <c r="P933" s="29"/>
      <c r="Q933" s="29"/>
      <c r="R933" s="29"/>
      <c r="S933" s="29"/>
      <c r="T933" s="29"/>
      <c r="U933" s="31"/>
      <c r="V933" s="31"/>
      <c r="W933" s="31"/>
      <c r="X933" s="31"/>
      <c r="Y933" s="31"/>
    </row>
    <row r="934" spans="1:25" x14ac:dyDescent="0.2">
      <c r="A934" s="29"/>
      <c r="B934" s="29"/>
      <c r="C934" s="29"/>
      <c r="D934" s="29"/>
      <c r="E934" s="29"/>
      <c r="F934" s="30"/>
      <c r="G934" s="30"/>
      <c r="H934" s="30"/>
      <c r="I934" s="30"/>
      <c r="J934" s="30"/>
      <c r="K934" s="30"/>
      <c r="L934" s="29"/>
      <c r="M934" s="29"/>
      <c r="N934" s="29"/>
      <c r="O934" s="29"/>
      <c r="P934" s="29"/>
      <c r="Q934" s="29"/>
      <c r="R934" s="29"/>
      <c r="S934" s="29"/>
      <c r="T934" s="29"/>
      <c r="U934" s="31"/>
      <c r="V934" s="31"/>
      <c r="W934" s="31"/>
      <c r="X934" s="31"/>
      <c r="Y934" s="31"/>
    </row>
    <row r="935" spans="1:25" x14ac:dyDescent="0.2">
      <c r="A935" s="29"/>
      <c r="B935" s="29"/>
      <c r="C935" s="29"/>
      <c r="D935" s="29"/>
      <c r="E935" s="29"/>
      <c r="F935" s="30"/>
      <c r="G935" s="30"/>
      <c r="H935" s="30"/>
      <c r="I935" s="30"/>
      <c r="J935" s="30"/>
      <c r="K935" s="30"/>
      <c r="L935" s="29"/>
      <c r="M935" s="29"/>
      <c r="N935" s="29"/>
      <c r="O935" s="29"/>
      <c r="P935" s="29"/>
      <c r="Q935" s="29"/>
      <c r="R935" s="29"/>
      <c r="S935" s="29"/>
      <c r="T935" s="29"/>
      <c r="U935" s="31"/>
      <c r="V935" s="31"/>
      <c r="W935" s="31"/>
      <c r="X935" s="31"/>
      <c r="Y935" s="31"/>
    </row>
    <row r="936" spans="1:25" x14ac:dyDescent="0.2">
      <c r="A936" s="29"/>
      <c r="B936" s="29"/>
      <c r="C936" s="29"/>
      <c r="D936" s="29"/>
      <c r="E936" s="29"/>
      <c r="F936" s="30"/>
      <c r="G936" s="30"/>
      <c r="H936" s="30"/>
      <c r="I936" s="30"/>
      <c r="J936" s="30"/>
      <c r="K936" s="30"/>
      <c r="L936" s="29"/>
      <c r="M936" s="29"/>
      <c r="N936" s="29"/>
      <c r="O936" s="29"/>
      <c r="P936" s="29"/>
      <c r="Q936" s="29"/>
      <c r="R936" s="29"/>
      <c r="S936" s="29"/>
      <c r="T936" s="29"/>
      <c r="U936" s="31"/>
      <c r="V936" s="31"/>
      <c r="W936" s="31"/>
      <c r="X936" s="31"/>
      <c r="Y936" s="31"/>
    </row>
    <row r="937" spans="1:25" x14ac:dyDescent="0.2">
      <c r="A937" s="29"/>
      <c r="B937" s="29"/>
      <c r="C937" s="29"/>
      <c r="D937" s="29"/>
      <c r="E937" s="29"/>
      <c r="F937" s="30"/>
      <c r="G937" s="30"/>
      <c r="H937" s="30"/>
      <c r="I937" s="30"/>
      <c r="J937" s="30"/>
      <c r="K937" s="30"/>
      <c r="L937" s="29"/>
      <c r="M937" s="29"/>
      <c r="N937" s="29"/>
      <c r="O937" s="29"/>
      <c r="P937" s="29"/>
      <c r="Q937" s="29"/>
      <c r="R937" s="29"/>
      <c r="S937" s="29"/>
      <c r="T937" s="29"/>
      <c r="U937" s="31"/>
      <c r="V937" s="31"/>
      <c r="W937" s="31"/>
      <c r="X937" s="31"/>
      <c r="Y937" s="31"/>
    </row>
    <row r="938" spans="1:25" x14ac:dyDescent="0.2">
      <c r="A938" s="29"/>
      <c r="B938" s="29"/>
      <c r="C938" s="29"/>
      <c r="D938" s="29"/>
      <c r="E938" s="29"/>
      <c r="F938" s="30"/>
      <c r="G938" s="30"/>
      <c r="H938" s="30"/>
      <c r="I938" s="30"/>
      <c r="J938" s="30"/>
      <c r="K938" s="30"/>
      <c r="L938" s="29"/>
      <c r="M938" s="29"/>
      <c r="N938" s="29"/>
      <c r="O938" s="29"/>
      <c r="P938" s="29"/>
      <c r="Q938" s="29"/>
      <c r="R938" s="29"/>
      <c r="S938" s="29"/>
      <c r="T938" s="29"/>
      <c r="U938" s="31"/>
      <c r="V938" s="31"/>
      <c r="W938" s="31"/>
      <c r="X938" s="31"/>
      <c r="Y938" s="31"/>
    </row>
    <row r="939" spans="1:25" x14ac:dyDescent="0.2">
      <c r="A939" s="29"/>
      <c r="B939" s="29"/>
      <c r="C939" s="29"/>
      <c r="D939" s="29"/>
      <c r="E939" s="29"/>
      <c r="F939" s="30"/>
      <c r="G939" s="30"/>
      <c r="H939" s="30"/>
      <c r="I939" s="30"/>
      <c r="J939" s="30"/>
      <c r="K939" s="30"/>
      <c r="L939" s="29"/>
      <c r="M939" s="29"/>
      <c r="N939" s="29"/>
      <c r="O939" s="29"/>
      <c r="P939" s="29"/>
      <c r="Q939" s="29"/>
      <c r="R939" s="29"/>
      <c r="S939" s="29"/>
      <c r="T939" s="29"/>
      <c r="U939" s="31"/>
      <c r="V939" s="31"/>
      <c r="W939" s="31"/>
      <c r="X939" s="31"/>
      <c r="Y939" s="31"/>
    </row>
    <row r="940" spans="1:25" x14ac:dyDescent="0.2">
      <c r="A940" s="29"/>
      <c r="B940" s="29"/>
      <c r="C940" s="29"/>
      <c r="D940" s="29"/>
      <c r="E940" s="29"/>
      <c r="F940" s="30"/>
      <c r="G940" s="30"/>
      <c r="H940" s="30"/>
      <c r="I940" s="30"/>
      <c r="J940" s="30"/>
      <c r="K940" s="30"/>
      <c r="L940" s="29"/>
      <c r="M940" s="29"/>
      <c r="N940" s="29"/>
      <c r="O940" s="29"/>
      <c r="P940" s="29"/>
      <c r="Q940" s="29"/>
      <c r="R940" s="29"/>
      <c r="S940" s="29"/>
      <c r="T940" s="29"/>
      <c r="U940" s="31"/>
      <c r="V940" s="31"/>
      <c r="W940" s="31"/>
      <c r="X940" s="31"/>
      <c r="Y940" s="31"/>
    </row>
    <row r="941" spans="1:25" x14ac:dyDescent="0.2">
      <c r="A941" s="29"/>
      <c r="B941" s="29"/>
      <c r="C941" s="29"/>
      <c r="D941" s="29"/>
      <c r="E941" s="29"/>
      <c r="F941" s="30"/>
      <c r="G941" s="30"/>
      <c r="H941" s="30"/>
      <c r="I941" s="30"/>
      <c r="J941" s="30"/>
      <c r="K941" s="30"/>
      <c r="L941" s="29"/>
      <c r="M941" s="29"/>
      <c r="N941" s="29"/>
      <c r="O941" s="29"/>
      <c r="P941" s="29"/>
      <c r="Q941" s="29"/>
      <c r="R941" s="29"/>
      <c r="S941" s="29"/>
      <c r="T941" s="29"/>
      <c r="U941" s="31"/>
      <c r="V941" s="31"/>
      <c r="W941" s="31"/>
      <c r="X941" s="31"/>
      <c r="Y941" s="31"/>
    </row>
    <row r="942" spans="1:25" x14ac:dyDescent="0.2">
      <c r="A942" s="29"/>
      <c r="B942" s="29"/>
      <c r="C942" s="29"/>
      <c r="D942" s="29"/>
      <c r="E942" s="29"/>
      <c r="F942" s="30"/>
      <c r="G942" s="30"/>
      <c r="H942" s="30"/>
      <c r="I942" s="30"/>
      <c r="J942" s="30"/>
      <c r="K942" s="30"/>
      <c r="L942" s="29"/>
      <c r="M942" s="29"/>
      <c r="N942" s="29"/>
      <c r="O942" s="29"/>
      <c r="P942" s="29"/>
      <c r="Q942" s="29"/>
      <c r="R942" s="29"/>
      <c r="S942" s="29"/>
      <c r="T942" s="29"/>
      <c r="U942" s="31"/>
      <c r="V942" s="31"/>
      <c r="W942" s="31"/>
      <c r="X942" s="31"/>
      <c r="Y942" s="31"/>
    </row>
    <row r="943" spans="1:25" x14ac:dyDescent="0.2">
      <c r="A943" s="29"/>
      <c r="B943" s="29"/>
      <c r="C943" s="29"/>
      <c r="D943" s="29"/>
      <c r="E943" s="29"/>
      <c r="F943" s="30"/>
      <c r="G943" s="30"/>
      <c r="H943" s="30"/>
      <c r="I943" s="30"/>
      <c r="J943" s="30"/>
      <c r="K943" s="30"/>
      <c r="L943" s="29"/>
      <c r="M943" s="29"/>
      <c r="N943" s="29"/>
      <c r="O943" s="29"/>
      <c r="P943" s="29"/>
      <c r="Q943" s="29"/>
      <c r="R943" s="29"/>
      <c r="S943" s="29"/>
      <c r="T943" s="29"/>
      <c r="U943" s="31"/>
      <c r="V943" s="31"/>
      <c r="W943" s="31"/>
      <c r="X943" s="31"/>
      <c r="Y943" s="31"/>
    </row>
    <row r="944" spans="1:25" x14ac:dyDescent="0.2">
      <c r="A944" s="29"/>
      <c r="B944" s="29"/>
      <c r="C944" s="29"/>
      <c r="D944" s="29"/>
      <c r="E944" s="29"/>
      <c r="F944" s="30"/>
      <c r="G944" s="30"/>
      <c r="H944" s="30"/>
      <c r="I944" s="30"/>
      <c r="J944" s="30"/>
      <c r="K944" s="30"/>
      <c r="L944" s="29"/>
      <c r="M944" s="29"/>
      <c r="N944" s="29"/>
      <c r="O944" s="29"/>
      <c r="P944" s="29"/>
      <c r="Q944" s="29"/>
      <c r="R944" s="29"/>
      <c r="S944" s="29"/>
      <c r="T944" s="29"/>
      <c r="U944" s="31"/>
      <c r="V944" s="31"/>
      <c r="W944" s="31"/>
      <c r="X944" s="31"/>
      <c r="Y944" s="31"/>
    </row>
    <row r="945" spans="1:25" x14ac:dyDescent="0.2">
      <c r="A945" s="29"/>
      <c r="B945" s="29"/>
      <c r="C945" s="29"/>
      <c r="D945" s="29"/>
      <c r="E945" s="29"/>
      <c r="F945" s="30"/>
      <c r="G945" s="30"/>
      <c r="H945" s="30"/>
      <c r="I945" s="30"/>
      <c r="J945" s="30"/>
      <c r="K945" s="30"/>
      <c r="L945" s="29"/>
      <c r="M945" s="29"/>
      <c r="N945" s="29"/>
      <c r="O945" s="29"/>
      <c r="P945" s="29"/>
      <c r="Q945" s="29"/>
      <c r="R945" s="29"/>
      <c r="S945" s="29"/>
      <c r="T945" s="29"/>
      <c r="U945" s="31"/>
      <c r="V945" s="31"/>
      <c r="W945" s="31"/>
      <c r="X945" s="31"/>
      <c r="Y945" s="31"/>
    </row>
    <row r="946" spans="1:25" x14ac:dyDescent="0.2">
      <c r="A946" s="29"/>
      <c r="B946" s="29"/>
      <c r="C946" s="29"/>
      <c r="D946" s="29"/>
      <c r="E946" s="29"/>
      <c r="F946" s="30"/>
      <c r="G946" s="30"/>
      <c r="H946" s="30"/>
      <c r="I946" s="30"/>
      <c r="J946" s="30"/>
      <c r="K946" s="30"/>
      <c r="L946" s="29"/>
      <c r="M946" s="29"/>
      <c r="N946" s="29"/>
      <c r="O946" s="29"/>
      <c r="P946" s="29"/>
      <c r="Q946" s="29"/>
      <c r="R946" s="29"/>
      <c r="S946" s="29"/>
      <c r="T946" s="29"/>
      <c r="U946" s="31"/>
      <c r="V946" s="31"/>
      <c r="W946" s="31"/>
      <c r="X946" s="31"/>
      <c r="Y946" s="31"/>
    </row>
    <row r="947" spans="1:25" x14ac:dyDescent="0.2">
      <c r="A947" s="29"/>
      <c r="B947" s="29"/>
      <c r="C947" s="29"/>
      <c r="D947" s="29"/>
      <c r="E947" s="29"/>
      <c r="F947" s="30"/>
      <c r="G947" s="30"/>
      <c r="H947" s="30"/>
      <c r="I947" s="30"/>
      <c r="J947" s="30"/>
      <c r="K947" s="30"/>
      <c r="L947" s="29"/>
      <c r="M947" s="29"/>
      <c r="N947" s="29"/>
      <c r="O947" s="29"/>
      <c r="P947" s="29"/>
      <c r="Q947" s="29"/>
      <c r="R947" s="29"/>
      <c r="S947" s="29"/>
      <c r="T947" s="29"/>
      <c r="U947" s="31"/>
      <c r="V947" s="31"/>
      <c r="W947" s="31"/>
      <c r="X947" s="31"/>
      <c r="Y947" s="31"/>
    </row>
    <row r="948" spans="1:25" x14ac:dyDescent="0.2">
      <c r="A948" s="29"/>
      <c r="B948" s="29"/>
      <c r="C948" s="29"/>
      <c r="D948" s="29"/>
      <c r="E948" s="29"/>
      <c r="F948" s="30"/>
      <c r="G948" s="30"/>
      <c r="H948" s="30"/>
      <c r="I948" s="30"/>
      <c r="J948" s="30"/>
      <c r="K948" s="30"/>
      <c r="L948" s="29"/>
      <c r="M948" s="29"/>
      <c r="N948" s="29"/>
      <c r="O948" s="29"/>
      <c r="P948" s="29"/>
      <c r="Q948" s="29"/>
      <c r="R948" s="29"/>
      <c r="S948" s="29"/>
      <c r="T948" s="29"/>
      <c r="U948" s="31"/>
      <c r="V948" s="31"/>
      <c r="W948" s="31"/>
      <c r="X948" s="31"/>
      <c r="Y948" s="31"/>
    </row>
    <row r="949" spans="1:25" x14ac:dyDescent="0.2">
      <c r="A949" s="29"/>
      <c r="B949" s="29"/>
      <c r="C949" s="29"/>
      <c r="D949" s="29"/>
      <c r="E949" s="29"/>
      <c r="F949" s="30"/>
      <c r="G949" s="30"/>
      <c r="H949" s="30"/>
      <c r="I949" s="30"/>
      <c r="J949" s="30"/>
      <c r="K949" s="30"/>
      <c r="L949" s="29"/>
      <c r="M949" s="29"/>
      <c r="N949" s="29"/>
      <c r="O949" s="29"/>
      <c r="P949" s="29"/>
      <c r="Q949" s="29"/>
      <c r="R949" s="29"/>
      <c r="S949" s="29"/>
      <c r="T949" s="29"/>
      <c r="U949" s="31"/>
      <c r="V949" s="31"/>
      <c r="W949" s="31"/>
      <c r="X949" s="31"/>
      <c r="Y949" s="31"/>
    </row>
    <row r="950" spans="1:25" x14ac:dyDescent="0.2">
      <c r="A950" s="29"/>
      <c r="B950" s="29"/>
      <c r="C950" s="29"/>
      <c r="D950" s="29"/>
      <c r="E950" s="29"/>
      <c r="F950" s="30"/>
      <c r="G950" s="30"/>
      <c r="H950" s="30"/>
      <c r="I950" s="30"/>
      <c r="J950" s="30"/>
      <c r="K950" s="30"/>
      <c r="L950" s="29"/>
      <c r="M950" s="29"/>
      <c r="N950" s="29"/>
      <c r="O950" s="29"/>
      <c r="P950" s="29"/>
      <c r="Q950" s="29"/>
      <c r="R950" s="29"/>
      <c r="S950" s="29"/>
      <c r="T950" s="29"/>
      <c r="U950" s="31"/>
      <c r="V950" s="31"/>
      <c r="W950" s="31"/>
      <c r="X950" s="31"/>
      <c r="Y950" s="31"/>
    </row>
    <row r="951" spans="1:25" x14ac:dyDescent="0.2">
      <c r="A951" s="29"/>
      <c r="B951" s="29"/>
      <c r="C951" s="29"/>
      <c r="D951" s="29"/>
      <c r="E951" s="29"/>
      <c r="F951" s="30"/>
      <c r="G951" s="30"/>
      <c r="H951" s="30"/>
      <c r="I951" s="30"/>
      <c r="J951" s="30"/>
      <c r="K951" s="30"/>
      <c r="L951" s="29"/>
      <c r="M951" s="29"/>
      <c r="N951" s="29"/>
      <c r="O951" s="29"/>
      <c r="P951" s="29"/>
      <c r="Q951" s="29"/>
      <c r="R951" s="29"/>
      <c r="S951" s="29"/>
      <c r="T951" s="29"/>
      <c r="U951" s="31"/>
      <c r="V951" s="31"/>
      <c r="W951" s="31"/>
      <c r="X951" s="31"/>
      <c r="Y951" s="31"/>
    </row>
    <row r="952" spans="1:25" x14ac:dyDescent="0.2">
      <c r="A952" s="29"/>
      <c r="B952" s="29"/>
      <c r="C952" s="29"/>
      <c r="D952" s="29"/>
      <c r="E952" s="29"/>
      <c r="F952" s="30"/>
      <c r="G952" s="30"/>
      <c r="H952" s="30"/>
      <c r="I952" s="30"/>
      <c r="J952" s="30"/>
      <c r="K952" s="30"/>
      <c r="L952" s="29"/>
      <c r="M952" s="29"/>
      <c r="N952" s="29"/>
      <c r="O952" s="29"/>
      <c r="P952" s="29"/>
      <c r="Q952" s="29"/>
      <c r="R952" s="29"/>
      <c r="S952" s="29"/>
      <c r="T952" s="29"/>
      <c r="U952" s="31"/>
      <c r="V952" s="31"/>
      <c r="W952" s="31"/>
      <c r="X952" s="31"/>
      <c r="Y952" s="31"/>
    </row>
    <row r="953" spans="1:25" x14ac:dyDescent="0.2">
      <c r="A953" s="29"/>
      <c r="B953" s="29"/>
      <c r="C953" s="29"/>
      <c r="D953" s="29"/>
      <c r="E953" s="29"/>
      <c r="F953" s="30"/>
      <c r="G953" s="30"/>
      <c r="H953" s="30"/>
      <c r="I953" s="30"/>
      <c r="J953" s="30"/>
      <c r="K953" s="30"/>
      <c r="L953" s="29"/>
      <c r="M953" s="29"/>
      <c r="N953" s="29"/>
      <c r="O953" s="29"/>
      <c r="P953" s="29"/>
      <c r="Q953" s="29"/>
      <c r="R953" s="29"/>
      <c r="S953" s="29"/>
      <c r="T953" s="29"/>
      <c r="U953" s="31"/>
      <c r="V953" s="31"/>
      <c r="W953" s="31"/>
      <c r="X953" s="31"/>
      <c r="Y953" s="31"/>
    </row>
    <row r="954" spans="1:25" x14ac:dyDescent="0.2">
      <c r="A954" s="29"/>
      <c r="B954" s="29"/>
      <c r="C954" s="29"/>
      <c r="D954" s="29"/>
      <c r="E954" s="29"/>
      <c r="F954" s="30"/>
      <c r="G954" s="30"/>
      <c r="H954" s="30"/>
      <c r="I954" s="30"/>
      <c r="J954" s="30"/>
      <c r="K954" s="30"/>
      <c r="L954" s="29"/>
      <c r="M954" s="29"/>
      <c r="N954" s="29"/>
      <c r="O954" s="29"/>
      <c r="P954" s="29"/>
      <c r="Q954" s="29"/>
      <c r="R954" s="29"/>
      <c r="S954" s="29"/>
      <c r="T954" s="29"/>
      <c r="U954" s="31"/>
      <c r="V954" s="31"/>
      <c r="W954" s="31"/>
      <c r="X954" s="31"/>
      <c r="Y954" s="31"/>
    </row>
    <row r="955" spans="1:25" x14ac:dyDescent="0.2">
      <c r="A955" s="29"/>
      <c r="B955" s="29"/>
      <c r="C955" s="29"/>
      <c r="D955" s="29"/>
      <c r="E955" s="29"/>
      <c r="F955" s="30"/>
      <c r="G955" s="30"/>
      <c r="H955" s="30"/>
      <c r="I955" s="30"/>
      <c r="J955" s="30"/>
      <c r="K955" s="30"/>
      <c r="L955" s="29"/>
      <c r="M955" s="29"/>
      <c r="N955" s="29"/>
      <c r="O955" s="29"/>
      <c r="P955" s="29"/>
      <c r="Q955" s="29"/>
      <c r="R955" s="29"/>
      <c r="S955" s="29"/>
      <c r="T955" s="29"/>
      <c r="U955" s="31"/>
      <c r="V955" s="31"/>
      <c r="W955" s="31"/>
      <c r="X955" s="31"/>
      <c r="Y955" s="31"/>
    </row>
    <row r="956" spans="1:25" x14ac:dyDescent="0.2">
      <c r="A956" s="29"/>
      <c r="B956" s="29"/>
      <c r="C956" s="29"/>
      <c r="D956" s="29"/>
      <c r="E956" s="29"/>
      <c r="F956" s="30"/>
      <c r="G956" s="30"/>
      <c r="H956" s="30"/>
      <c r="I956" s="30"/>
      <c r="J956" s="30"/>
      <c r="K956" s="30"/>
      <c r="L956" s="29"/>
      <c r="M956" s="29"/>
      <c r="N956" s="29"/>
      <c r="O956" s="29"/>
      <c r="P956" s="29"/>
      <c r="Q956" s="29"/>
      <c r="R956" s="29"/>
      <c r="S956" s="29"/>
      <c r="T956" s="29"/>
      <c r="U956" s="31"/>
      <c r="V956" s="31"/>
      <c r="W956" s="31"/>
      <c r="X956" s="31"/>
      <c r="Y956" s="31"/>
    </row>
    <row r="957" spans="1:25" x14ac:dyDescent="0.2">
      <c r="A957" s="29"/>
      <c r="B957" s="29"/>
      <c r="C957" s="29"/>
      <c r="D957" s="29"/>
      <c r="E957" s="29"/>
      <c r="F957" s="30"/>
      <c r="G957" s="30"/>
      <c r="H957" s="30"/>
      <c r="I957" s="30"/>
      <c r="J957" s="30"/>
      <c r="K957" s="30"/>
      <c r="L957" s="29"/>
      <c r="M957" s="29"/>
      <c r="N957" s="29"/>
      <c r="O957" s="29"/>
      <c r="P957" s="29"/>
      <c r="Q957" s="29"/>
      <c r="R957" s="29"/>
      <c r="S957" s="29"/>
      <c r="T957" s="29"/>
      <c r="U957" s="31"/>
      <c r="V957" s="31"/>
      <c r="W957" s="31"/>
      <c r="X957" s="31"/>
      <c r="Y957" s="31"/>
    </row>
    <row r="958" spans="1:25" x14ac:dyDescent="0.2">
      <c r="A958" s="29"/>
      <c r="B958" s="29"/>
      <c r="C958" s="29"/>
      <c r="D958" s="29"/>
      <c r="E958" s="29"/>
      <c r="F958" s="30"/>
      <c r="G958" s="30"/>
      <c r="H958" s="30"/>
      <c r="I958" s="30"/>
      <c r="J958" s="30"/>
      <c r="K958" s="30"/>
      <c r="L958" s="29"/>
      <c r="M958" s="29"/>
      <c r="N958" s="29"/>
      <c r="O958" s="29"/>
      <c r="P958" s="29"/>
      <c r="Q958" s="29"/>
      <c r="R958" s="29"/>
      <c r="S958" s="29"/>
      <c r="T958" s="29"/>
      <c r="U958" s="31"/>
      <c r="V958" s="31"/>
      <c r="W958" s="31"/>
      <c r="X958" s="31"/>
      <c r="Y958" s="31"/>
    </row>
    <row r="959" spans="1:25" x14ac:dyDescent="0.2">
      <c r="A959" s="29"/>
      <c r="B959" s="29"/>
      <c r="C959" s="29"/>
      <c r="D959" s="29"/>
      <c r="E959" s="29"/>
      <c r="F959" s="30"/>
      <c r="G959" s="30"/>
      <c r="H959" s="30"/>
      <c r="I959" s="30"/>
      <c r="J959" s="30"/>
      <c r="K959" s="30"/>
      <c r="L959" s="29"/>
      <c r="M959" s="29"/>
      <c r="N959" s="29"/>
      <c r="O959" s="29"/>
      <c r="P959" s="29"/>
      <c r="Q959" s="29"/>
      <c r="R959" s="29"/>
      <c r="S959" s="29"/>
      <c r="T959" s="29"/>
      <c r="U959" s="31"/>
      <c r="V959" s="31"/>
      <c r="W959" s="31"/>
      <c r="X959" s="31"/>
      <c r="Y959" s="31"/>
    </row>
    <row r="960" spans="1:25" x14ac:dyDescent="0.2">
      <c r="A960" s="29"/>
      <c r="B960" s="29"/>
      <c r="C960" s="29"/>
      <c r="D960" s="29"/>
      <c r="E960" s="29"/>
      <c r="F960" s="30"/>
      <c r="G960" s="30"/>
      <c r="H960" s="30"/>
      <c r="I960" s="30"/>
      <c r="J960" s="30"/>
      <c r="K960" s="30"/>
      <c r="L960" s="29"/>
      <c r="M960" s="29"/>
      <c r="N960" s="29"/>
      <c r="O960" s="29"/>
      <c r="P960" s="29"/>
      <c r="Q960" s="29"/>
      <c r="R960" s="29"/>
      <c r="S960" s="29"/>
      <c r="T960" s="29"/>
      <c r="U960" s="31"/>
      <c r="V960" s="31"/>
      <c r="W960" s="31"/>
      <c r="X960" s="31"/>
      <c r="Y960" s="31"/>
    </row>
    <row r="961" spans="1:25" x14ac:dyDescent="0.2">
      <c r="A961" s="29"/>
      <c r="B961" s="29"/>
      <c r="C961" s="29"/>
      <c r="D961" s="29"/>
      <c r="E961" s="29"/>
      <c r="F961" s="30"/>
      <c r="G961" s="30"/>
      <c r="H961" s="30"/>
      <c r="I961" s="30"/>
      <c r="J961" s="30"/>
      <c r="K961" s="30"/>
      <c r="L961" s="29"/>
      <c r="M961" s="29"/>
      <c r="N961" s="29"/>
      <c r="O961" s="29"/>
      <c r="P961" s="29"/>
      <c r="Q961" s="29"/>
      <c r="R961" s="29"/>
      <c r="S961" s="29"/>
      <c r="T961" s="29"/>
      <c r="U961" s="31"/>
      <c r="V961" s="31"/>
      <c r="W961" s="31"/>
      <c r="X961" s="31"/>
      <c r="Y961" s="31"/>
    </row>
    <row r="962" spans="1:25" x14ac:dyDescent="0.2">
      <c r="A962" s="29"/>
      <c r="B962" s="29"/>
      <c r="C962" s="29"/>
      <c r="D962" s="29"/>
      <c r="E962" s="29"/>
      <c r="F962" s="30"/>
      <c r="G962" s="30"/>
      <c r="H962" s="30"/>
      <c r="I962" s="30"/>
      <c r="J962" s="30"/>
      <c r="K962" s="30"/>
      <c r="L962" s="29"/>
      <c r="M962" s="29"/>
      <c r="N962" s="29"/>
      <c r="O962" s="29"/>
      <c r="P962" s="29"/>
      <c r="Q962" s="29"/>
      <c r="R962" s="29"/>
      <c r="S962" s="29"/>
      <c r="T962" s="29"/>
      <c r="U962" s="31"/>
      <c r="V962" s="31"/>
      <c r="W962" s="31"/>
      <c r="X962" s="31"/>
      <c r="Y962" s="31"/>
    </row>
    <row r="963" spans="1:25" x14ac:dyDescent="0.2">
      <c r="A963" s="29"/>
      <c r="B963" s="29"/>
      <c r="C963" s="29"/>
      <c r="D963" s="29"/>
      <c r="E963" s="29"/>
      <c r="F963" s="30"/>
      <c r="G963" s="30"/>
      <c r="H963" s="30"/>
      <c r="I963" s="30"/>
      <c r="J963" s="30"/>
      <c r="K963" s="30"/>
      <c r="L963" s="29"/>
      <c r="M963" s="29"/>
      <c r="N963" s="29"/>
      <c r="O963" s="29"/>
      <c r="P963" s="29"/>
      <c r="Q963" s="29"/>
      <c r="R963" s="29"/>
      <c r="S963" s="29"/>
      <c r="T963" s="29"/>
      <c r="U963" s="31"/>
      <c r="V963" s="31"/>
      <c r="W963" s="31"/>
      <c r="X963" s="31"/>
      <c r="Y963" s="31"/>
    </row>
    <row r="964" spans="1:25" x14ac:dyDescent="0.2">
      <c r="A964" s="29"/>
      <c r="B964" s="29"/>
      <c r="C964" s="29"/>
      <c r="D964" s="29"/>
      <c r="E964" s="29"/>
      <c r="F964" s="30"/>
      <c r="G964" s="30"/>
      <c r="H964" s="30"/>
      <c r="I964" s="30"/>
      <c r="J964" s="30"/>
      <c r="K964" s="30"/>
      <c r="L964" s="29"/>
      <c r="M964" s="29"/>
      <c r="N964" s="29"/>
      <c r="O964" s="29"/>
      <c r="P964" s="29"/>
      <c r="Q964" s="29"/>
      <c r="R964" s="29"/>
      <c r="S964" s="29"/>
      <c r="T964" s="29"/>
      <c r="U964" s="31"/>
      <c r="V964" s="31"/>
      <c r="W964" s="31"/>
      <c r="X964" s="31"/>
      <c r="Y964" s="31"/>
    </row>
    <row r="965" spans="1:25" x14ac:dyDescent="0.2">
      <c r="A965" s="29"/>
      <c r="B965" s="29"/>
      <c r="C965" s="29"/>
      <c r="D965" s="29"/>
      <c r="E965" s="29"/>
      <c r="F965" s="30"/>
      <c r="G965" s="30"/>
      <c r="H965" s="30"/>
      <c r="I965" s="30"/>
      <c r="J965" s="30"/>
      <c r="K965" s="30"/>
      <c r="L965" s="29"/>
      <c r="M965" s="29"/>
      <c r="N965" s="29"/>
      <c r="O965" s="29"/>
      <c r="P965" s="29"/>
      <c r="Q965" s="29"/>
      <c r="R965" s="29"/>
      <c r="S965" s="29"/>
      <c r="T965" s="29"/>
      <c r="U965" s="31"/>
      <c r="V965" s="31"/>
      <c r="W965" s="31"/>
      <c r="X965" s="31"/>
      <c r="Y965" s="31"/>
    </row>
    <row r="966" spans="1:25" x14ac:dyDescent="0.2">
      <c r="A966" s="29"/>
      <c r="B966" s="29"/>
      <c r="C966" s="29"/>
      <c r="D966" s="29"/>
      <c r="E966" s="29"/>
      <c r="F966" s="30"/>
      <c r="G966" s="30"/>
      <c r="H966" s="30"/>
      <c r="I966" s="30"/>
      <c r="J966" s="30"/>
      <c r="K966" s="30"/>
      <c r="L966" s="29"/>
      <c r="M966" s="29"/>
      <c r="N966" s="29"/>
      <c r="O966" s="29"/>
      <c r="P966" s="29"/>
      <c r="Q966" s="29"/>
      <c r="R966" s="29"/>
      <c r="S966" s="29"/>
      <c r="T966" s="29"/>
      <c r="U966" s="31"/>
      <c r="V966" s="31"/>
      <c r="W966" s="31"/>
      <c r="X966" s="31"/>
      <c r="Y966" s="31"/>
    </row>
    <row r="967" spans="1:25" x14ac:dyDescent="0.2">
      <c r="A967" s="29"/>
      <c r="B967" s="29"/>
      <c r="C967" s="29"/>
      <c r="D967" s="29"/>
      <c r="E967" s="29"/>
      <c r="F967" s="30"/>
      <c r="G967" s="30"/>
      <c r="H967" s="30"/>
      <c r="I967" s="30"/>
      <c r="J967" s="30"/>
      <c r="K967" s="30"/>
      <c r="L967" s="29"/>
      <c r="M967" s="29"/>
      <c r="N967" s="29"/>
      <c r="O967" s="29"/>
      <c r="P967" s="29"/>
      <c r="Q967" s="29"/>
      <c r="R967" s="29"/>
      <c r="S967" s="29"/>
      <c r="T967" s="29"/>
      <c r="U967" s="31"/>
      <c r="V967" s="31"/>
      <c r="W967" s="31"/>
      <c r="X967" s="31"/>
      <c r="Y967" s="31"/>
    </row>
    <row r="968" spans="1:25" x14ac:dyDescent="0.2">
      <c r="A968" s="29"/>
      <c r="B968" s="29"/>
      <c r="C968" s="29"/>
      <c r="D968" s="29"/>
      <c r="E968" s="29"/>
      <c r="F968" s="30"/>
      <c r="G968" s="30"/>
      <c r="H968" s="30"/>
      <c r="I968" s="30"/>
      <c r="J968" s="30"/>
      <c r="K968" s="30"/>
      <c r="L968" s="29"/>
      <c r="M968" s="29"/>
      <c r="N968" s="29"/>
      <c r="O968" s="29"/>
      <c r="P968" s="29"/>
      <c r="Q968" s="29"/>
      <c r="R968" s="29"/>
      <c r="S968" s="29"/>
      <c r="T968" s="29"/>
      <c r="U968" s="31"/>
      <c r="V968" s="31"/>
      <c r="W968" s="31"/>
      <c r="X968" s="31"/>
      <c r="Y968" s="31"/>
    </row>
    <row r="969" spans="1:25" x14ac:dyDescent="0.2">
      <c r="A969" s="29"/>
      <c r="B969" s="29"/>
      <c r="C969" s="29"/>
      <c r="D969" s="29"/>
      <c r="E969" s="29"/>
      <c r="F969" s="30"/>
      <c r="G969" s="30"/>
      <c r="H969" s="30"/>
      <c r="I969" s="30"/>
      <c r="J969" s="30"/>
      <c r="K969" s="30"/>
      <c r="L969" s="29"/>
      <c r="M969" s="29"/>
      <c r="N969" s="29"/>
      <c r="O969" s="29"/>
      <c r="P969" s="29"/>
      <c r="Q969" s="29"/>
      <c r="R969" s="29"/>
      <c r="S969" s="29"/>
      <c r="T969" s="29"/>
      <c r="U969" s="31"/>
      <c r="V969" s="31"/>
      <c r="W969" s="31"/>
      <c r="X969" s="31"/>
      <c r="Y969" s="31"/>
    </row>
    <row r="970" spans="1:25" x14ac:dyDescent="0.2">
      <c r="A970" s="29"/>
      <c r="B970" s="29"/>
      <c r="C970" s="29"/>
      <c r="D970" s="29"/>
      <c r="E970" s="29"/>
      <c r="F970" s="30"/>
      <c r="G970" s="30"/>
      <c r="H970" s="30"/>
      <c r="I970" s="30"/>
      <c r="J970" s="30"/>
      <c r="K970" s="30"/>
      <c r="L970" s="29"/>
      <c r="M970" s="29"/>
      <c r="N970" s="29"/>
      <c r="O970" s="29"/>
      <c r="P970" s="29"/>
      <c r="Q970" s="29"/>
      <c r="R970" s="29"/>
      <c r="S970" s="29"/>
      <c r="T970" s="29"/>
      <c r="U970" s="31"/>
      <c r="V970" s="31"/>
      <c r="W970" s="31"/>
      <c r="X970" s="31"/>
      <c r="Y970" s="31"/>
    </row>
    <row r="971" spans="1:25" x14ac:dyDescent="0.2">
      <c r="A971" s="29"/>
      <c r="B971" s="29"/>
      <c r="C971" s="29"/>
      <c r="D971" s="29"/>
      <c r="E971" s="29"/>
      <c r="F971" s="30"/>
      <c r="G971" s="30"/>
      <c r="H971" s="30"/>
      <c r="I971" s="30"/>
      <c r="J971" s="30"/>
      <c r="K971" s="30"/>
      <c r="L971" s="29"/>
      <c r="M971" s="29"/>
      <c r="N971" s="29"/>
      <c r="O971" s="29"/>
      <c r="P971" s="29"/>
      <c r="Q971" s="29"/>
      <c r="R971" s="29"/>
      <c r="S971" s="29"/>
      <c r="T971" s="29"/>
      <c r="U971" s="31"/>
      <c r="V971" s="31"/>
      <c r="W971" s="31"/>
      <c r="X971" s="31"/>
      <c r="Y971" s="31"/>
    </row>
    <row r="972" spans="1:25" x14ac:dyDescent="0.2">
      <c r="A972" s="29"/>
      <c r="B972" s="29"/>
      <c r="C972" s="29"/>
      <c r="D972" s="29"/>
      <c r="E972" s="29"/>
      <c r="F972" s="30"/>
      <c r="G972" s="30"/>
      <c r="H972" s="30"/>
      <c r="I972" s="30"/>
      <c r="J972" s="30"/>
      <c r="K972" s="30"/>
      <c r="L972" s="29"/>
      <c r="M972" s="29"/>
      <c r="N972" s="29"/>
      <c r="O972" s="29"/>
      <c r="P972" s="29"/>
      <c r="Q972" s="29"/>
      <c r="R972" s="29"/>
      <c r="S972" s="29"/>
      <c r="T972" s="29"/>
      <c r="U972" s="31"/>
      <c r="V972" s="31"/>
      <c r="W972" s="31"/>
      <c r="X972" s="31"/>
      <c r="Y972" s="31"/>
    </row>
    <row r="973" spans="1:25" x14ac:dyDescent="0.2">
      <c r="A973" s="29"/>
      <c r="B973" s="29"/>
      <c r="C973" s="29"/>
      <c r="D973" s="29"/>
      <c r="E973" s="29"/>
      <c r="F973" s="30"/>
      <c r="G973" s="30"/>
      <c r="H973" s="30"/>
      <c r="I973" s="30"/>
      <c r="J973" s="30"/>
      <c r="K973" s="30"/>
      <c r="L973" s="29"/>
      <c r="M973" s="29"/>
      <c r="N973" s="29"/>
      <c r="O973" s="29"/>
      <c r="P973" s="29"/>
      <c r="Q973" s="29"/>
      <c r="R973" s="29"/>
      <c r="S973" s="29"/>
      <c r="T973" s="29"/>
      <c r="U973" s="31"/>
      <c r="V973" s="31"/>
      <c r="W973" s="31"/>
      <c r="X973" s="31"/>
      <c r="Y973" s="31"/>
    </row>
    <row r="974" spans="1:25" x14ac:dyDescent="0.2">
      <c r="A974" s="29"/>
      <c r="B974" s="29"/>
      <c r="C974" s="29"/>
      <c r="D974" s="29"/>
      <c r="E974" s="29"/>
      <c r="F974" s="30"/>
      <c r="G974" s="30"/>
      <c r="H974" s="30"/>
      <c r="I974" s="30"/>
      <c r="J974" s="30"/>
      <c r="K974" s="30"/>
      <c r="L974" s="29"/>
      <c r="M974" s="29"/>
      <c r="N974" s="29"/>
      <c r="O974" s="29"/>
      <c r="P974" s="29"/>
      <c r="Q974" s="29"/>
      <c r="R974" s="29"/>
      <c r="S974" s="29"/>
      <c r="T974" s="29"/>
      <c r="U974" s="31"/>
      <c r="V974" s="31"/>
      <c r="W974" s="31"/>
      <c r="X974" s="31"/>
      <c r="Y974" s="31"/>
    </row>
    <row r="975" spans="1:25" x14ac:dyDescent="0.2">
      <c r="A975" s="29"/>
      <c r="B975" s="29"/>
      <c r="C975" s="29"/>
      <c r="D975" s="29"/>
      <c r="E975" s="29"/>
      <c r="F975" s="30"/>
      <c r="G975" s="30"/>
      <c r="H975" s="30"/>
      <c r="I975" s="30"/>
      <c r="J975" s="30"/>
      <c r="K975" s="30"/>
      <c r="L975" s="29"/>
      <c r="M975" s="29"/>
      <c r="N975" s="29"/>
      <c r="O975" s="29"/>
      <c r="P975" s="29"/>
      <c r="Q975" s="29"/>
      <c r="R975" s="29"/>
      <c r="S975" s="29"/>
      <c r="T975" s="29"/>
      <c r="U975" s="31"/>
      <c r="V975" s="31"/>
      <c r="W975" s="31"/>
      <c r="X975" s="31"/>
      <c r="Y975" s="31"/>
    </row>
    <row r="976" spans="1:25" x14ac:dyDescent="0.2">
      <c r="A976" s="29"/>
      <c r="B976" s="29"/>
      <c r="C976" s="29"/>
      <c r="D976" s="29"/>
      <c r="E976" s="29"/>
      <c r="F976" s="30"/>
      <c r="G976" s="30"/>
      <c r="H976" s="30"/>
      <c r="I976" s="30"/>
      <c r="J976" s="30"/>
      <c r="K976" s="30"/>
      <c r="L976" s="29"/>
      <c r="M976" s="29"/>
      <c r="N976" s="29"/>
      <c r="O976" s="29"/>
      <c r="P976" s="29"/>
      <c r="Q976" s="29"/>
      <c r="R976" s="29"/>
      <c r="S976" s="29"/>
      <c r="T976" s="29"/>
      <c r="U976" s="31"/>
      <c r="V976" s="31"/>
      <c r="W976" s="31"/>
      <c r="X976" s="31"/>
      <c r="Y976" s="31"/>
    </row>
    <row r="977" spans="1:25" x14ac:dyDescent="0.2">
      <c r="A977" s="29"/>
      <c r="B977" s="29"/>
      <c r="C977" s="29"/>
      <c r="D977" s="29"/>
      <c r="E977" s="29"/>
      <c r="F977" s="30"/>
      <c r="G977" s="30"/>
      <c r="H977" s="30"/>
      <c r="I977" s="30"/>
      <c r="J977" s="30"/>
      <c r="K977" s="30"/>
      <c r="L977" s="29"/>
      <c r="M977" s="29"/>
      <c r="N977" s="29"/>
      <c r="O977" s="29"/>
      <c r="P977" s="29"/>
      <c r="Q977" s="29"/>
      <c r="R977" s="29"/>
      <c r="S977" s="29"/>
      <c r="T977" s="29"/>
      <c r="U977" s="31"/>
      <c r="V977" s="31"/>
      <c r="W977" s="31"/>
      <c r="X977" s="31"/>
      <c r="Y977" s="31"/>
    </row>
    <row r="978" spans="1:25" x14ac:dyDescent="0.2">
      <c r="A978" s="29"/>
      <c r="B978" s="29"/>
      <c r="C978" s="29"/>
      <c r="D978" s="29"/>
      <c r="E978" s="29"/>
      <c r="F978" s="30"/>
      <c r="G978" s="30"/>
      <c r="H978" s="30"/>
      <c r="I978" s="30"/>
      <c r="J978" s="30"/>
      <c r="K978" s="30"/>
      <c r="L978" s="29"/>
      <c r="M978" s="29"/>
      <c r="N978" s="29"/>
      <c r="O978" s="29"/>
      <c r="P978" s="29"/>
      <c r="Q978" s="29"/>
      <c r="R978" s="29"/>
      <c r="S978" s="29"/>
      <c r="T978" s="29"/>
      <c r="U978" s="31"/>
      <c r="V978" s="31"/>
      <c r="W978" s="31"/>
      <c r="X978" s="31"/>
      <c r="Y978" s="31"/>
    </row>
    <row r="979" spans="1:25" x14ac:dyDescent="0.2">
      <c r="A979" s="29"/>
      <c r="B979" s="29"/>
      <c r="C979" s="29"/>
      <c r="D979" s="29"/>
      <c r="E979" s="29"/>
      <c r="F979" s="30"/>
      <c r="G979" s="30"/>
      <c r="H979" s="30"/>
      <c r="I979" s="30"/>
      <c r="J979" s="30"/>
      <c r="K979" s="30"/>
      <c r="L979" s="29"/>
      <c r="M979" s="29"/>
      <c r="N979" s="29"/>
      <c r="O979" s="29"/>
      <c r="P979" s="29"/>
      <c r="Q979" s="29"/>
      <c r="R979" s="29"/>
      <c r="S979" s="29"/>
      <c r="T979" s="29"/>
      <c r="U979" s="31"/>
      <c r="V979" s="31"/>
      <c r="W979" s="31"/>
      <c r="X979" s="31"/>
      <c r="Y979" s="31"/>
    </row>
    <row r="980" spans="1:25" x14ac:dyDescent="0.2">
      <c r="A980" s="29"/>
      <c r="B980" s="29"/>
      <c r="C980" s="29"/>
      <c r="D980" s="29"/>
      <c r="E980" s="29"/>
      <c r="F980" s="30"/>
      <c r="G980" s="30"/>
      <c r="H980" s="30"/>
      <c r="I980" s="30"/>
      <c r="J980" s="30"/>
      <c r="K980" s="30"/>
      <c r="L980" s="29"/>
      <c r="M980" s="29"/>
      <c r="N980" s="29"/>
      <c r="O980" s="29"/>
      <c r="P980" s="29"/>
      <c r="Q980" s="29"/>
      <c r="R980" s="29"/>
      <c r="S980" s="29"/>
      <c r="T980" s="29"/>
      <c r="U980" s="31"/>
      <c r="V980" s="31"/>
      <c r="W980" s="31"/>
      <c r="X980" s="31"/>
      <c r="Y980" s="31"/>
    </row>
    <row r="981" spans="1:25" x14ac:dyDescent="0.2">
      <c r="A981" s="29"/>
      <c r="B981" s="29"/>
      <c r="C981" s="29"/>
      <c r="D981" s="29"/>
      <c r="E981" s="29"/>
      <c r="F981" s="30"/>
      <c r="G981" s="30"/>
      <c r="H981" s="30"/>
      <c r="I981" s="30"/>
      <c r="J981" s="30"/>
      <c r="K981" s="30"/>
      <c r="L981" s="29"/>
      <c r="M981" s="29"/>
      <c r="N981" s="29"/>
      <c r="O981" s="29"/>
      <c r="P981" s="29"/>
      <c r="Q981" s="29"/>
      <c r="R981" s="29"/>
      <c r="S981" s="29"/>
      <c r="T981" s="29"/>
      <c r="U981" s="31"/>
      <c r="V981" s="31"/>
      <c r="W981" s="31"/>
      <c r="X981" s="31"/>
      <c r="Y981" s="31"/>
    </row>
    <row r="982" spans="1:25" x14ac:dyDescent="0.2">
      <c r="A982" s="29"/>
      <c r="B982" s="29"/>
      <c r="C982" s="29"/>
      <c r="D982" s="29"/>
      <c r="E982" s="29"/>
      <c r="F982" s="30"/>
      <c r="G982" s="30"/>
      <c r="H982" s="30"/>
      <c r="I982" s="30"/>
      <c r="J982" s="30"/>
      <c r="K982" s="30"/>
      <c r="L982" s="29"/>
      <c r="M982" s="29"/>
      <c r="N982" s="29"/>
      <c r="O982" s="29"/>
      <c r="P982" s="29"/>
      <c r="Q982" s="29"/>
      <c r="R982" s="29"/>
      <c r="S982" s="29"/>
      <c r="T982" s="29"/>
      <c r="U982" s="31"/>
      <c r="V982" s="31"/>
      <c r="W982" s="31"/>
      <c r="X982" s="31"/>
      <c r="Y982" s="31"/>
    </row>
    <row r="983" spans="1:25" x14ac:dyDescent="0.2">
      <c r="A983" s="29"/>
      <c r="B983" s="29"/>
      <c r="C983" s="29"/>
      <c r="D983" s="29"/>
      <c r="E983" s="29"/>
      <c r="F983" s="30"/>
      <c r="G983" s="30"/>
      <c r="H983" s="30"/>
      <c r="I983" s="30"/>
      <c r="J983" s="30"/>
      <c r="K983" s="30"/>
      <c r="L983" s="29"/>
      <c r="M983" s="29"/>
      <c r="N983" s="29"/>
      <c r="O983" s="29"/>
      <c r="P983" s="29"/>
      <c r="Q983" s="29"/>
      <c r="R983" s="29"/>
      <c r="S983" s="29"/>
      <c r="T983" s="29"/>
      <c r="U983" s="31"/>
      <c r="V983" s="31"/>
      <c r="W983" s="31"/>
      <c r="X983" s="31"/>
      <c r="Y983" s="31"/>
    </row>
    <row r="984" spans="1:25" x14ac:dyDescent="0.2">
      <c r="A984" s="29"/>
      <c r="B984" s="29"/>
      <c r="C984" s="29"/>
      <c r="D984" s="29"/>
      <c r="E984" s="29"/>
      <c r="F984" s="30"/>
      <c r="G984" s="30"/>
      <c r="H984" s="30"/>
      <c r="I984" s="30"/>
      <c r="J984" s="30"/>
      <c r="K984" s="30"/>
      <c r="L984" s="29"/>
      <c r="M984" s="29"/>
      <c r="N984" s="29"/>
      <c r="O984" s="29"/>
      <c r="P984" s="29"/>
      <c r="Q984" s="29"/>
      <c r="R984" s="29"/>
      <c r="S984" s="29"/>
      <c r="T984" s="29"/>
      <c r="U984" s="31"/>
      <c r="V984" s="31"/>
      <c r="W984" s="31"/>
      <c r="X984" s="31"/>
      <c r="Y984" s="31"/>
    </row>
    <row r="985" spans="1:25" x14ac:dyDescent="0.2">
      <c r="A985" s="29"/>
      <c r="B985" s="29"/>
      <c r="C985" s="29"/>
      <c r="D985" s="29"/>
      <c r="E985" s="29"/>
      <c r="F985" s="30"/>
      <c r="G985" s="30"/>
      <c r="H985" s="30"/>
      <c r="I985" s="30"/>
      <c r="J985" s="30"/>
      <c r="K985" s="30"/>
      <c r="L985" s="29"/>
      <c r="M985" s="29"/>
      <c r="N985" s="29"/>
      <c r="O985" s="29"/>
      <c r="P985" s="29"/>
      <c r="Q985" s="29"/>
      <c r="R985" s="29"/>
      <c r="S985" s="29"/>
      <c r="T985" s="29"/>
      <c r="U985" s="31"/>
      <c r="V985" s="31"/>
      <c r="W985" s="31"/>
      <c r="X985" s="31"/>
      <c r="Y985" s="31"/>
    </row>
    <row r="986" spans="1:25" x14ac:dyDescent="0.2">
      <c r="A986" s="29"/>
      <c r="B986" s="29"/>
      <c r="C986" s="29"/>
      <c r="D986" s="29"/>
      <c r="E986" s="29"/>
      <c r="F986" s="30"/>
      <c r="G986" s="30"/>
      <c r="H986" s="30"/>
      <c r="I986" s="30"/>
      <c r="J986" s="30"/>
      <c r="K986" s="30"/>
      <c r="L986" s="29"/>
      <c r="M986" s="29"/>
      <c r="N986" s="29"/>
      <c r="O986" s="29"/>
      <c r="P986" s="29"/>
      <c r="Q986" s="29"/>
      <c r="R986" s="29"/>
      <c r="S986" s="29"/>
      <c r="T986" s="29"/>
      <c r="U986" s="31"/>
      <c r="V986" s="31"/>
      <c r="W986" s="31"/>
      <c r="X986" s="31"/>
      <c r="Y986" s="31"/>
    </row>
    <row r="987" spans="1:25" x14ac:dyDescent="0.2">
      <c r="A987" s="29"/>
      <c r="B987" s="29"/>
      <c r="C987" s="29"/>
      <c r="D987" s="29"/>
      <c r="E987" s="29"/>
      <c r="F987" s="30"/>
      <c r="G987" s="30"/>
      <c r="H987" s="30"/>
      <c r="I987" s="30"/>
      <c r="J987" s="30"/>
      <c r="K987" s="30"/>
      <c r="L987" s="29"/>
      <c r="M987" s="29"/>
      <c r="N987" s="29"/>
      <c r="O987" s="29"/>
      <c r="P987" s="29"/>
      <c r="Q987" s="29"/>
      <c r="R987" s="29"/>
      <c r="S987" s="29"/>
      <c r="T987" s="29"/>
      <c r="U987" s="31"/>
      <c r="V987" s="31"/>
      <c r="W987" s="31"/>
      <c r="X987" s="31"/>
      <c r="Y987" s="31"/>
    </row>
    <row r="988" spans="1:25" x14ac:dyDescent="0.2">
      <c r="A988" s="29"/>
      <c r="B988" s="29"/>
      <c r="C988" s="29"/>
      <c r="D988" s="29"/>
      <c r="E988" s="29"/>
      <c r="F988" s="30"/>
      <c r="G988" s="30"/>
      <c r="H988" s="30"/>
      <c r="I988" s="30"/>
      <c r="J988" s="30"/>
      <c r="K988" s="30"/>
      <c r="L988" s="29"/>
      <c r="M988" s="29"/>
      <c r="N988" s="29"/>
      <c r="O988" s="29"/>
      <c r="P988" s="29"/>
      <c r="Q988" s="29"/>
      <c r="R988" s="29"/>
      <c r="S988" s="29"/>
      <c r="T988" s="29"/>
      <c r="U988" s="31"/>
      <c r="V988" s="31"/>
      <c r="W988" s="31"/>
      <c r="X988" s="31"/>
      <c r="Y988" s="31"/>
    </row>
    <row r="989" spans="1:25" x14ac:dyDescent="0.2">
      <c r="A989" s="29"/>
      <c r="B989" s="29"/>
      <c r="C989" s="29"/>
      <c r="D989" s="29"/>
      <c r="E989" s="29"/>
      <c r="F989" s="30"/>
      <c r="G989" s="30"/>
      <c r="H989" s="30"/>
      <c r="I989" s="30"/>
      <c r="J989" s="30"/>
      <c r="K989" s="30"/>
      <c r="L989" s="29"/>
      <c r="M989" s="29"/>
      <c r="N989" s="29"/>
      <c r="O989" s="29"/>
      <c r="P989" s="29"/>
      <c r="Q989" s="29"/>
      <c r="R989" s="29"/>
      <c r="S989" s="29"/>
      <c r="T989" s="29"/>
      <c r="U989" s="31"/>
      <c r="V989" s="31"/>
      <c r="W989" s="31"/>
      <c r="X989" s="31"/>
      <c r="Y989" s="31"/>
    </row>
    <row r="990" spans="1:25" x14ac:dyDescent="0.2">
      <c r="A990" s="29"/>
      <c r="B990" s="29"/>
      <c r="C990" s="29"/>
      <c r="D990" s="29"/>
      <c r="E990" s="29"/>
      <c r="F990" s="30"/>
      <c r="G990" s="30"/>
      <c r="H990" s="30"/>
      <c r="I990" s="30"/>
      <c r="J990" s="30"/>
      <c r="K990" s="30"/>
      <c r="L990" s="29"/>
      <c r="M990" s="29"/>
      <c r="N990" s="29"/>
      <c r="O990" s="29"/>
      <c r="P990" s="29"/>
      <c r="Q990" s="29"/>
      <c r="R990" s="29"/>
      <c r="S990" s="29"/>
      <c r="T990" s="29"/>
      <c r="U990" s="31"/>
      <c r="V990" s="31"/>
      <c r="W990" s="31"/>
      <c r="X990" s="31"/>
      <c r="Y990" s="31"/>
    </row>
    <row r="991" spans="1:25" x14ac:dyDescent="0.2">
      <c r="A991" s="29"/>
      <c r="B991" s="29"/>
      <c r="C991" s="29"/>
      <c r="D991" s="29"/>
      <c r="E991" s="29"/>
      <c r="F991" s="30"/>
      <c r="G991" s="30"/>
      <c r="H991" s="30"/>
      <c r="I991" s="30"/>
      <c r="J991" s="30"/>
      <c r="K991" s="30"/>
      <c r="L991" s="29"/>
      <c r="M991" s="29"/>
      <c r="N991" s="29"/>
      <c r="O991" s="29"/>
      <c r="P991" s="29"/>
      <c r="Q991" s="29"/>
      <c r="R991" s="29"/>
      <c r="S991" s="29"/>
      <c r="T991" s="29"/>
      <c r="U991" s="31"/>
      <c r="V991" s="31"/>
      <c r="W991" s="31"/>
      <c r="X991" s="31"/>
      <c r="Y991" s="31"/>
    </row>
    <row r="992" spans="1:25" x14ac:dyDescent="0.2">
      <c r="A992" s="29"/>
      <c r="B992" s="29"/>
      <c r="C992" s="29"/>
      <c r="D992" s="29"/>
      <c r="E992" s="29"/>
      <c r="F992" s="30"/>
      <c r="G992" s="30"/>
      <c r="H992" s="30"/>
      <c r="I992" s="30"/>
      <c r="J992" s="30"/>
      <c r="K992" s="30"/>
      <c r="L992" s="29"/>
      <c r="M992" s="29"/>
      <c r="N992" s="29"/>
      <c r="O992" s="29"/>
      <c r="P992" s="29"/>
      <c r="Q992" s="29"/>
      <c r="R992" s="29"/>
      <c r="S992" s="29"/>
      <c r="T992" s="29"/>
      <c r="U992" s="31"/>
      <c r="V992" s="31"/>
      <c r="W992" s="31"/>
      <c r="X992" s="31"/>
      <c r="Y992" s="31"/>
    </row>
    <row r="993" spans="1:25" x14ac:dyDescent="0.2">
      <c r="A993" s="29"/>
      <c r="B993" s="29"/>
      <c r="C993" s="29"/>
      <c r="D993" s="29"/>
      <c r="E993" s="29"/>
      <c r="F993" s="30"/>
      <c r="G993" s="30"/>
      <c r="H993" s="30"/>
      <c r="I993" s="30"/>
      <c r="J993" s="30"/>
      <c r="K993" s="30"/>
      <c r="L993" s="29"/>
      <c r="M993" s="29"/>
      <c r="N993" s="29"/>
      <c r="O993" s="29"/>
      <c r="P993" s="29"/>
      <c r="Q993" s="29"/>
      <c r="R993" s="29"/>
      <c r="S993" s="29"/>
      <c r="T993" s="29"/>
      <c r="U993" s="31"/>
      <c r="V993" s="31"/>
      <c r="W993" s="31"/>
      <c r="X993" s="31"/>
      <c r="Y993" s="31"/>
    </row>
    <row r="994" spans="1:25" x14ac:dyDescent="0.2">
      <c r="A994" s="29"/>
      <c r="B994" s="29"/>
      <c r="C994" s="29"/>
      <c r="D994" s="29"/>
      <c r="E994" s="29"/>
      <c r="F994" s="30"/>
      <c r="G994" s="30"/>
      <c r="H994" s="30"/>
      <c r="I994" s="30"/>
      <c r="J994" s="30"/>
      <c r="K994" s="30"/>
      <c r="L994" s="29"/>
      <c r="M994" s="29"/>
      <c r="N994" s="29"/>
      <c r="O994" s="29"/>
      <c r="P994" s="29"/>
      <c r="Q994" s="29"/>
      <c r="R994" s="29"/>
      <c r="S994" s="29"/>
      <c r="T994" s="29"/>
      <c r="U994" s="31"/>
      <c r="V994" s="31"/>
      <c r="W994" s="31"/>
      <c r="X994" s="31"/>
      <c r="Y994" s="31"/>
    </row>
    <row r="995" spans="1:25" x14ac:dyDescent="0.2">
      <c r="A995" s="29"/>
      <c r="B995" s="29"/>
      <c r="C995" s="29"/>
      <c r="D995" s="29"/>
      <c r="E995" s="29"/>
      <c r="F995" s="30"/>
      <c r="G995" s="30"/>
      <c r="H995" s="30"/>
      <c r="I995" s="30"/>
      <c r="J995" s="30"/>
      <c r="K995" s="30"/>
      <c r="L995" s="29"/>
      <c r="M995" s="29"/>
      <c r="N995" s="29"/>
      <c r="O995" s="29"/>
      <c r="P995" s="29"/>
      <c r="Q995" s="29"/>
      <c r="R995" s="29"/>
      <c r="S995" s="29"/>
      <c r="T995" s="29"/>
      <c r="U995" s="31"/>
      <c r="V995" s="31"/>
      <c r="W995" s="31"/>
      <c r="X995" s="31"/>
      <c r="Y995" s="31"/>
    </row>
    <row r="996" spans="1:25" x14ac:dyDescent="0.2">
      <c r="A996" s="29"/>
      <c r="B996" s="29"/>
      <c r="C996" s="29"/>
      <c r="D996" s="29"/>
      <c r="E996" s="29"/>
      <c r="F996" s="30"/>
      <c r="G996" s="30"/>
      <c r="H996" s="30"/>
      <c r="I996" s="30"/>
      <c r="J996" s="30"/>
      <c r="K996" s="30"/>
      <c r="L996" s="29"/>
      <c r="M996" s="29"/>
      <c r="N996" s="29"/>
      <c r="O996" s="29"/>
      <c r="P996" s="29"/>
      <c r="Q996" s="29"/>
      <c r="R996" s="29"/>
      <c r="S996" s="29"/>
      <c r="T996" s="29"/>
      <c r="U996" s="31"/>
      <c r="V996" s="31"/>
      <c r="W996" s="31"/>
      <c r="X996" s="31"/>
      <c r="Y996" s="31"/>
    </row>
    <row r="997" spans="1:25" x14ac:dyDescent="0.2">
      <c r="A997" s="29"/>
      <c r="B997" s="29"/>
      <c r="C997" s="29"/>
      <c r="D997" s="29"/>
      <c r="E997" s="29"/>
      <c r="F997" s="30"/>
      <c r="G997" s="30"/>
      <c r="H997" s="30"/>
      <c r="I997" s="30"/>
      <c r="J997" s="30"/>
      <c r="K997" s="30"/>
      <c r="L997" s="29"/>
      <c r="M997" s="29"/>
      <c r="N997" s="29"/>
      <c r="O997" s="29"/>
      <c r="P997" s="29"/>
      <c r="Q997" s="29"/>
      <c r="R997" s="29"/>
      <c r="S997" s="29"/>
      <c r="T997" s="29"/>
      <c r="U997" s="31"/>
      <c r="V997" s="31"/>
      <c r="W997" s="31"/>
      <c r="X997" s="31"/>
      <c r="Y997" s="31"/>
    </row>
    <row r="998" spans="1:25" x14ac:dyDescent="0.2">
      <c r="A998" s="29"/>
      <c r="B998" s="29"/>
      <c r="C998" s="29"/>
      <c r="D998" s="29"/>
      <c r="E998" s="29"/>
      <c r="F998" s="30"/>
      <c r="G998" s="30"/>
      <c r="H998" s="30"/>
      <c r="I998" s="30"/>
      <c r="J998" s="30"/>
      <c r="K998" s="30"/>
      <c r="L998" s="29"/>
      <c r="M998" s="29"/>
      <c r="N998" s="29"/>
      <c r="O998" s="29"/>
      <c r="P998" s="29"/>
      <c r="Q998" s="29"/>
      <c r="R998" s="29"/>
      <c r="S998" s="29"/>
      <c r="T998" s="29"/>
      <c r="U998" s="31"/>
      <c r="V998" s="31"/>
      <c r="W998" s="31"/>
      <c r="X998" s="31"/>
      <c r="Y998" s="31"/>
    </row>
    <row r="999" spans="1:25" x14ac:dyDescent="0.2">
      <c r="A999" s="29"/>
      <c r="B999" s="29"/>
      <c r="C999" s="29"/>
      <c r="D999" s="29"/>
      <c r="E999" s="29"/>
      <c r="F999" s="30"/>
      <c r="G999" s="30"/>
      <c r="H999" s="30"/>
      <c r="I999" s="30"/>
      <c r="J999" s="30"/>
      <c r="K999" s="30"/>
      <c r="L999" s="29"/>
      <c r="M999" s="29"/>
      <c r="N999" s="29"/>
      <c r="O999" s="29"/>
      <c r="P999" s="29"/>
      <c r="Q999" s="29"/>
      <c r="R999" s="29"/>
      <c r="S999" s="29"/>
      <c r="T999" s="29"/>
      <c r="U999" s="31"/>
      <c r="V999" s="31"/>
      <c r="W999" s="31"/>
      <c r="X999" s="31"/>
      <c r="Y999" s="31"/>
    </row>
    <row r="1000" spans="1:25" x14ac:dyDescent="0.2">
      <c r="A1000" s="29"/>
      <c r="B1000" s="29"/>
      <c r="C1000" s="29"/>
      <c r="D1000" s="29"/>
      <c r="E1000" s="29"/>
      <c r="F1000" s="30"/>
      <c r="G1000" s="30"/>
      <c r="H1000" s="30"/>
      <c r="I1000" s="30"/>
      <c r="J1000" s="30"/>
      <c r="K1000" s="30"/>
      <c r="L1000" s="29"/>
      <c r="M1000" s="29"/>
      <c r="N1000" s="29"/>
      <c r="O1000" s="29"/>
      <c r="P1000" s="29"/>
      <c r="Q1000" s="29"/>
      <c r="R1000" s="29"/>
      <c r="S1000" s="29"/>
      <c r="T1000" s="29"/>
      <c r="U1000" s="31"/>
      <c r="V1000" s="31"/>
      <c r="W1000" s="31"/>
      <c r="X1000" s="31"/>
      <c r="Y1000" s="31"/>
    </row>
    <row r="1001" spans="1:25" x14ac:dyDescent="0.2">
      <c r="A1001" s="29"/>
      <c r="B1001" s="29"/>
      <c r="C1001" s="29"/>
      <c r="D1001" s="29"/>
      <c r="E1001" s="29"/>
      <c r="F1001" s="30"/>
      <c r="G1001" s="30"/>
      <c r="H1001" s="30"/>
      <c r="I1001" s="30"/>
      <c r="J1001" s="30"/>
      <c r="K1001" s="30"/>
      <c r="L1001" s="29"/>
      <c r="M1001" s="29"/>
      <c r="N1001" s="29"/>
      <c r="O1001" s="29"/>
      <c r="P1001" s="29"/>
      <c r="Q1001" s="29"/>
      <c r="R1001" s="29"/>
      <c r="S1001" s="29"/>
      <c r="T1001" s="29"/>
      <c r="U1001" s="31"/>
      <c r="V1001" s="31"/>
      <c r="W1001" s="31"/>
      <c r="X1001" s="31"/>
      <c r="Y1001" s="31"/>
    </row>
    <row r="1002" spans="1:25" x14ac:dyDescent="0.2">
      <c r="A1002" s="29"/>
      <c r="B1002" s="29"/>
      <c r="C1002" s="29"/>
      <c r="D1002" s="29"/>
      <c r="E1002" s="29"/>
      <c r="F1002" s="30"/>
      <c r="G1002" s="30"/>
      <c r="H1002" s="30"/>
      <c r="I1002" s="30"/>
      <c r="J1002" s="30"/>
      <c r="K1002" s="30"/>
      <c r="L1002" s="29"/>
      <c r="M1002" s="29"/>
      <c r="N1002" s="29"/>
      <c r="O1002" s="29"/>
      <c r="P1002" s="29"/>
      <c r="Q1002" s="29"/>
      <c r="R1002" s="29"/>
      <c r="S1002" s="29"/>
      <c r="T1002" s="29"/>
      <c r="U1002" s="31"/>
      <c r="V1002" s="31"/>
      <c r="W1002" s="31"/>
      <c r="X1002" s="31"/>
      <c r="Y1002" s="31"/>
    </row>
    <row r="1003" spans="1:25" x14ac:dyDescent="0.2">
      <c r="A1003" s="29"/>
      <c r="B1003" s="29"/>
      <c r="C1003" s="29"/>
      <c r="D1003" s="29"/>
      <c r="E1003" s="29"/>
      <c r="F1003" s="30"/>
      <c r="G1003" s="30"/>
      <c r="H1003" s="30"/>
      <c r="I1003" s="30"/>
      <c r="J1003" s="30"/>
      <c r="K1003" s="30"/>
      <c r="L1003" s="29"/>
      <c r="M1003" s="29"/>
      <c r="N1003" s="29"/>
      <c r="O1003" s="29"/>
      <c r="P1003" s="29"/>
      <c r="Q1003" s="29"/>
      <c r="R1003" s="29"/>
      <c r="S1003" s="29"/>
      <c r="T1003" s="29"/>
      <c r="U1003" s="31"/>
      <c r="V1003" s="31"/>
      <c r="W1003" s="31"/>
      <c r="X1003" s="31"/>
      <c r="Y1003" s="31"/>
    </row>
    <row r="1004" spans="1:25" x14ac:dyDescent="0.2">
      <c r="A1004" s="29"/>
      <c r="B1004" s="29"/>
      <c r="C1004" s="29"/>
      <c r="D1004" s="29"/>
      <c r="E1004" s="29"/>
      <c r="F1004" s="30"/>
      <c r="G1004" s="30"/>
      <c r="H1004" s="30"/>
      <c r="I1004" s="30"/>
      <c r="J1004" s="30"/>
      <c r="K1004" s="30"/>
      <c r="L1004" s="29"/>
      <c r="M1004" s="29"/>
      <c r="N1004" s="29"/>
      <c r="O1004" s="29"/>
      <c r="P1004" s="29"/>
      <c r="Q1004" s="29"/>
      <c r="R1004" s="29"/>
      <c r="S1004" s="29"/>
      <c r="T1004" s="29"/>
      <c r="U1004" s="31"/>
      <c r="V1004" s="31"/>
      <c r="W1004" s="31"/>
      <c r="X1004" s="31"/>
      <c r="Y1004" s="31"/>
    </row>
    <row r="1005" spans="1:25" x14ac:dyDescent="0.2">
      <c r="A1005" s="29"/>
      <c r="B1005" s="29"/>
      <c r="C1005" s="29"/>
      <c r="D1005" s="29"/>
      <c r="E1005" s="29"/>
      <c r="F1005" s="30"/>
      <c r="G1005" s="30"/>
      <c r="H1005" s="30"/>
      <c r="I1005" s="30"/>
      <c r="J1005" s="30"/>
      <c r="K1005" s="30"/>
      <c r="L1005" s="29"/>
      <c r="M1005" s="29"/>
      <c r="N1005" s="29"/>
      <c r="O1005" s="29"/>
      <c r="P1005" s="29"/>
      <c r="Q1005" s="29"/>
      <c r="R1005" s="29"/>
      <c r="S1005" s="29"/>
      <c r="T1005" s="29"/>
      <c r="U1005" s="31"/>
      <c r="V1005" s="31"/>
      <c r="W1005" s="31"/>
      <c r="X1005" s="31"/>
      <c r="Y1005" s="31"/>
    </row>
    <row r="1006" spans="1:25" x14ac:dyDescent="0.2">
      <c r="A1006" s="29"/>
      <c r="B1006" s="29"/>
      <c r="C1006" s="29"/>
      <c r="D1006" s="29"/>
      <c r="E1006" s="29"/>
      <c r="F1006" s="30"/>
      <c r="G1006" s="30"/>
      <c r="H1006" s="30"/>
      <c r="I1006" s="30"/>
      <c r="J1006" s="30"/>
      <c r="K1006" s="30"/>
      <c r="L1006" s="29"/>
      <c r="M1006" s="29"/>
      <c r="N1006" s="29"/>
      <c r="O1006" s="29"/>
      <c r="P1006" s="29"/>
      <c r="Q1006" s="29"/>
      <c r="R1006" s="29"/>
      <c r="S1006" s="29"/>
      <c r="T1006" s="29"/>
      <c r="U1006" s="31"/>
      <c r="V1006" s="31"/>
      <c r="W1006" s="31"/>
      <c r="X1006" s="31"/>
      <c r="Y1006" s="31"/>
    </row>
    <row r="1007" spans="1:25" x14ac:dyDescent="0.2">
      <c r="A1007" s="29"/>
      <c r="B1007" s="29"/>
      <c r="C1007" s="29"/>
      <c r="D1007" s="29"/>
      <c r="E1007" s="29"/>
      <c r="F1007" s="30"/>
      <c r="G1007" s="30"/>
      <c r="H1007" s="30"/>
      <c r="I1007" s="30"/>
      <c r="J1007" s="30"/>
      <c r="K1007" s="30"/>
      <c r="L1007" s="29"/>
      <c r="M1007" s="29"/>
      <c r="N1007" s="29"/>
      <c r="O1007" s="29"/>
      <c r="P1007" s="29"/>
      <c r="Q1007" s="29"/>
      <c r="R1007" s="29"/>
      <c r="S1007" s="29"/>
      <c r="T1007" s="29"/>
      <c r="U1007" s="31"/>
      <c r="V1007" s="31"/>
      <c r="W1007" s="31"/>
      <c r="X1007" s="31"/>
      <c r="Y1007" s="31"/>
    </row>
    <row r="1008" spans="1:25" x14ac:dyDescent="0.2">
      <c r="A1008" s="29"/>
      <c r="B1008" s="29"/>
      <c r="C1008" s="29"/>
      <c r="D1008" s="29"/>
      <c r="E1008" s="29"/>
      <c r="F1008" s="30"/>
      <c r="G1008" s="30"/>
      <c r="H1008" s="30"/>
      <c r="I1008" s="30"/>
      <c r="J1008" s="30"/>
      <c r="K1008" s="30"/>
      <c r="L1008" s="29"/>
      <c r="M1008" s="29"/>
      <c r="N1008" s="29"/>
      <c r="O1008" s="29"/>
      <c r="P1008" s="29"/>
      <c r="Q1008" s="29"/>
      <c r="R1008" s="29"/>
      <c r="S1008" s="29"/>
      <c r="T1008" s="29"/>
      <c r="U1008" s="31"/>
      <c r="V1008" s="31"/>
      <c r="W1008" s="31"/>
      <c r="X1008" s="31"/>
      <c r="Y1008" s="31"/>
    </row>
    <row r="1009" spans="1:25" x14ac:dyDescent="0.2">
      <c r="A1009" s="29"/>
      <c r="B1009" s="29"/>
      <c r="C1009" s="29"/>
      <c r="D1009" s="29"/>
      <c r="E1009" s="29"/>
      <c r="F1009" s="30"/>
      <c r="G1009" s="30"/>
      <c r="H1009" s="30"/>
      <c r="I1009" s="30"/>
      <c r="J1009" s="30"/>
      <c r="K1009" s="30"/>
      <c r="L1009" s="29"/>
      <c r="M1009" s="29"/>
      <c r="N1009" s="29"/>
      <c r="O1009" s="29"/>
      <c r="P1009" s="29"/>
      <c r="Q1009" s="29"/>
      <c r="R1009" s="29"/>
      <c r="S1009" s="29"/>
      <c r="T1009" s="29"/>
      <c r="U1009" s="31"/>
      <c r="V1009" s="31"/>
      <c r="W1009" s="31"/>
      <c r="X1009" s="31"/>
      <c r="Y1009" s="31"/>
    </row>
    <row r="1010" spans="1:25" x14ac:dyDescent="0.2">
      <c r="A1010" s="29"/>
      <c r="B1010" s="29"/>
      <c r="C1010" s="29"/>
      <c r="D1010" s="29"/>
      <c r="E1010" s="29"/>
      <c r="F1010" s="30"/>
      <c r="G1010" s="30"/>
      <c r="H1010" s="30"/>
      <c r="I1010" s="30"/>
      <c r="J1010" s="30"/>
      <c r="K1010" s="30"/>
      <c r="L1010" s="29"/>
      <c r="M1010" s="29"/>
      <c r="N1010" s="29"/>
      <c r="O1010" s="29"/>
      <c r="P1010" s="29"/>
      <c r="Q1010" s="29"/>
      <c r="R1010" s="29"/>
      <c r="S1010" s="29"/>
      <c r="T1010" s="29"/>
      <c r="U1010" s="31"/>
      <c r="V1010" s="31"/>
      <c r="W1010" s="31"/>
      <c r="X1010" s="31"/>
      <c r="Y1010" s="31"/>
    </row>
    <row r="1011" spans="1:25" x14ac:dyDescent="0.2">
      <c r="A1011" s="29"/>
      <c r="B1011" s="29"/>
      <c r="C1011" s="29"/>
      <c r="D1011" s="29"/>
      <c r="E1011" s="29"/>
      <c r="F1011" s="30"/>
      <c r="G1011" s="30"/>
      <c r="H1011" s="30"/>
      <c r="I1011" s="30"/>
      <c r="J1011" s="30"/>
      <c r="K1011" s="30"/>
      <c r="L1011" s="29"/>
      <c r="M1011" s="29"/>
      <c r="N1011" s="29"/>
      <c r="O1011" s="29"/>
      <c r="P1011" s="29"/>
      <c r="Q1011" s="29"/>
      <c r="R1011" s="29"/>
      <c r="S1011" s="29"/>
      <c r="T1011" s="29"/>
      <c r="U1011" s="31"/>
      <c r="V1011" s="31"/>
      <c r="W1011" s="31"/>
      <c r="X1011" s="31"/>
      <c r="Y1011" s="31"/>
    </row>
    <row r="1012" spans="1:25" x14ac:dyDescent="0.2">
      <c r="A1012" s="29"/>
      <c r="B1012" s="29"/>
      <c r="C1012" s="29"/>
      <c r="D1012" s="29"/>
      <c r="E1012" s="29"/>
      <c r="F1012" s="30"/>
      <c r="G1012" s="30"/>
      <c r="H1012" s="30"/>
      <c r="I1012" s="30"/>
      <c r="J1012" s="30"/>
      <c r="K1012" s="30"/>
      <c r="L1012" s="29"/>
      <c r="M1012" s="29"/>
      <c r="N1012" s="29"/>
      <c r="O1012" s="29"/>
      <c r="P1012" s="29"/>
      <c r="Q1012" s="29"/>
      <c r="R1012" s="29"/>
      <c r="S1012" s="29"/>
      <c r="T1012" s="29"/>
      <c r="U1012" s="31"/>
      <c r="V1012" s="31"/>
      <c r="W1012" s="31"/>
      <c r="X1012" s="31"/>
      <c r="Y1012" s="31"/>
    </row>
    <row r="1013" spans="1:25" x14ac:dyDescent="0.2">
      <c r="A1013" s="29"/>
      <c r="B1013" s="29"/>
      <c r="C1013" s="29"/>
      <c r="D1013" s="29"/>
      <c r="E1013" s="29"/>
      <c r="F1013" s="30"/>
      <c r="G1013" s="30"/>
      <c r="H1013" s="30"/>
      <c r="I1013" s="30"/>
      <c r="J1013" s="30"/>
      <c r="K1013" s="30"/>
      <c r="L1013" s="29"/>
      <c r="M1013" s="29"/>
      <c r="N1013" s="29"/>
      <c r="O1013" s="29"/>
      <c r="P1013" s="29"/>
      <c r="Q1013" s="29"/>
      <c r="R1013" s="29"/>
      <c r="S1013" s="29"/>
      <c r="T1013" s="29"/>
      <c r="U1013" s="31"/>
      <c r="V1013" s="31"/>
      <c r="W1013" s="31"/>
      <c r="X1013" s="31"/>
      <c r="Y1013" s="31"/>
    </row>
    <row r="1014" spans="1:25" x14ac:dyDescent="0.2">
      <c r="A1014" s="29"/>
      <c r="B1014" s="29"/>
      <c r="C1014" s="29"/>
      <c r="D1014" s="29"/>
      <c r="E1014" s="29"/>
      <c r="F1014" s="30"/>
      <c r="G1014" s="30"/>
      <c r="H1014" s="30"/>
      <c r="I1014" s="30"/>
      <c r="J1014" s="30"/>
      <c r="K1014" s="30"/>
      <c r="L1014" s="29"/>
      <c r="M1014" s="29"/>
      <c r="N1014" s="29"/>
      <c r="O1014" s="29"/>
      <c r="P1014" s="29"/>
      <c r="Q1014" s="29"/>
      <c r="R1014" s="29"/>
      <c r="S1014" s="29"/>
      <c r="T1014" s="29"/>
      <c r="U1014" s="31"/>
      <c r="V1014" s="31"/>
      <c r="W1014" s="31"/>
      <c r="X1014" s="31"/>
      <c r="Y1014" s="31"/>
    </row>
    <row r="1015" spans="1:25" x14ac:dyDescent="0.2">
      <c r="A1015" s="29"/>
      <c r="B1015" s="29"/>
      <c r="C1015" s="29"/>
      <c r="D1015" s="29"/>
      <c r="E1015" s="29"/>
      <c r="F1015" s="30"/>
      <c r="G1015" s="30"/>
      <c r="H1015" s="30"/>
      <c r="I1015" s="30"/>
      <c r="J1015" s="30"/>
      <c r="K1015" s="30"/>
      <c r="L1015" s="29"/>
      <c r="M1015" s="29"/>
      <c r="N1015" s="29"/>
      <c r="O1015" s="29"/>
      <c r="P1015" s="29"/>
      <c r="Q1015" s="29"/>
      <c r="R1015" s="29"/>
      <c r="S1015" s="29"/>
      <c r="T1015" s="29"/>
      <c r="U1015" s="31"/>
      <c r="V1015" s="31"/>
      <c r="W1015" s="31"/>
      <c r="X1015" s="31"/>
      <c r="Y1015" s="31"/>
    </row>
    <row r="1016" spans="1:25" x14ac:dyDescent="0.2">
      <c r="A1016" s="29"/>
      <c r="B1016" s="29"/>
      <c r="C1016" s="29"/>
      <c r="D1016" s="29"/>
      <c r="E1016" s="29"/>
      <c r="F1016" s="30"/>
      <c r="G1016" s="30"/>
      <c r="H1016" s="30"/>
      <c r="I1016" s="30"/>
      <c r="J1016" s="30"/>
      <c r="K1016" s="30"/>
      <c r="L1016" s="29"/>
      <c r="M1016" s="29"/>
      <c r="N1016" s="29"/>
      <c r="O1016" s="29"/>
      <c r="P1016" s="29"/>
      <c r="Q1016" s="29"/>
      <c r="R1016" s="29"/>
      <c r="S1016" s="29"/>
      <c r="T1016" s="29"/>
      <c r="U1016" s="31"/>
      <c r="V1016" s="31"/>
      <c r="W1016" s="31"/>
      <c r="X1016" s="31"/>
      <c r="Y1016" s="31"/>
    </row>
    <row r="1017" spans="1:25" x14ac:dyDescent="0.2">
      <c r="A1017" s="29"/>
      <c r="B1017" s="29"/>
      <c r="C1017" s="29"/>
      <c r="D1017" s="29"/>
      <c r="E1017" s="29"/>
      <c r="F1017" s="30"/>
      <c r="G1017" s="30"/>
      <c r="H1017" s="30"/>
      <c r="I1017" s="30"/>
      <c r="J1017" s="30"/>
      <c r="K1017" s="30"/>
      <c r="L1017" s="29"/>
      <c r="M1017" s="29"/>
      <c r="N1017" s="29"/>
      <c r="O1017" s="29"/>
      <c r="P1017" s="29"/>
      <c r="Q1017" s="29"/>
      <c r="R1017" s="29"/>
      <c r="S1017" s="29"/>
      <c r="T1017" s="29"/>
      <c r="U1017" s="31"/>
      <c r="V1017" s="31"/>
      <c r="W1017" s="31"/>
      <c r="X1017" s="31"/>
      <c r="Y1017" s="31"/>
    </row>
    <row r="1018" spans="1:25" x14ac:dyDescent="0.2">
      <c r="A1018" s="29"/>
      <c r="B1018" s="29"/>
      <c r="C1018" s="29"/>
      <c r="D1018" s="29"/>
      <c r="E1018" s="29"/>
      <c r="F1018" s="30"/>
      <c r="G1018" s="30"/>
      <c r="H1018" s="30"/>
      <c r="I1018" s="30"/>
      <c r="J1018" s="30"/>
      <c r="K1018" s="30"/>
      <c r="L1018" s="29"/>
      <c r="M1018" s="29"/>
      <c r="N1018" s="29"/>
      <c r="O1018" s="29"/>
      <c r="P1018" s="29"/>
      <c r="Q1018" s="29"/>
      <c r="R1018" s="29"/>
      <c r="S1018" s="29"/>
      <c r="T1018" s="29"/>
      <c r="U1018" s="31"/>
      <c r="V1018" s="31"/>
      <c r="W1018" s="31"/>
      <c r="X1018" s="31"/>
      <c r="Y1018" s="31"/>
    </row>
    <row r="1019" spans="1:25" x14ac:dyDescent="0.2">
      <c r="A1019" s="29"/>
      <c r="B1019" s="29"/>
      <c r="C1019" s="29"/>
      <c r="D1019" s="29"/>
      <c r="E1019" s="29"/>
      <c r="F1019" s="30"/>
      <c r="G1019" s="30"/>
      <c r="H1019" s="30"/>
      <c r="I1019" s="30"/>
      <c r="J1019" s="30"/>
      <c r="K1019" s="30"/>
      <c r="L1019" s="29"/>
      <c r="M1019" s="29"/>
      <c r="N1019" s="29"/>
      <c r="O1019" s="29"/>
      <c r="P1019" s="29"/>
      <c r="Q1019" s="29"/>
      <c r="R1019" s="29"/>
      <c r="S1019" s="29"/>
      <c r="T1019" s="29"/>
      <c r="U1019" s="31"/>
      <c r="V1019" s="31"/>
      <c r="W1019" s="31"/>
      <c r="X1019" s="31"/>
      <c r="Y1019" s="31"/>
    </row>
    <row r="1020" spans="1:25" x14ac:dyDescent="0.2">
      <c r="A1020" s="29"/>
      <c r="B1020" s="29"/>
      <c r="C1020" s="29"/>
      <c r="D1020" s="29"/>
      <c r="E1020" s="29"/>
      <c r="F1020" s="30"/>
      <c r="G1020" s="30"/>
      <c r="H1020" s="30"/>
      <c r="I1020" s="30"/>
      <c r="J1020" s="30"/>
      <c r="K1020" s="30"/>
      <c r="L1020" s="29"/>
      <c r="M1020" s="29"/>
      <c r="N1020" s="29"/>
      <c r="O1020" s="29"/>
      <c r="P1020" s="29"/>
      <c r="Q1020" s="29"/>
      <c r="R1020" s="29"/>
      <c r="S1020" s="29"/>
      <c r="T1020" s="29"/>
      <c r="U1020" s="31"/>
      <c r="V1020" s="31"/>
      <c r="W1020" s="31"/>
      <c r="X1020" s="31"/>
      <c r="Y1020" s="31"/>
    </row>
    <row r="1021" spans="1:25" x14ac:dyDescent="0.2">
      <c r="A1021" s="29"/>
      <c r="B1021" s="29"/>
      <c r="C1021" s="29"/>
      <c r="D1021" s="29"/>
      <c r="E1021" s="29"/>
      <c r="F1021" s="30"/>
      <c r="G1021" s="30"/>
      <c r="H1021" s="30"/>
      <c r="I1021" s="30"/>
      <c r="J1021" s="30"/>
      <c r="K1021" s="30"/>
      <c r="L1021" s="29"/>
      <c r="M1021" s="29"/>
      <c r="N1021" s="29"/>
      <c r="O1021" s="29"/>
      <c r="P1021" s="29"/>
      <c r="Q1021" s="29"/>
      <c r="R1021" s="29"/>
      <c r="S1021" s="29"/>
      <c r="T1021" s="29"/>
      <c r="U1021" s="31"/>
      <c r="V1021" s="31"/>
      <c r="W1021" s="31"/>
      <c r="X1021" s="31"/>
      <c r="Y1021" s="31"/>
    </row>
    <row r="1022" spans="1:25" x14ac:dyDescent="0.2">
      <c r="A1022" s="29"/>
      <c r="B1022" s="29"/>
      <c r="C1022" s="29"/>
      <c r="D1022" s="29"/>
      <c r="E1022" s="29"/>
      <c r="F1022" s="30"/>
      <c r="G1022" s="30"/>
      <c r="H1022" s="30"/>
      <c r="I1022" s="30"/>
      <c r="J1022" s="30"/>
      <c r="K1022" s="30"/>
      <c r="L1022" s="29"/>
      <c r="M1022" s="29"/>
      <c r="N1022" s="29"/>
      <c r="O1022" s="29"/>
      <c r="P1022" s="29"/>
      <c r="Q1022" s="29"/>
      <c r="R1022" s="29"/>
      <c r="S1022" s="29"/>
      <c r="T1022" s="29"/>
      <c r="U1022" s="31"/>
      <c r="V1022" s="31"/>
      <c r="W1022" s="31"/>
      <c r="X1022" s="31"/>
      <c r="Y1022" s="31"/>
    </row>
    <row r="1023" spans="1:25" x14ac:dyDescent="0.2">
      <c r="A1023" s="29"/>
      <c r="B1023" s="29"/>
      <c r="C1023" s="29"/>
      <c r="D1023" s="29"/>
      <c r="E1023" s="29"/>
      <c r="F1023" s="30"/>
      <c r="G1023" s="30"/>
      <c r="H1023" s="30"/>
      <c r="I1023" s="30"/>
      <c r="J1023" s="30"/>
      <c r="K1023" s="30"/>
      <c r="L1023" s="29"/>
      <c r="M1023" s="29"/>
      <c r="N1023" s="29"/>
      <c r="O1023" s="29"/>
      <c r="P1023" s="29"/>
      <c r="Q1023" s="29"/>
      <c r="R1023" s="29"/>
      <c r="S1023" s="29"/>
      <c r="T1023" s="29"/>
      <c r="U1023" s="31"/>
      <c r="V1023" s="31"/>
      <c r="W1023" s="31"/>
      <c r="X1023" s="31"/>
      <c r="Y1023" s="31"/>
    </row>
    <row r="1024" spans="1:25" x14ac:dyDescent="0.2">
      <c r="A1024" s="29"/>
      <c r="B1024" s="29"/>
      <c r="C1024" s="29"/>
      <c r="D1024" s="29"/>
      <c r="E1024" s="29"/>
      <c r="F1024" s="30"/>
      <c r="G1024" s="30"/>
      <c r="H1024" s="30"/>
      <c r="I1024" s="30"/>
      <c r="J1024" s="30"/>
      <c r="K1024" s="30"/>
      <c r="L1024" s="29"/>
      <c r="M1024" s="29"/>
      <c r="N1024" s="29"/>
      <c r="O1024" s="29"/>
      <c r="P1024" s="29"/>
      <c r="Q1024" s="29"/>
      <c r="R1024" s="29"/>
      <c r="S1024" s="29"/>
      <c r="T1024" s="29"/>
      <c r="U1024" s="31"/>
      <c r="V1024" s="31"/>
      <c r="W1024" s="31"/>
      <c r="X1024" s="31"/>
      <c r="Y1024" s="31"/>
    </row>
    <row r="1025" spans="1:25" x14ac:dyDescent="0.2">
      <c r="A1025" s="29"/>
      <c r="B1025" s="29"/>
      <c r="C1025" s="29"/>
      <c r="D1025" s="29"/>
      <c r="E1025" s="29"/>
      <c r="F1025" s="30"/>
      <c r="G1025" s="30"/>
      <c r="H1025" s="30"/>
      <c r="I1025" s="30"/>
      <c r="J1025" s="30"/>
      <c r="K1025" s="30"/>
      <c r="L1025" s="29"/>
      <c r="M1025" s="29"/>
      <c r="N1025" s="29"/>
      <c r="O1025" s="29"/>
      <c r="P1025" s="29"/>
      <c r="Q1025" s="29"/>
      <c r="R1025" s="29"/>
      <c r="S1025" s="29"/>
      <c r="T1025" s="29"/>
      <c r="U1025" s="31"/>
      <c r="V1025" s="31"/>
      <c r="W1025" s="31"/>
      <c r="X1025" s="31"/>
      <c r="Y1025" s="31"/>
    </row>
    <row r="1026" spans="1:25" x14ac:dyDescent="0.2">
      <c r="A1026" s="29"/>
      <c r="B1026" s="29"/>
      <c r="C1026" s="29"/>
      <c r="D1026" s="29"/>
      <c r="E1026" s="29"/>
      <c r="F1026" s="30"/>
      <c r="G1026" s="30"/>
      <c r="H1026" s="30"/>
      <c r="I1026" s="30"/>
      <c r="J1026" s="30"/>
      <c r="K1026" s="30"/>
      <c r="L1026" s="29"/>
      <c r="M1026" s="29"/>
      <c r="N1026" s="29"/>
      <c r="O1026" s="29"/>
      <c r="P1026" s="29"/>
      <c r="Q1026" s="29"/>
      <c r="R1026" s="29"/>
      <c r="S1026" s="29"/>
      <c r="T1026" s="29"/>
      <c r="U1026" s="31"/>
      <c r="V1026" s="31"/>
      <c r="W1026" s="31"/>
      <c r="X1026" s="31"/>
      <c r="Y1026" s="31"/>
    </row>
    <row r="1027" spans="1:25" x14ac:dyDescent="0.2">
      <c r="A1027" s="29"/>
      <c r="B1027" s="29"/>
      <c r="C1027" s="29"/>
      <c r="D1027" s="29"/>
      <c r="E1027" s="29"/>
      <c r="F1027" s="30"/>
      <c r="G1027" s="30"/>
      <c r="H1027" s="30"/>
      <c r="I1027" s="30"/>
      <c r="J1027" s="30"/>
      <c r="K1027" s="30"/>
      <c r="L1027" s="29"/>
      <c r="M1027" s="29"/>
      <c r="N1027" s="29"/>
      <c r="O1027" s="29"/>
      <c r="P1027" s="29"/>
      <c r="Q1027" s="29"/>
      <c r="R1027" s="29"/>
      <c r="S1027" s="29"/>
      <c r="T1027" s="29"/>
      <c r="U1027" s="31"/>
      <c r="V1027" s="31"/>
      <c r="W1027" s="31"/>
      <c r="X1027" s="31"/>
      <c r="Y1027" s="31"/>
    </row>
    <row r="1028" spans="1:25" x14ac:dyDescent="0.2">
      <c r="A1028" s="29"/>
      <c r="B1028" s="29"/>
      <c r="C1028" s="29"/>
      <c r="D1028" s="29"/>
      <c r="E1028" s="29"/>
      <c r="F1028" s="30"/>
      <c r="G1028" s="30"/>
      <c r="H1028" s="30"/>
      <c r="I1028" s="30"/>
      <c r="J1028" s="30"/>
      <c r="K1028" s="30"/>
      <c r="L1028" s="29"/>
      <c r="M1028" s="29"/>
      <c r="N1028" s="29"/>
      <c r="O1028" s="29"/>
      <c r="P1028" s="29"/>
      <c r="Q1028" s="29"/>
      <c r="R1028" s="29"/>
      <c r="S1028" s="29"/>
      <c r="T1028" s="29"/>
      <c r="U1028" s="31"/>
      <c r="V1028" s="31"/>
      <c r="W1028" s="31"/>
      <c r="X1028" s="31"/>
      <c r="Y1028" s="31"/>
    </row>
    <row r="1029" spans="1:25" x14ac:dyDescent="0.2">
      <c r="A1029" s="29"/>
      <c r="B1029" s="29"/>
      <c r="C1029" s="29"/>
      <c r="D1029" s="29"/>
      <c r="E1029" s="29"/>
      <c r="F1029" s="30"/>
      <c r="G1029" s="30"/>
      <c r="H1029" s="30"/>
      <c r="I1029" s="30"/>
      <c r="J1029" s="30"/>
      <c r="K1029" s="30"/>
      <c r="L1029" s="29"/>
      <c r="M1029" s="29"/>
      <c r="N1029" s="29"/>
      <c r="O1029" s="29"/>
      <c r="P1029" s="29"/>
      <c r="Q1029" s="29"/>
      <c r="R1029" s="29"/>
      <c r="S1029" s="29"/>
      <c r="T1029" s="29"/>
      <c r="U1029" s="31"/>
      <c r="V1029" s="31"/>
      <c r="W1029" s="31"/>
      <c r="X1029" s="31"/>
      <c r="Y1029" s="31"/>
    </row>
    <row r="1030" spans="1:25" x14ac:dyDescent="0.2">
      <c r="A1030" s="29"/>
      <c r="B1030" s="29"/>
      <c r="C1030" s="29"/>
      <c r="D1030" s="29"/>
      <c r="E1030" s="29"/>
      <c r="F1030" s="30"/>
      <c r="G1030" s="30"/>
      <c r="H1030" s="30"/>
      <c r="I1030" s="30"/>
      <c r="J1030" s="30"/>
      <c r="K1030" s="30"/>
      <c r="L1030" s="29"/>
      <c r="M1030" s="29"/>
      <c r="N1030" s="29"/>
      <c r="O1030" s="29"/>
      <c r="P1030" s="29"/>
      <c r="Q1030" s="29"/>
      <c r="R1030" s="29"/>
      <c r="S1030" s="29"/>
      <c r="T1030" s="29"/>
      <c r="U1030" s="31"/>
      <c r="V1030" s="31"/>
      <c r="W1030" s="31"/>
      <c r="X1030" s="31"/>
      <c r="Y1030" s="31"/>
    </row>
    <row r="1031" spans="1:25" x14ac:dyDescent="0.2">
      <c r="A1031" s="29"/>
      <c r="B1031" s="29"/>
      <c r="C1031" s="29"/>
      <c r="D1031" s="29"/>
      <c r="E1031" s="29"/>
      <c r="F1031" s="30"/>
      <c r="G1031" s="30"/>
      <c r="H1031" s="30"/>
      <c r="I1031" s="30"/>
      <c r="J1031" s="30"/>
      <c r="K1031" s="30"/>
      <c r="L1031" s="29"/>
      <c r="M1031" s="29"/>
      <c r="N1031" s="29"/>
      <c r="O1031" s="29"/>
      <c r="P1031" s="29"/>
      <c r="Q1031" s="29"/>
      <c r="R1031" s="29"/>
      <c r="S1031" s="29"/>
      <c r="T1031" s="29"/>
      <c r="U1031" s="31"/>
      <c r="V1031" s="31"/>
      <c r="W1031" s="31"/>
      <c r="X1031" s="31"/>
      <c r="Y1031" s="31"/>
    </row>
    <row r="1032" spans="1:25" x14ac:dyDescent="0.2">
      <c r="A1032" s="29"/>
      <c r="B1032" s="29"/>
      <c r="C1032" s="29"/>
      <c r="D1032" s="29"/>
      <c r="E1032" s="29"/>
      <c r="F1032" s="30"/>
      <c r="G1032" s="30"/>
      <c r="H1032" s="30"/>
      <c r="I1032" s="30"/>
      <c r="J1032" s="30"/>
      <c r="K1032" s="30"/>
      <c r="L1032" s="29"/>
      <c r="M1032" s="29"/>
      <c r="N1032" s="29"/>
      <c r="O1032" s="29"/>
      <c r="P1032" s="29"/>
      <c r="Q1032" s="29"/>
      <c r="R1032" s="29"/>
      <c r="S1032" s="29"/>
      <c r="T1032" s="29"/>
      <c r="U1032" s="31"/>
      <c r="V1032" s="31"/>
      <c r="W1032" s="31"/>
      <c r="X1032" s="31"/>
      <c r="Y1032" s="31"/>
    </row>
    <row r="1033" spans="1:25" x14ac:dyDescent="0.2">
      <c r="A1033" s="29"/>
      <c r="B1033" s="29"/>
      <c r="C1033" s="29"/>
      <c r="D1033" s="29"/>
      <c r="E1033" s="29"/>
      <c r="F1033" s="30"/>
      <c r="G1033" s="30"/>
      <c r="H1033" s="30"/>
      <c r="I1033" s="30"/>
      <c r="J1033" s="30"/>
      <c r="K1033" s="30"/>
      <c r="L1033" s="29"/>
      <c r="M1033" s="29"/>
      <c r="N1033" s="29"/>
      <c r="O1033" s="29"/>
      <c r="P1033" s="29"/>
      <c r="Q1033" s="29"/>
      <c r="R1033" s="29"/>
      <c r="S1033" s="29"/>
      <c r="T1033" s="29"/>
      <c r="U1033" s="31"/>
      <c r="V1033" s="31"/>
      <c r="W1033" s="31"/>
      <c r="X1033" s="31"/>
      <c r="Y1033" s="31"/>
    </row>
    <row r="1034" spans="1:25" x14ac:dyDescent="0.2">
      <c r="A1034" s="29"/>
      <c r="B1034" s="29"/>
      <c r="C1034" s="29"/>
      <c r="D1034" s="29"/>
      <c r="E1034" s="29"/>
      <c r="F1034" s="30"/>
      <c r="G1034" s="30"/>
      <c r="H1034" s="30"/>
      <c r="I1034" s="30"/>
      <c r="J1034" s="30"/>
      <c r="K1034" s="30"/>
      <c r="L1034" s="29"/>
      <c r="M1034" s="29"/>
      <c r="N1034" s="29"/>
      <c r="O1034" s="29"/>
      <c r="P1034" s="29"/>
      <c r="Q1034" s="29"/>
      <c r="R1034" s="29"/>
      <c r="S1034" s="29"/>
      <c r="T1034" s="29"/>
      <c r="U1034" s="31"/>
      <c r="V1034" s="31"/>
      <c r="W1034" s="31"/>
      <c r="X1034" s="31"/>
      <c r="Y1034" s="31"/>
    </row>
    <row r="1035" spans="1:25" x14ac:dyDescent="0.2">
      <c r="A1035" s="29"/>
      <c r="B1035" s="29"/>
      <c r="C1035" s="29"/>
      <c r="D1035" s="29"/>
      <c r="E1035" s="29"/>
      <c r="F1035" s="30"/>
      <c r="G1035" s="30"/>
      <c r="H1035" s="30"/>
      <c r="I1035" s="30"/>
      <c r="J1035" s="30"/>
      <c r="K1035" s="30"/>
      <c r="L1035" s="29"/>
      <c r="M1035" s="29"/>
      <c r="N1035" s="29"/>
      <c r="O1035" s="29"/>
      <c r="P1035" s="29"/>
      <c r="Q1035" s="29"/>
      <c r="R1035" s="29"/>
      <c r="S1035" s="29"/>
      <c r="T1035" s="29"/>
      <c r="U1035" s="31"/>
      <c r="V1035" s="31"/>
      <c r="W1035" s="31"/>
      <c r="X1035" s="31"/>
      <c r="Y1035" s="31"/>
    </row>
    <row r="1036" spans="1:25" x14ac:dyDescent="0.2">
      <c r="A1036" s="29"/>
      <c r="B1036" s="29"/>
      <c r="C1036" s="29"/>
      <c r="D1036" s="29"/>
      <c r="E1036" s="29"/>
      <c r="F1036" s="30"/>
      <c r="G1036" s="30"/>
      <c r="H1036" s="30"/>
      <c r="I1036" s="30"/>
      <c r="J1036" s="30"/>
      <c r="K1036" s="30"/>
      <c r="L1036" s="29"/>
      <c r="M1036" s="29"/>
      <c r="N1036" s="29"/>
      <c r="O1036" s="29"/>
      <c r="P1036" s="29"/>
      <c r="Q1036" s="29"/>
      <c r="R1036" s="29"/>
      <c r="S1036" s="29"/>
      <c r="T1036" s="29"/>
      <c r="U1036" s="31"/>
      <c r="V1036" s="31"/>
      <c r="W1036" s="31"/>
      <c r="X1036" s="31"/>
      <c r="Y1036" s="31"/>
    </row>
    <row r="1037" spans="1:25" x14ac:dyDescent="0.2">
      <c r="A1037" s="29"/>
      <c r="B1037" s="29"/>
      <c r="C1037" s="29"/>
      <c r="D1037" s="29"/>
      <c r="E1037" s="29"/>
      <c r="F1037" s="30"/>
      <c r="G1037" s="30"/>
      <c r="H1037" s="30"/>
      <c r="I1037" s="30"/>
      <c r="J1037" s="30"/>
      <c r="K1037" s="30"/>
      <c r="L1037" s="29"/>
      <c r="M1037" s="29"/>
      <c r="N1037" s="29"/>
      <c r="O1037" s="29"/>
      <c r="P1037" s="29"/>
      <c r="Q1037" s="29"/>
      <c r="R1037" s="29"/>
      <c r="S1037" s="29"/>
      <c r="T1037" s="29"/>
      <c r="U1037" s="31"/>
      <c r="V1037" s="31"/>
      <c r="W1037" s="31"/>
      <c r="X1037" s="31"/>
      <c r="Y1037" s="31"/>
    </row>
    <row r="1038" spans="1:25" x14ac:dyDescent="0.2">
      <c r="A1038" s="29"/>
      <c r="B1038" s="29"/>
      <c r="C1038" s="29"/>
      <c r="D1038" s="29"/>
      <c r="E1038" s="29"/>
      <c r="F1038" s="30"/>
      <c r="G1038" s="30"/>
      <c r="H1038" s="30"/>
      <c r="I1038" s="30"/>
      <c r="J1038" s="30"/>
      <c r="K1038" s="30"/>
      <c r="L1038" s="29"/>
      <c r="M1038" s="29"/>
      <c r="N1038" s="29"/>
      <c r="O1038" s="29"/>
      <c r="P1038" s="29"/>
      <c r="Q1038" s="29"/>
      <c r="R1038" s="29"/>
      <c r="S1038" s="29"/>
      <c r="T1038" s="29"/>
      <c r="U1038" s="31"/>
      <c r="V1038" s="31"/>
      <c r="W1038" s="31"/>
      <c r="X1038" s="31"/>
      <c r="Y1038" s="31"/>
    </row>
    <row r="1039" spans="1:25" x14ac:dyDescent="0.2">
      <c r="A1039" s="29"/>
      <c r="B1039" s="29"/>
      <c r="C1039" s="29"/>
      <c r="D1039" s="29"/>
      <c r="E1039" s="29"/>
      <c r="F1039" s="30"/>
      <c r="G1039" s="30"/>
      <c r="H1039" s="30"/>
      <c r="I1039" s="30"/>
      <c r="J1039" s="30"/>
      <c r="K1039" s="30"/>
      <c r="L1039" s="29"/>
      <c r="M1039" s="29"/>
      <c r="N1039" s="29"/>
      <c r="O1039" s="29"/>
      <c r="P1039" s="29"/>
      <c r="Q1039" s="29"/>
      <c r="R1039" s="29"/>
      <c r="S1039" s="29"/>
      <c r="T1039" s="29"/>
      <c r="U1039" s="31"/>
      <c r="V1039" s="31"/>
      <c r="W1039" s="31"/>
      <c r="X1039" s="31"/>
      <c r="Y1039" s="31"/>
    </row>
    <row r="1040" spans="1:25" x14ac:dyDescent="0.2">
      <c r="A1040" s="29"/>
      <c r="B1040" s="29"/>
      <c r="C1040" s="29"/>
      <c r="D1040" s="29"/>
      <c r="E1040" s="29"/>
      <c r="F1040" s="30"/>
      <c r="G1040" s="30"/>
      <c r="H1040" s="30"/>
      <c r="I1040" s="30"/>
      <c r="J1040" s="30"/>
      <c r="K1040" s="30"/>
      <c r="L1040" s="29"/>
      <c r="M1040" s="29"/>
      <c r="N1040" s="29"/>
      <c r="O1040" s="29"/>
      <c r="P1040" s="29"/>
      <c r="Q1040" s="29"/>
      <c r="R1040" s="29"/>
      <c r="S1040" s="29"/>
      <c r="T1040" s="29"/>
      <c r="U1040" s="31"/>
      <c r="V1040" s="31"/>
      <c r="W1040" s="31"/>
      <c r="X1040" s="31"/>
      <c r="Y1040" s="31"/>
    </row>
    <row r="1041" spans="1:25" x14ac:dyDescent="0.2">
      <c r="A1041" s="29"/>
      <c r="B1041" s="29"/>
      <c r="C1041" s="29"/>
      <c r="D1041" s="29"/>
      <c r="E1041" s="29"/>
      <c r="F1041" s="30"/>
      <c r="G1041" s="30"/>
      <c r="H1041" s="30"/>
      <c r="I1041" s="30"/>
      <c r="J1041" s="30"/>
      <c r="K1041" s="30"/>
      <c r="L1041" s="29"/>
      <c r="M1041" s="29"/>
      <c r="N1041" s="29"/>
      <c r="O1041" s="29"/>
      <c r="P1041" s="29"/>
      <c r="Q1041" s="29"/>
      <c r="R1041" s="29"/>
      <c r="S1041" s="29"/>
      <c r="T1041" s="29"/>
      <c r="U1041" s="31"/>
      <c r="V1041" s="31"/>
      <c r="W1041" s="31"/>
      <c r="X1041" s="31"/>
      <c r="Y1041" s="31"/>
    </row>
    <row r="1042" spans="1:25" x14ac:dyDescent="0.2">
      <c r="A1042" s="29"/>
      <c r="B1042" s="29"/>
      <c r="C1042" s="29"/>
      <c r="D1042" s="29"/>
      <c r="E1042" s="29"/>
      <c r="F1042" s="30"/>
      <c r="G1042" s="30"/>
      <c r="H1042" s="30"/>
      <c r="I1042" s="30"/>
      <c r="J1042" s="30"/>
      <c r="K1042" s="30"/>
      <c r="L1042" s="29"/>
      <c r="M1042" s="29"/>
      <c r="N1042" s="29"/>
      <c r="O1042" s="29"/>
      <c r="P1042" s="29"/>
      <c r="Q1042" s="29"/>
      <c r="R1042" s="29"/>
      <c r="S1042" s="29"/>
      <c r="T1042" s="29"/>
      <c r="U1042" s="31"/>
      <c r="V1042" s="31"/>
      <c r="W1042" s="31"/>
      <c r="X1042" s="31"/>
      <c r="Y1042" s="31"/>
    </row>
    <row r="1043" spans="1:25" x14ac:dyDescent="0.2">
      <c r="A1043" s="29"/>
      <c r="B1043" s="29"/>
      <c r="C1043" s="29"/>
      <c r="D1043" s="29"/>
      <c r="E1043" s="29"/>
      <c r="F1043" s="30"/>
      <c r="G1043" s="30"/>
      <c r="H1043" s="30"/>
      <c r="I1043" s="30"/>
      <c r="J1043" s="30"/>
      <c r="K1043" s="30"/>
      <c r="L1043" s="29"/>
      <c r="M1043" s="29"/>
      <c r="N1043" s="29"/>
      <c r="O1043" s="29"/>
      <c r="P1043" s="29"/>
      <c r="Q1043" s="29"/>
      <c r="R1043" s="29"/>
      <c r="S1043" s="29"/>
      <c r="T1043" s="29"/>
      <c r="U1043" s="31"/>
      <c r="V1043" s="31"/>
      <c r="W1043" s="31"/>
      <c r="X1043" s="31"/>
      <c r="Y1043" s="31"/>
    </row>
    <row r="1044" spans="1:25" x14ac:dyDescent="0.2">
      <c r="A1044" s="29"/>
      <c r="B1044" s="29"/>
      <c r="C1044" s="29"/>
      <c r="D1044" s="29"/>
      <c r="E1044" s="29"/>
      <c r="F1044" s="30"/>
      <c r="G1044" s="30"/>
      <c r="H1044" s="30"/>
      <c r="I1044" s="30"/>
      <c r="J1044" s="30"/>
      <c r="K1044" s="30"/>
      <c r="L1044" s="29"/>
      <c r="M1044" s="29"/>
      <c r="N1044" s="29"/>
      <c r="O1044" s="29"/>
      <c r="P1044" s="29"/>
      <c r="Q1044" s="29"/>
      <c r="R1044" s="29"/>
      <c r="S1044" s="29"/>
      <c r="T1044" s="29"/>
      <c r="U1044" s="31"/>
      <c r="V1044" s="31"/>
      <c r="W1044" s="31"/>
      <c r="X1044" s="31"/>
      <c r="Y1044" s="31"/>
    </row>
    <row r="1045" spans="1:25" x14ac:dyDescent="0.2">
      <c r="A1045" s="29"/>
      <c r="B1045" s="29"/>
      <c r="C1045" s="29"/>
      <c r="D1045" s="29"/>
      <c r="E1045" s="29"/>
      <c r="F1045" s="30"/>
      <c r="G1045" s="30"/>
      <c r="H1045" s="30"/>
      <c r="I1045" s="30"/>
      <c r="J1045" s="30"/>
      <c r="K1045" s="30"/>
      <c r="L1045" s="29"/>
      <c r="M1045" s="29"/>
      <c r="N1045" s="29"/>
      <c r="O1045" s="29"/>
      <c r="P1045" s="29"/>
      <c r="Q1045" s="29"/>
      <c r="R1045" s="29"/>
      <c r="S1045" s="29"/>
      <c r="T1045" s="29"/>
      <c r="U1045" s="31"/>
      <c r="V1045" s="31"/>
      <c r="W1045" s="31"/>
      <c r="X1045" s="31"/>
      <c r="Y1045" s="31"/>
    </row>
    <row r="1046" spans="1:25" x14ac:dyDescent="0.2">
      <c r="A1046" s="29"/>
      <c r="B1046" s="29"/>
      <c r="C1046" s="29"/>
      <c r="D1046" s="29"/>
      <c r="E1046" s="29"/>
      <c r="F1046" s="30"/>
      <c r="G1046" s="30"/>
      <c r="H1046" s="30"/>
      <c r="I1046" s="30"/>
      <c r="J1046" s="30"/>
      <c r="K1046" s="30"/>
      <c r="L1046" s="29"/>
      <c r="M1046" s="29"/>
      <c r="N1046" s="29"/>
      <c r="O1046" s="29"/>
      <c r="P1046" s="29"/>
      <c r="Q1046" s="29"/>
      <c r="R1046" s="29"/>
      <c r="S1046" s="29"/>
      <c r="T1046" s="29"/>
      <c r="U1046" s="31"/>
      <c r="V1046" s="31"/>
      <c r="W1046" s="31"/>
      <c r="X1046" s="31"/>
      <c r="Y1046" s="31"/>
    </row>
    <row r="1047" spans="1:25" x14ac:dyDescent="0.2">
      <c r="A1047" s="29"/>
      <c r="B1047" s="29"/>
      <c r="C1047" s="29"/>
      <c r="D1047" s="29"/>
      <c r="E1047" s="29"/>
      <c r="F1047" s="30"/>
      <c r="G1047" s="30"/>
      <c r="H1047" s="30"/>
      <c r="I1047" s="30"/>
      <c r="J1047" s="30"/>
      <c r="K1047" s="30"/>
      <c r="L1047" s="29"/>
      <c r="M1047" s="29"/>
      <c r="N1047" s="29"/>
      <c r="O1047" s="29"/>
      <c r="P1047" s="29"/>
      <c r="Q1047" s="29"/>
      <c r="R1047" s="29"/>
      <c r="S1047" s="29"/>
      <c r="T1047" s="29"/>
      <c r="U1047" s="31"/>
      <c r="V1047" s="31"/>
      <c r="W1047" s="31"/>
      <c r="X1047" s="31"/>
      <c r="Y1047" s="31"/>
    </row>
    <row r="1048" spans="1:25" x14ac:dyDescent="0.2">
      <c r="A1048" s="29"/>
      <c r="B1048" s="29"/>
      <c r="C1048" s="29"/>
      <c r="D1048" s="29"/>
      <c r="E1048" s="29"/>
      <c r="F1048" s="30"/>
      <c r="G1048" s="30"/>
      <c r="H1048" s="30"/>
      <c r="I1048" s="30"/>
      <c r="J1048" s="30"/>
      <c r="K1048" s="30"/>
      <c r="L1048" s="29"/>
      <c r="M1048" s="29"/>
      <c r="N1048" s="29"/>
      <c r="O1048" s="29"/>
      <c r="P1048" s="29"/>
      <c r="Q1048" s="29"/>
      <c r="R1048" s="29"/>
      <c r="S1048" s="29"/>
      <c r="T1048" s="29"/>
      <c r="U1048" s="31"/>
      <c r="V1048" s="31"/>
      <c r="W1048" s="31"/>
      <c r="X1048" s="31"/>
      <c r="Y1048" s="31"/>
    </row>
    <row r="1049" spans="1:25" x14ac:dyDescent="0.2">
      <c r="A1049" s="29"/>
      <c r="B1049" s="29"/>
      <c r="C1049" s="29"/>
      <c r="D1049" s="29"/>
      <c r="E1049" s="29"/>
      <c r="F1049" s="30"/>
      <c r="G1049" s="30"/>
      <c r="H1049" s="30"/>
      <c r="I1049" s="30"/>
      <c r="J1049" s="30"/>
      <c r="K1049" s="30"/>
      <c r="L1049" s="29"/>
      <c r="M1049" s="29"/>
      <c r="N1049" s="29"/>
      <c r="O1049" s="29"/>
      <c r="P1049" s="29"/>
      <c r="Q1049" s="29"/>
      <c r="R1049" s="29"/>
      <c r="S1049" s="29"/>
      <c r="T1049" s="29"/>
      <c r="U1049" s="31"/>
      <c r="V1049" s="31"/>
      <c r="W1049" s="31"/>
      <c r="X1049" s="31"/>
      <c r="Y1049" s="31"/>
    </row>
    <row r="1050" spans="1:25" x14ac:dyDescent="0.2">
      <c r="A1050" s="29"/>
      <c r="B1050" s="29"/>
      <c r="C1050" s="29"/>
      <c r="D1050" s="29"/>
      <c r="E1050" s="29"/>
      <c r="F1050" s="30"/>
      <c r="G1050" s="30"/>
      <c r="H1050" s="30"/>
      <c r="I1050" s="30"/>
      <c r="J1050" s="30"/>
      <c r="K1050" s="30"/>
      <c r="L1050" s="29"/>
      <c r="M1050" s="29"/>
      <c r="N1050" s="29"/>
      <c r="O1050" s="29"/>
      <c r="P1050" s="29"/>
      <c r="Q1050" s="29"/>
      <c r="R1050" s="29"/>
      <c r="S1050" s="29"/>
      <c r="T1050" s="29"/>
      <c r="U1050" s="31"/>
      <c r="V1050" s="31"/>
      <c r="W1050" s="31"/>
      <c r="X1050" s="31"/>
      <c r="Y1050" s="31"/>
    </row>
    <row r="1051" spans="1:25" x14ac:dyDescent="0.2">
      <c r="A1051" s="29"/>
      <c r="B1051" s="29"/>
      <c r="C1051" s="29"/>
      <c r="D1051" s="29"/>
      <c r="E1051" s="29"/>
      <c r="F1051" s="30"/>
      <c r="G1051" s="30"/>
      <c r="H1051" s="30"/>
      <c r="I1051" s="30"/>
      <c r="J1051" s="30"/>
      <c r="K1051" s="30"/>
      <c r="L1051" s="29"/>
      <c r="M1051" s="29"/>
      <c r="N1051" s="29"/>
      <c r="O1051" s="29"/>
      <c r="P1051" s="29"/>
      <c r="Q1051" s="29"/>
      <c r="R1051" s="29"/>
      <c r="S1051" s="29"/>
      <c r="T1051" s="29"/>
      <c r="U1051" s="31"/>
      <c r="V1051" s="31"/>
      <c r="W1051" s="31"/>
      <c r="X1051" s="31"/>
      <c r="Y1051" s="31"/>
    </row>
    <row r="1052" spans="1:25" x14ac:dyDescent="0.2">
      <c r="A1052" s="29"/>
      <c r="B1052" s="29"/>
      <c r="C1052" s="29"/>
      <c r="D1052" s="29"/>
      <c r="E1052" s="29"/>
      <c r="F1052" s="30"/>
      <c r="G1052" s="30"/>
      <c r="H1052" s="30"/>
      <c r="I1052" s="30"/>
      <c r="J1052" s="30"/>
      <c r="K1052" s="30"/>
      <c r="L1052" s="29"/>
      <c r="M1052" s="29"/>
      <c r="N1052" s="29"/>
      <c r="O1052" s="29"/>
      <c r="P1052" s="29"/>
      <c r="Q1052" s="29"/>
      <c r="R1052" s="29"/>
      <c r="S1052" s="29"/>
      <c r="T1052" s="29"/>
      <c r="U1052" s="31"/>
      <c r="V1052" s="31"/>
      <c r="W1052" s="31"/>
      <c r="X1052" s="31"/>
      <c r="Y1052" s="31"/>
    </row>
    <row r="1053" spans="1:25" x14ac:dyDescent="0.2">
      <c r="A1053" s="29"/>
      <c r="B1053" s="29"/>
      <c r="C1053" s="29"/>
      <c r="D1053" s="29"/>
      <c r="E1053" s="29"/>
      <c r="F1053" s="30"/>
      <c r="G1053" s="30"/>
      <c r="H1053" s="30"/>
      <c r="I1053" s="30"/>
      <c r="J1053" s="30"/>
      <c r="K1053" s="30"/>
      <c r="L1053" s="29"/>
      <c r="M1053" s="29"/>
      <c r="N1053" s="29"/>
      <c r="O1053" s="29"/>
      <c r="P1053" s="29"/>
      <c r="Q1053" s="29"/>
      <c r="R1053" s="29"/>
      <c r="S1053" s="29"/>
      <c r="T1053" s="29"/>
      <c r="U1053" s="31"/>
      <c r="V1053" s="31"/>
      <c r="W1053" s="31"/>
      <c r="X1053" s="31"/>
      <c r="Y1053" s="31"/>
    </row>
    <row r="1054" spans="1:25" x14ac:dyDescent="0.2">
      <c r="A1054" s="29"/>
      <c r="B1054" s="29"/>
      <c r="C1054" s="29"/>
      <c r="D1054" s="29"/>
      <c r="E1054" s="29"/>
      <c r="F1054" s="30"/>
      <c r="G1054" s="30"/>
      <c r="H1054" s="30"/>
      <c r="I1054" s="30"/>
      <c r="J1054" s="30"/>
      <c r="K1054" s="30"/>
      <c r="L1054" s="29"/>
      <c r="M1054" s="29"/>
      <c r="N1054" s="29"/>
      <c r="O1054" s="29"/>
      <c r="P1054" s="29"/>
      <c r="Q1054" s="29"/>
      <c r="R1054" s="29"/>
      <c r="S1054" s="29"/>
      <c r="T1054" s="29"/>
      <c r="U1054" s="31"/>
      <c r="V1054" s="31"/>
      <c r="W1054" s="31"/>
      <c r="X1054" s="31"/>
      <c r="Y1054" s="31"/>
    </row>
    <row r="1055" spans="1:25" x14ac:dyDescent="0.2">
      <c r="A1055" s="29"/>
      <c r="B1055" s="29"/>
      <c r="C1055" s="29"/>
      <c r="D1055" s="29"/>
      <c r="E1055" s="29"/>
      <c r="F1055" s="30"/>
      <c r="G1055" s="30"/>
      <c r="H1055" s="30"/>
      <c r="I1055" s="30"/>
      <c r="J1055" s="30"/>
      <c r="K1055" s="30"/>
      <c r="L1055" s="29"/>
      <c r="M1055" s="29"/>
      <c r="N1055" s="29"/>
      <c r="O1055" s="29"/>
      <c r="P1055" s="29"/>
      <c r="Q1055" s="29"/>
      <c r="R1055" s="29"/>
      <c r="S1055" s="29"/>
      <c r="T1055" s="29"/>
      <c r="U1055" s="31"/>
      <c r="V1055" s="31"/>
      <c r="W1055" s="31"/>
      <c r="X1055" s="31"/>
      <c r="Y1055" s="31"/>
    </row>
    <row r="1056" spans="1:25" x14ac:dyDescent="0.2">
      <c r="A1056" s="29"/>
      <c r="B1056" s="29"/>
      <c r="C1056" s="29"/>
      <c r="D1056" s="29"/>
      <c r="E1056" s="29"/>
      <c r="F1056" s="30"/>
      <c r="G1056" s="30"/>
      <c r="H1056" s="30"/>
      <c r="I1056" s="30"/>
      <c r="J1056" s="30"/>
      <c r="K1056" s="30"/>
      <c r="L1056" s="29"/>
      <c r="M1056" s="29"/>
      <c r="N1056" s="29"/>
      <c r="O1056" s="29"/>
      <c r="P1056" s="29"/>
      <c r="Q1056" s="29"/>
      <c r="R1056" s="29"/>
      <c r="S1056" s="29"/>
      <c r="T1056" s="29"/>
      <c r="U1056" s="31"/>
      <c r="V1056" s="31"/>
      <c r="W1056" s="31"/>
      <c r="X1056" s="31"/>
      <c r="Y1056" s="31"/>
    </row>
    <row r="1057" spans="1:25" x14ac:dyDescent="0.2">
      <c r="A1057" s="29"/>
      <c r="B1057" s="29"/>
      <c r="C1057" s="29"/>
      <c r="D1057" s="29"/>
      <c r="E1057" s="29"/>
      <c r="F1057" s="30"/>
      <c r="G1057" s="30"/>
      <c r="H1057" s="30"/>
      <c r="I1057" s="30"/>
      <c r="J1057" s="30"/>
      <c r="K1057" s="30"/>
      <c r="L1057" s="29"/>
      <c r="M1057" s="29"/>
      <c r="N1057" s="29"/>
      <c r="O1057" s="29"/>
      <c r="P1057" s="29"/>
      <c r="Q1057" s="29"/>
      <c r="R1057" s="29"/>
      <c r="S1057" s="29"/>
      <c r="T1057" s="29"/>
      <c r="U1057" s="31"/>
      <c r="V1057" s="31"/>
      <c r="W1057" s="31"/>
      <c r="X1057" s="31"/>
      <c r="Y1057" s="31"/>
    </row>
    <row r="1058" spans="1:25" x14ac:dyDescent="0.2">
      <c r="A1058" s="29"/>
      <c r="B1058" s="29"/>
      <c r="C1058" s="29"/>
      <c r="D1058" s="29"/>
      <c r="E1058" s="29"/>
      <c r="F1058" s="30"/>
      <c r="G1058" s="30"/>
      <c r="H1058" s="30"/>
      <c r="I1058" s="30"/>
      <c r="J1058" s="30"/>
      <c r="K1058" s="30"/>
      <c r="L1058" s="29"/>
      <c r="M1058" s="29"/>
      <c r="N1058" s="29"/>
      <c r="O1058" s="29"/>
      <c r="P1058" s="29"/>
      <c r="Q1058" s="29"/>
      <c r="R1058" s="29"/>
      <c r="S1058" s="29"/>
      <c r="T1058" s="29"/>
      <c r="U1058" s="31"/>
      <c r="V1058" s="31"/>
      <c r="W1058" s="31"/>
      <c r="X1058" s="31"/>
      <c r="Y1058" s="31"/>
    </row>
    <row r="1059" spans="1:25" x14ac:dyDescent="0.2">
      <c r="A1059" s="29"/>
      <c r="B1059" s="29"/>
      <c r="C1059" s="29"/>
      <c r="D1059" s="29"/>
      <c r="E1059" s="29"/>
      <c r="F1059" s="30"/>
      <c r="G1059" s="30"/>
      <c r="H1059" s="30"/>
      <c r="I1059" s="30"/>
      <c r="J1059" s="30"/>
      <c r="K1059" s="30"/>
      <c r="L1059" s="29"/>
      <c r="M1059" s="29"/>
      <c r="N1059" s="29"/>
      <c r="O1059" s="29"/>
      <c r="P1059" s="29"/>
      <c r="Q1059" s="29"/>
      <c r="R1059" s="29"/>
      <c r="S1059" s="29"/>
      <c r="T1059" s="29"/>
      <c r="U1059" s="31"/>
      <c r="V1059" s="31"/>
      <c r="W1059" s="31"/>
      <c r="X1059" s="31"/>
      <c r="Y1059" s="31"/>
    </row>
    <row r="1060" spans="1:25" x14ac:dyDescent="0.2">
      <c r="A1060" s="29"/>
      <c r="B1060" s="29"/>
      <c r="C1060" s="29"/>
      <c r="D1060" s="29"/>
      <c r="E1060" s="29"/>
      <c r="F1060" s="30"/>
      <c r="G1060" s="30"/>
      <c r="H1060" s="30"/>
      <c r="I1060" s="30"/>
      <c r="J1060" s="30"/>
      <c r="K1060" s="30"/>
      <c r="L1060" s="29"/>
      <c r="M1060" s="29"/>
      <c r="N1060" s="29"/>
      <c r="O1060" s="29"/>
      <c r="P1060" s="29"/>
      <c r="Q1060" s="29"/>
      <c r="R1060" s="29"/>
      <c r="S1060" s="29"/>
      <c r="T1060" s="29"/>
      <c r="U1060" s="31"/>
      <c r="V1060" s="31"/>
      <c r="W1060" s="31"/>
      <c r="X1060" s="31"/>
      <c r="Y1060" s="31"/>
    </row>
    <row r="1061" spans="1:25" x14ac:dyDescent="0.2">
      <c r="A1061" s="29"/>
      <c r="B1061" s="29"/>
      <c r="C1061" s="29"/>
      <c r="D1061" s="29"/>
      <c r="E1061" s="29"/>
      <c r="F1061" s="30"/>
      <c r="G1061" s="30"/>
      <c r="H1061" s="30"/>
      <c r="I1061" s="30"/>
      <c r="J1061" s="30"/>
      <c r="K1061" s="30"/>
      <c r="L1061" s="29"/>
      <c r="M1061" s="29"/>
      <c r="N1061" s="29"/>
      <c r="O1061" s="29"/>
      <c r="P1061" s="29"/>
      <c r="Q1061" s="29"/>
      <c r="R1061" s="29"/>
      <c r="S1061" s="29"/>
      <c r="T1061" s="29"/>
      <c r="U1061" s="31"/>
      <c r="V1061" s="31"/>
      <c r="W1061" s="31"/>
      <c r="X1061" s="31"/>
      <c r="Y1061" s="31"/>
    </row>
    <row r="1062" spans="1:25" x14ac:dyDescent="0.2">
      <c r="A1062" s="29"/>
      <c r="B1062" s="29"/>
      <c r="C1062" s="29"/>
      <c r="D1062" s="29"/>
      <c r="E1062" s="29"/>
      <c r="F1062" s="30"/>
      <c r="G1062" s="30"/>
      <c r="H1062" s="30"/>
      <c r="I1062" s="30"/>
      <c r="J1062" s="30"/>
      <c r="K1062" s="30"/>
      <c r="L1062" s="29"/>
      <c r="M1062" s="29"/>
      <c r="N1062" s="29"/>
      <c r="O1062" s="29"/>
      <c r="P1062" s="29"/>
      <c r="Q1062" s="29"/>
      <c r="R1062" s="29"/>
      <c r="S1062" s="29"/>
      <c r="T1062" s="29"/>
      <c r="U1062" s="31"/>
      <c r="V1062" s="31"/>
      <c r="W1062" s="31"/>
      <c r="X1062" s="31"/>
      <c r="Y1062" s="31"/>
    </row>
    <row r="1063" spans="1:25" x14ac:dyDescent="0.2">
      <c r="A1063" s="29"/>
      <c r="B1063" s="29"/>
      <c r="C1063" s="29"/>
      <c r="D1063" s="29"/>
      <c r="E1063" s="29"/>
      <c r="F1063" s="30"/>
      <c r="G1063" s="30"/>
      <c r="H1063" s="30"/>
      <c r="I1063" s="30"/>
      <c r="J1063" s="30"/>
      <c r="K1063" s="30"/>
      <c r="L1063" s="29"/>
      <c r="M1063" s="29"/>
      <c r="N1063" s="29"/>
      <c r="O1063" s="29"/>
      <c r="P1063" s="29"/>
      <c r="Q1063" s="29"/>
      <c r="R1063" s="29"/>
      <c r="S1063" s="29"/>
      <c r="T1063" s="29"/>
      <c r="U1063" s="31"/>
      <c r="V1063" s="31"/>
      <c r="W1063" s="31"/>
      <c r="X1063" s="31"/>
      <c r="Y1063" s="31"/>
    </row>
    <row r="1064" spans="1:25" x14ac:dyDescent="0.2">
      <c r="A1064" s="29"/>
      <c r="B1064" s="29"/>
      <c r="C1064" s="29"/>
      <c r="D1064" s="29"/>
      <c r="E1064" s="29"/>
      <c r="F1064" s="30"/>
      <c r="G1064" s="30"/>
      <c r="H1064" s="30"/>
      <c r="I1064" s="30"/>
      <c r="J1064" s="30"/>
      <c r="K1064" s="30"/>
      <c r="L1064" s="29"/>
      <c r="M1064" s="29"/>
      <c r="N1064" s="29"/>
      <c r="O1064" s="29"/>
      <c r="P1064" s="29"/>
      <c r="Q1064" s="29"/>
      <c r="R1064" s="29"/>
      <c r="S1064" s="29"/>
      <c r="T1064" s="29"/>
      <c r="U1064" s="31"/>
      <c r="V1064" s="31"/>
      <c r="W1064" s="31"/>
      <c r="X1064" s="31"/>
      <c r="Y1064" s="31"/>
    </row>
    <row r="1065" spans="1:25" x14ac:dyDescent="0.2">
      <c r="A1065" s="29"/>
      <c r="B1065" s="29"/>
      <c r="C1065" s="29"/>
      <c r="D1065" s="29"/>
      <c r="E1065" s="29"/>
      <c r="F1065" s="30"/>
      <c r="G1065" s="30"/>
      <c r="H1065" s="30"/>
      <c r="I1065" s="30"/>
      <c r="J1065" s="30"/>
      <c r="K1065" s="30"/>
      <c r="L1065" s="29"/>
      <c r="M1065" s="29"/>
      <c r="N1065" s="29"/>
      <c r="O1065" s="29"/>
      <c r="P1065" s="29"/>
      <c r="Q1065" s="29"/>
      <c r="R1065" s="29"/>
      <c r="S1065" s="29"/>
      <c r="T1065" s="29"/>
      <c r="U1065" s="31"/>
      <c r="V1065" s="31"/>
      <c r="W1065" s="31"/>
      <c r="X1065" s="31"/>
      <c r="Y1065" s="31"/>
    </row>
    <row r="1066" spans="1:25" x14ac:dyDescent="0.2">
      <c r="A1066" s="29"/>
      <c r="B1066" s="29"/>
      <c r="C1066" s="29"/>
      <c r="D1066" s="29"/>
      <c r="E1066" s="29"/>
      <c r="F1066" s="30"/>
      <c r="G1066" s="30"/>
      <c r="H1066" s="30"/>
      <c r="I1066" s="30"/>
      <c r="J1066" s="30"/>
      <c r="K1066" s="30"/>
      <c r="L1066" s="29"/>
      <c r="M1066" s="29"/>
      <c r="N1066" s="29"/>
      <c r="O1066" s="29"/>
      <c r="P1066" s="29"/>
      <c r="Q1066" s="29"/>
      <c r="R1066" s="29"/>
      <c r="S1066" s="29"/>
      <c r="T1066" s="29"/>
      <c r="U1066" s="31"/>
      <c r="V1066" s="31"/>
      <c r="W1066" s="31"/>
      <c r="X1066" s="31"/>
      <c r="Y1066" s="31"/>
    </row>
    <row r="1067" spans="1:25" x14ac:dyDescent="0.2">
      <c r="A1067" s="29"/>
      <c r="B1067" s="29"/>
      <c r="C1067" s="29"/>
      <c r="D1067" s="29"/>
      <c r="E1067" s="29"/>
      <c r="F1067" s="30"/>
      <c r="G1067" s="30"/>
      <c r="H1067" s="30"/>
      <c r="I1067" s="30"/>
      <c r="J1067" s="30"/>
      <c r="K1067" s="30"/>
      <c r="L1067" s="29"/>
      <c r="M1067" s="29"/>
      <c r="N1067" s="29"/>
      <c r="O1067" s="29"/>
      <c r="P1067" s="29"/>
      <c r="Q1067" s="29"/>
      <c r="R1067" s="29"/>
      <c r="S1067" s="29"/>
      <c r="T1067" s="29"/>
      <c r="U1067" s="31"/>
      <c r="V1067" s="31"/>
      <c r="W1067" s="31"/>
      <c r="X1067" s="31"/>
      <c r="Y1067" s="31"/>
    </row>
    <row r="1068" spans="1:25" x14ac:dyDescent="0.2">
      <c r="A1068" s="29"/>
      <c r="B1068" s="29"/>
      <c r="C1068" s="29"/>
      <c r="D1068" s="29"/>
      <c r="E1068" s="29"/>
      <c r="F1068" s="30"/>
      <c r="G1068" s="30"/>
      <c r="H1068" s="30"/>
      <c r="I1068" s="30"/>
      <c r="J1068" s="30"/>
      <c r="K1068" s="30"/>
      <c r="L1068" s="29"/>
      <c r="M1068" s="29"/>
      <c r="N1068" s="29"/>
      <c r="O1068" s="29"/>
      <c r="P1068" s="29"/>
      <c r="Q1068" s="29"/>
      <c r="R1068" s="29"/>
      <c r="S1068" s="29"/>
      <c r="T1068" s="29"/>
      <c r="U1068" s="31"/>
      <c r="V1068" s="31"/>
      <c r="W1068" s="31"/>
      <c r="X1068" s="31"/>
      <c r="Y1068" s="31"/>
    </row>
    <row r="1069" spans="1:25" x14ac:dyDescent="0.2">
      <c r="A1069" s="29"/>
      <c r="B1069" s="29"/>
      <c r="C1069" s="29"/>
      <c r="D1069" s="29"/>
      <c r="E1069" s="29"/>
      <c r="F1069" s="30"/>
      <c r="G1069" s="30"/>
      <c r="H1069" s="30"/>
      <c r="I1069" s="30"/>
      <c r="J1069" s="30"/>
      <c r="K1069" s="30"/>
      <c r="L1069" s="29"/>
      <c r="M1069" s="29"/>
      <c r="N1069" s="29"/>
      <c r="O1069" s="29"/>
      <c r="P1069" s="29"/>
      <c r="Q1069" s="29"/>
      <c r="R1069" s="29"/>
      <c r="S1069" s="29"/>
      <c r="T1069" s="29"/>
      <c r="U1069" s="31"/>
      <c r="V1069" s="31"/>
      <c r="W1069" s="31"/>
      <c r="X1069" s="31"/>
      <c r="Y1069" s="31"/>
    </row>
    <row r="1070" spans="1:25" x14ac:dyDescent="0.2">
      <c r="A1070" s="29"/>
      <c r="B1070" s="29"/>
      <c r="C1070" s="29"/>
      <c r="D1070" s="29"/>
      <c r="E1070" s="29"/>
      <c r="F1070" s="30"/>
      <c r="G1070" s="30"/>
      <c r="H1070" s="30"/>
      <c r="I1070" s="30"/>
      <c r="J1070" s="30"/>
      <c r="K1070" s="30"/>
      <c r="L1070" s="29"/>
      <c r="M1070" s="29"/>
      <c r="N1070" s="29"/>
      <c r="O1070" s="29"/>
      <c r="P1070" s="29"/>
      <c r="Q1070" s="29"/>
      <c r="R1070" s="29"/>
      <c r="S1070" s="29"/>
      <c r="T1070" s="29"/>
      <c r="U1070" s="31"/>
      <c r="V1070" s="31"/>
      <c r="W1070" s="31"/>
      <c r="X1070" s="31"/>
      <c r="Y1070" s="31"/>
    </row>
    <row r="1071" spans="1:25" x14ac:dyDescent="0.2">
      <c r="A1071" s="29"/>
      <c r="B1071" s="29"/>
      <c r="C1071" s="29"/>
      <c r="D1071" s="29"/>
      <c r="E1071" s="29"/>
      <c r="F1071" s="30"/>
      <c r="G1071" s="30"/>
      <c r="H1071" s="30"/>
      <c r="I1071" s="30"/>
      <c r="J1071" s="30"/>
      <c r="K1071" s="30"/>
      <c r="L1071" s="29"/>
      <c r="M1071" s="29"/>
      <c r="N1071" s="29"/>
      <c r="O1071" s="29"/>
      <c r="P1071" s="29"/>
      <c r="Q1071" s="29"/>
      <c r="R1071" s="29"/>
      <c r="S1071" s="29"/>
      <c r="T1071" s="29"/>
      <c r="U1071" s="31"/>
      <c r="V1071" s="31"/>
      <c r="W1071" s="31"/>
      <c r="X1071" s="31"/>
      <c r="Y1071" s="31"/>
    </row>
    <row r="1072" spans="1:25" x14ac:dyDescent="0.2">
      <c r="A1072" s="29"/>
      <c r="B1072" s="29"/>
      <c r="C1072" s="29"/>
      <c r="D1072" s="29"/>
      <c r="E1072" s="29"/>
      <c r="F1072" s="30"/>
      <c r="G1072" s="30"/>
      <c r="H1072" s="30"/>
      <c r="I1072" s="30"/>
      <c r="J1072" s="30"/>
      <c r="K1072" s="30"/>
      <c r="L1072" s="29"/>
      <c r="M1072" s="29"/>
      <c r="N1072" s="29"/>
      <c r="O1072" s="29"/>
      <c r="P1072" s="29"/>
      <c r="Q1072" s="29"/>
      <c r="R1072" s="29"/>
      <c r="S1072" s="29"/>
      <c r="T1072" s="29"/>
      <c r="U1072" s="31"/>
      <c r="V1072" s="31"/>
      <c r="W1072" s="31"/>
      <c r="X1072" s="31"/>
      <c r="Y1072" s="31"/>
    </row>
    <row r="1073" spans="1:25" x14ac:dyDescent="0.2">
      <c r="A1073" s="29"/>
      <c r="B1073" s="29"/>
      <c r="C1073" s="29"/>
      <c r="D1073" s="29"/>
      <c r="E1073" s="29"/>
      <c r="F1073" s="30"/>
      <c r="G1073" s="30"/>
      <c r="H1073" s="30"/>
      <c r="I1073" s="30"/>
      <c r="J1073" s="30"/>
      <c r="K1073" s="30"/>
      <c r="L1073" s="29"/>
      <c r="M1073" s="29"/>
      <c r="N1073" s="29"/>
      <c r="O1073" s="29"/>
      <c r="P1073" s="29"/>
      <c r="Q1073" s="29"/>
      <c r="R1073" s="29"/>
      <c r="S1073" s="29"/>
      <c r="T1073" s="29"/>
      <c r="U1073" s="31"/>
      <c r="V1073" s="31"/>
      <c r="W1073" s="31"/>
      <c r="X1073" s="31"/>
      <c r="Y1073" s="31"/>
    </row>
    <row r="1074" spans="1:25" x14ac:dyDescent="0.2">
      <c r="A1074" s="29"/>
      <c r="B1074" s="29"/>
      <c r="C1074" s="29"/>
      <c r="D1074" s="29"/>
      <c r="E1074" s="29"/>
      <c r="F1074" s="30"/>
      <c r="G1074" s="30"/>
      <c r="H1074" s="30"/>
      <c r="I1074" s="30"/>
      <c r="J1074" s="30"/>
      <c r="K1074" s="30"/>
      <c r="L1074" s="29"/>
      <c r="M1074" s="29"/>
      <c r="N1074" s="29"/>
      <c r="O1074" s="29"/>
      <c r="P1074" s="29"/>
      <c r="Q1074" s="29"/>
      <c r="R1074" s="29"/>
      <c r="S1074" s="29"/>
      <c r="T1074" s="29"/>
      <c r="U1074" s="31"/>
      <c r="V1074" s="31"/>
      <c r="W1074" s="31"/>
      <c r="X1074" s="31"/>
      <c r="Y1074" s="31"/>
    </row>
    <row r="1075" spans="1:25" x14ac:dyDescent="0.2">
      <c r="A1075" s="29"/>
      <c r="B1075" s="29"/>
      <c r="C1075" s="29"/>
      <c r="D1075" s="29"/>
      <c r="E1075" s="29"/>
      <c r="F1075" s="30"/>
      <c r="G1075" s="30"/>
      <c r="H1075" s="30"/>
      <c r="I1075" s="30"/>
      <c r="J1075" s="30"/>
      <c r="K1075" s="30"/>
      <c r="L1075" s="29"/>
      <c r="M1075" s="29"/>
      <c r="N1075" s="29"/>
      <c r="O1075" s="29"/>
      <c r="P1075" s="29"/>
      <c r="Q1075" s="29"/>
      <c r="R1075" s="29"/>
      <c r="S1075" s="29"/>
      <c r="T1075" s="29"/>
      <c r="U1075" s="31"/>
      <c r="V1075" s="31"/>
      <c r="W1075" s="31"/>
      <c r="X1075" s="31"/>
      <c r="Y1075" s="31"/>
    </row>
    <row r="1076" spans="1:25" x14ac:dyDescent="0.2">
      <c r="A1076" s="29"/>
      <c r="B1076" s="29"/>
      <c r="C1076" s="29"/>
      <c r="D1076" s="29"/>
      <c r="E1076" s="29"/>
      <c r="F1076" s="30"/>
      <c r="G1076" s="30"/>
      <c r="H1076" s="30"/>
      <c r="I1076" s="30"/>
      <c r="J1076" s="30"/>
      <c r="K1076" s="30"/>
      <c r="L1076" s="29"/>
      <c r="M1076" s="29"/>
      <c r="N1076" s="29"/>
      <c r="O1076" s="29"/>
      <c r="P1076" s="29"/>
      <c r="Q1076" s="29"/>
      <c r="R1076" s="29"/>
      <c r="S1076" s="29"/>
      <c r="T1076" s="29"/>
      <c r="U1076" s="31"/>
      <c r="V1076" s="31"/>
      <c r="W1076" s="31"/>
      <c r="X1076" s="31"/>
      <c r="Y1076" s="31"/>
    </row>
    <row r="1077" spans="1:25" x14ac:dyDescent="0.2">
      <c r="A1077" s="29"/>
      <c r="B1077" s="29"/>
      <c r="C1077" s="29"/>
      <c r="D1077" s="29"/>
      <c r="E1077" s="29"/>
      <c r="F1077" s="30"/>
      <c r="G1077" s="30"/>
      <c r="H1077" s="30"/>
      <c r="I1077" s="30"/>
      <c r="J1077" s="30"/>
      <c r="K1077" s="30"/>
      <c r="L1077" s="29"/>
      <c r="M1077" s="29"/>
      <c r="N1077" s="29"/>
      <c r="O1077" s="29"/>
      <c r="P1077" s="29"/>
      <c r="Q1077" s="29"/>
      <c r="R1077" s="29"/>
      <c r="S1077" s="29"/>
      <c r="T1077" s="29"/>
      <c r="U1077" s="31"/>
      <c r="V1077" s="31"/>
      <c r="W1077" s="31"/>
      <c r="X1077" s="31"/>
      <c r="Y1077" s="31"/>
    </row>
    <row r="1078" spans="1:25" x14ac:dyDescent="0.2">
      <c r="A1078" s="29"/>
      <c r="B1078" s="29"/>
      <c r="C1078" s="29"/>
      <c r="D1078" s="29"/>
      <c r="E1078" s="29"/>
      <c r="F1078" s="30"/>
      <c r="G1078" s="30"/>
      <c r="H1078" s="30"/>
      <c r="I1078" s="30"/>
      <c r="J1078" s="30"/>
      <c r="K1078" s="30"/>
      <c r="L1078" s="29"/>
      <c r="M1078" s="29"/>
      <c r="N1078" s="29"/>
      <c r="O1078" s="29"/>
      <c r="P1078" s="29"/>
      <c r="Q1078" s="29"/>
      <c r="R1078" s="29"/>
      <c r="S1078" s="29"/>
      <c r="T1078" s="29"/>
      <c r="U1078" s="31"/>
      <c r="V1078" s="31"/>
      <c r="W1078" s="31"/>
      <c r="X1078" s="31"/>
      <c r="Y1078" s="31"/>
    </row>
    <row r="1079" spans="1:25" x14ac:dyDescent="0.2">
      <c r="A1079" s="29"/>
      <c r="B1079" s="29"/>
      <c r="C1079" s="29"/>
      <c r="D1079" s="29"/>
      <c r="E1079" s="29"/>
      <c r="F1079" s="30"/>
      <c r="G1079" s="30"/>
      <c r="H1079" s="30"/>
      <c r="I1079" s="30"/>
      <c r="J1079" s="30"/>
      <c r="K1079" s="30"/>
      <c r="L1079" s="29"/>
      <c r="M1079" s="29"/>
      <c r="N1079" s="29"/>
      <c r="O1079" s="29"/>
      <c r="P1079" s="29"/>
      <c r="Q1079" s="29"/>
      <c r="R1079" s="29"/>
      <c r="S1079" s="29"/>
      <c r="T1079" s="29"/>
      <c r="U1079" s="31"/>
      <c r="V1079" s="31"/>
      <c r="W1079" s="31"/>
      <c r="X1079" s="31"/>
      <c r="Y1079" s="31"/>
    </row>
    <row r="1080" spans="1:25" x14ac:dyDescent="0.2">
      <c r="A1080" s="29"/>
      <c r="B1080" s="29"/>
      <c r="C1080" s="29"/>
      <c r="D1080" s="29"/>
      <c r="E1080" s="29"/>
      <c r="F1080" s="30"/>
      <c r="G1080" s="30"/>
      <c r="H1080" s="30"/>
      <c r="I1080" s="30"/>
      <c r="J1080" s="30"/>
      <c r="K1080" s="30"/>
      <c r="L1080" s="29"/>
      <c r="M1080" s="29"/>
      <c r="N1080" s="29"/>
      <c r="O1080" s="29"/>
      <c r="P1080" s="29"/>
      <c r="Q1080" s="29"/>
      <c r="R1080" s="29"/>
      <c r="S1080" s="29"/>
      <c r="T1080" s="29"/>
      <c r="U1080" s="31"/>
      <c r="V1080" s="31"/>
      <c r="W1080" s="31"/>
      <c r="X1080" s="31"/>
      <c r="Y1080" s="31"/>
    </row>
    <row r="1081" spans="1:25" x14ac:dyDescent="0.2">
      <c r="A1081" s="29"/>
      <c r="B1081" s="29"/>
      <c r="C1081" s="29"/>
      <c r="D1081" s="29"/>
      <c r="E1081" s="29"/>
      <c r="F1081" s="30"/>
      <c r="G1081" s="30"/>
      <c r="H1081" s="30"/>
      <c r="I1081" s="30"/>
      <c r="J1081" s="30"/>
      <c r="K1081" s="30"/>
      <c r="L1081" s="29"/>
      <c r="M1081" s="29"/>
      <c r="N1081" s="29"/>
      <c r="O1081" s="29"/>
      <c r="P1081" s="29"/>
      <c r="Q1081" s="29"/>
      <c r="R1081" s="29"/>
      <c r="S1081" s="29"/>
      <c r="T1081" s="29"/>
      <c r="U1081" s="31"/>
      <c r="V1081" s="31"/>
      <c r="W1081" s="31"/>
      <c r="X1081" s="31"/>
      <c r="Y1081" s="31"/>
    </row>
    <row r="1082" spans="1:25" x14ac:dyDescent="0.2">
      <c r="A1082" s="29"/>
      <c r="B1082" s="29"/>
      <c r="C1082" s="29"/>
      <c r="D1082" s="29"/>
      <c r="E1082" s="29"/>
      <c r="F1082" s="30"/>
      <c r="G1082" s="30"/>
      <c r="H1082" s="30"/>
      <c r="I1082" s="30"/>
      <c r="J1082" s="30"/>
      <c r="K1082" s="30"/>
      <c r="L1082" s="29"/>
      <c r="M1082" s="29"/>
      <c r="N1082" s="29"/>
      <c r="O1082" s="29"/>
      <c r="P1082" s="29"/>
      <c r="Q1082" s="29"/>
      <c r="R1082" s="29"/>
      <c r="S1082" s="29"/>
      <c r="T1082" s="29"/>
      <c r="U1082" s="31"/>
      <c r="V1082" s="31"/>
      <c r="W1082" s="31"/>
      <c r="X1082" s="31"/>
      <c r="Y1082" s="31"/>
    </row>
    <row r="1083" spans="1:25" x14ac:dyDescent="0.2">
      <c r="A1083" s="29"/>
      <c r="B1083" s="29"/>
      <c r="C1083" s="29"/>
      <c r="D1083" s="29"/>
      <c r="E1083" s="29"/>
      <c r="F1083" s="30"/>
      <c r="G1083" s="30"/>
      <c r="H1083" s="30"/>
      <c r="I1083" s="30"/>
      <c r="J1083" s="30"/>
      <c r="K1083" s="30"/>
      <c r="L1083" s="29"/>
      <c r="M1083" s="29"/>
      <c r="N1083" s="29"/>
      <c r="O1083" s="29"/>
      <c r="P1083" s="29"/>
      <c r="Q1083" s="29"/>
      <c r="R1083" s="29"/>
      <c r="S1083" s="29"/>
      <c r="T1083" s="29"/>
      <c r="U1083" s="31"/>
      <c r="V1083" s="31"/>
      <c r="W1083" s="31"/>
      <c r="X1083" s="31"/>
      <c r="Y1083" s="31"/>
    </row>
    <row r="1084" spans="1:25" x14ac:dyDescent="0.2">
      <c r="A1084" s="29"/>
      <c r="B1084" s="29"/>
      <c r="C1084" s="29"/>
      <c r="D1084" s="29"/>
      <c r="E1084" s="29"/>
      <c r="F1084" s="30"/>
      <c r="G1084" s="30"/>
      <c r="H1084" s="30"/>
      <c r="I1084" s="30"/>
      <c r="J1084" s="30"/>
      <c r="K1084" s="30"/>
      <c r="L1084" s="29"/>
      <c r="M1084" s="29"/>
      <c r="N1084" s="29"/>
      <c r="O1084" s="29"/>
      <c r="P1084" s="29"/>
      <c r="Q1084" s="29"/>
      <c r="R1084" s="29"/>
      <c r="S1084" s="29"/>
      <c r="T1084" s="29"/>
      <c r="U1084" s="31"/>
      <c r="V1084" s="31"/>
      <c r="W1084" s="31"/>
      <c r="X1084" s="31"/>
      <c r="Y1084" s="31"/>
    </row>
    <row r="1085" spans="1:25" x14ac:dyDescent="0.2">
      <c r="A1085" s="29"/>
      <c r="B1085" s="29"/>
      <c r="C1085" s="29"/>
      <c r="D1085" s="29"/>
      <c r="E1085" s="29"/>
      <c r="F1085" s="30"/>
      <c r="G1085" s="30"/>
      <c r="H1085" s="30"/>
      <c r="I1085" s="30"/>
      <c r="J1085" s="30"/>
      <c r="K1085" s="30"/>
      <c r="L1085" s="29"/>
      <c r="M1085" s="29"/>
      <c r="N1085" s="29"/>
      <c r="O1085" s="29"/>
      <c r="P1085" s="29"/>
      <c r="Q1085" s="29"/>
      <c r="R1085" s="29"/>
      <c r="S1085" s="29"/>
      <c r="T1085" s="29"/>
      <c r="U1085" s="31"/>
      <c r="V1085" s="31"/>
      <c r="W1085" s="31"/>
      <c r="X1085" s="31"/>
      <c r="Y1085" s="31"/>
    </row>
    <row r="1086" spans="1:25" x14ac:dyDescent="0.2">
      <c r="A1086" s="29"/>
      <c r="B1086" s="29"/>
      <c r="C1086" s="29"/>
      <c r="D1086" s="29"/>
      <c r="E1086" s="29"/>
      <c r="F1086" s="30"/>
      <c r="G1086" s="30"/>
      <c r="H1086" s="30"/>
      <c r="I1086" s="30"/>
      <c r="J1086" s="30"/>
      <c r="K1086" s="30"/>
      <c r="L1086" s="29"/>
      <c r="M1086" s="29"/>
      <c r="N1086" s="29"/>
      <c r="O1086" s="29"/>
      <c r="P1086" s="29"/>
      <c r="Q1086" s="29"/>
      <c r="R1086" s="29"/>
      <c r="S1086" s="29"/>
      <c r="T1086" s="29"/>
      <c r="U1086" s="31"/>
      <c r="V1086" s="31"/>
      <c r="W1086" s="31"/>
      <c r="X1086" s="31"/>
      <c r="Y1086" s="31"/>
    </row>
    <row r="1087" spans="1:25" x14ac:dyDescent="0.2">
      <c r="A1087" s="29"/>
      <c r="B1087" s="29"/>
      <c r="C1087" s="29"/>
      <c r="D1087" s="29"/>
      <c r="E1087" s="29"/>
      <c r="F1087" s="30"/>
      <c r="G1087" s="30"/>
      <c r="H1087" s="30"/>
      <c r="I1087" s="30"/>
      <c r="J1087" s="30"/>
      <c r="K1087" s="30"/>
      <c r="L1087" s="29"/>
      <c r="M1087" s="29"/>
      <c r="N1087" s="29"/>
      <c r="O1087" s="29"/>
      <c r="P1087" s="29"/>
      <c r="Q1087" s="29"/>
      <c r="R1087" s="29"/>
      <c r="S1087" s="29"/>
      <c r="T1087" s="29"/>
      <c r="U1087" s="31"/>
      <c r="V1087" s="31"/>
      <c r="W1087" s="31"/>
      <c r="X1087" s="31"/>
      <c r="Y1087" s="31"/>
    </row>
    <row r="1088" spans="1:25" x14ac:dyDescent="0.2">
      <c r="A1088" s="29"/>
      <c r="B1088" s="29"/>
      <c r="C1088" s="29"/>
      <c r="D1088" s="29"/>
      <c r="E1088" s="29"/>
      <c r="F1088" s="30"/>
      <c r="G1088" s="30"/>
      <c r="H1088" s="30"/>
      <c r="I1088" s="30"/>
      <c r="J1088" s="30"/>
      <c r="K1088" s="30"/>
      <c r="L1088" s="29"/>
      <c r="M1088" s="29"/>
      <c r="N1088" s="29"/>
      <c r="O1088" s="29"/>
      <c r="P1088" s="29"/>
      <c r="Q1088" s="29"/>
      <c r="R1088" s="29"/>
      <c r="S1088" s="29"/>
      <c r="T1088" s="29"/>
      <c r="U1088" s="31"/>
      <c r="V1088" s="31"/>
      <c r="W1088" s="31"/>
      <c r="X1088" s="31"/>
      <c r="Y1088" s="31"/>
    </row>
    <row r="1089" spans="1:25" x14ac:dyDescent="0.2">
      <c r="A1089" s="29"/>
      <c r="B1089" s="29"/>
      <c r="C1089" s="29"/>
      <c r="D1089" s="29"/>
      <c r="E1089" s="29"/>
      <c r="F1089" s="30"/>
      <c r="G1089" s="30"/>
      <c r="H1089" s="30"/>
      <c r="I1089" s="30"/>
      <c r="J1089" s="30"/>
      <c r="K1089" s="30"/>
      <c r="L1089" s="29"/>
      <c r="M1089" s="29"/>
      <c r="N1089" s="29"/>
      <c r="O1089" s="29"/>
      <c r="P1089" s="29"/>
      <c r="Q1089" s="29"/>
      <c r="R1089" s="29"/>
      <c r="S1089" s="29"/>
      <c r="T1089" s="29"/>
      <c r="U1089" s="31"/>
      <c r="V1089" s="31"/>
      <c r="W1089" s="31"/>
      <c r="X1089" s="31"/>
      <c r="Y1089" s="31"/>
    </row>
    <row r="1090" spans="1:25" x14ac:dyDescent="0.2">
      <c r="A1090" s="29"/>
      <c r="B1090" s="29"/>
      <c r="C1090" s="29"/>
      <c r="D1090" s="29"/>
      <c r="E1090" s="29"/>
      <c r="F1090" s="30"/>
      <c r="G1090" s="30"/>
      <c r="H1090" s="30"/>
      <c r="I1090" s="30"/>
      <c r="J1090" s="30"/>
      <c r="K1090" s="30"/>
      <c r="L1090" s="29"/>
      <c r="M1090" s="29"/>
      <c r="N1090" s="29"/>
      <c r="O1090" s="29"/>
      <c r="P1090" s="29"/>
      <c r="Q1090" s="29"/>
      <c r="R1090" s="29"/>
      <c r="S1090" s="29"/>
      <c r="T1090" s="29"/>
      <c r="U1090" s="31"/>
      <c r="V1090" s="31"/>
      <c r="W1090" s="31"/>
      <c r="X1090" s="31"/>
      <c r="Y1090" s="31"/>
    </row>
    <row r="1091" spans="1:25" x14ac:dyDescent="0.2">
      <c r="A1091" s="29"/>
      <c r="B1091" s="29"/>
      <c r="C1091" s="29"/>
      <c r="D1091" s="29"/>
      <c r="E1091" s="29"/>
      <c r="F1091" s="30"/>
      <c r="G1091" s="30"/>
      <c r="H1091" s="30"/>
      <c r="I1091" s="30"/>
      <c r="J1091" s="30"/>
      <c r="K1091" s="30"/>
      <c r="L1091" s="29"/>
      <c r="M1091" s="29"/>
      <c r="N1091" s="29"/>
      <c r="O1091" s="29"/>
      <c r="P1091" s="29"/>
      <c r="Q1091" s="29"/>
      <c r="R1091" s="29"/>
      <c r="S1091" s="29"/>
      <c r="T1091" s="29"/>
      <c r="U1091" s="31"/>
      <c r="V1091" s="31"/>
      <c r="W1091" s="31"/>
      <c r="X1091" s="31"/>
      <c r="Y1091" s="31"/>
    </row>
    <row r="1092" spans="1:25" x14ac:dyDescent="0.2">
      <c r="A1092" s="29"/>
      <c r="B1092" s="29"/>
      <c r="C1092" s="29"/>
      <c r="D1092" s="29"/>
      <c r="E1092" s="29"/>
      <c r="F1092" s="30"/>
      <c r="G1092" s="30"/>
      <c r="H1092" s="30"/>
      <c r="I1092" s="30"/>
      <c r="J1092" s="30"/>
      <c r="K1092" s="30"/>
      <c r="L1092" s="29"/>
      <c r="M1092" s="29"/>
      <c r="N1092" s="29"/>
      <c r="O1092" s="29"/>
      <c r="P1092" s="29"/>
      <c r="Q1092" s="29"/>
      <c r="R1092" s="29"/>
      <c r="S1092" s="29"/>
      <c r="T1092" s="29"/>
      <c r="U1092" s="31"/>
      <c r="V1092" s="31"/>
      <c r="W1092" s="31"/>
      <c r="X1092" s="31"/>
      <c r="Y1092" s="31"/>
    </row>
    <row r="1093" spans="1:25" x14ac:dyDescent="0.2">
      <c r="A1093" s="29"/>
      <c r="B1093" s="29"/>
      <c r="C1093" s="29"/>
      <c r="D1093" s="29"/>
      <c r="E1093" s="29"/>
      <c r="F1093" s="30"/>
      <c r="G1093" s="30"/>
      <c r="H1093" s="30"/>
      <c r="I1093" s="30"/>
      <c r="J1093" s="30"/>
      <c r="K1093" s="30"/>
      <c r="L1093" s="29"/>
      <c r="M1093" s="29"/>
      <c r="N1093" s="29"/>
      <c r="O1093" s="29"/>
      <c r="P1093" s="29"/>
      <c r="Q1093" s="29"/>
      <c r="R1093" s="29"/>
      <c r="S1093" s="29"/>
      <c r="T1093" s="29"/>
      <c r="U1093" s="31"/>
      <c r="V1093" s="31"/>
      <c r="W1093" s="31"/>
      <c r="X1093" s="31"/>
      <c r="Y1093" s="31"/>
    </row>
    <row r="1094" spans="1:25" x14ac:dyDescent="0.2">
      <c r="A1094" s="29"/>
      <c r="B1094" s="29"/>
      <c r="C1094" s="29"/>
      <c r="D1094" s="29"/>
      <c r="E1094" s="29"/>
      <c r="F1094" s="30"/>
      <c r="G1094" s="30"/>
      <c r="H1094" s="30"/>
      <c r="I1094" s="30"/>
      <c r="J1094" s="30"/>
      <c r="K1094" s="30"/>
      <c r="L1094" s="29"/>
      <c r="M1094" s="29"/>
      <c r="N1094" s="29"/>
      <c r="O1094" s="29"/>
      <c r="P1094" s="29"/>
      <c r="Q1094" s="29"/>
      <c r="R1094" s="29"/>
      <c r="S1094" s="29"/>
      <c r="T1094" s="29"/>
      <c r="U1094" s="31"/>
      <c r="V1094" s="31"/>
      <c r="W1094" s="31"/>
      <c r="X1094" s="31"/>
      <c r="Y1094" s="31"/>
    </row>
    <row r="1095" spans="1:25" x14ac:dyDescent="0.2">
      <c r="A1095" s="29"/>
      <c r="B1095" s="29"/>
      <c r="C1095" s="29"/>
      <c r="D1095" s="29"/>
      <c r="E1095" s="29"/>
      <c r="F1095" s="30"/>
      <c r="G1095" s="30"/>
      <c r="H1095" s="30"/>
      <c r="I1095" s="30"/>
      <c r="J1095" s="30"/>
      <c r="K1095" s="30"/>
      <c r="L1095" s="29"/>
      <c r="M1095" s="29"/>
      <c r="N1095" s="29"/>
      <c r="O1095" s="29"/>
      <c r="P1095" s="29"/>
      <c r="Q1095" s="29"/>
      <c r="R1095" s="29"/>
      <c r="S1095" s="29"/>
      <c r="T1095" s="29"/>
      <c r="U1095" s="31"/>
      <c r="V1095" s="31"/>
      <c r="W1095" s="31"/>
      <c r="X1095" s="31"/>
      <c r="Y1095" s="31"/>
    </row>
    <row r="1096" spans="1:25" x14ac:dyDescent="0.2">
      <c r="A1096" s="29"/>
      <c r="B1096" s="29"/>
      <c r="C1096" s="29"/>
      <c r="D1096" s="29"/>
      <c r="E1096" s="29"/>
      <c r="F1096" s="30"/>
      <c r="G1096" s="30"/>
      <c r="H1096" s="30"/>
      <c r="I1096" s="30"/>
      <c r="J1096" s="30"/>
      <c r="K1096" s="30"/>
      <c r="L1096" s="29"/>
      <c r="M1096" s="29"/>
      <c r="N1096" s="29"/>
      <c r="O1096" s="29"/>
      <c r="P1096" s="29"/>
      <c r="Q1096" s="29"/>
      <c r="R1096" s="29"/>
      <c r="S1096" s="29"/>
      <c r="T1096" s="29"/>
      <c r="U1096" s="31"/>
      <c r="V1096" s="31"/>
      <c r="W1096" s="31"/>
      <c r="X1096" s="31"/>
      <c r="Y1096" s="31"/>
    </row>
    <row r="1097" spans="1:25" x14ac:dyDescent="0.2">
      <c r="A1097" s="29"/>
      <c r="B1097" s="29"/>
      <c r="C1097" s="29"/>
      <c r="D1097" s="29"/>
      <c r="E1097" s="29"/>
      <c r="F1097" s="30"/>
      <c r="G1097" s="30"/>
      <c r="H1097" s="30"/>
      <c r="I1097" s="30"/>
      <c r="J1097" s="30"/>
      <c r="K1097" s="30"/>
      <c r="L1097" s="29"/>
      <c r="M1097" s="29"/>
      <c r="N1097" s="29"/>
      <c r="O1097" s="29"/>
      <c r="P1097" s="29"/>
      <c r="Q1097" s="29"/>
      <c r="R1097" s="29"/>
      <c r="S1097" s="29"/>
      <c r="T1097" s="29"/>
      <c r="U1097" s="31"/>
      <c r="V1097" s="31"/>
      <c r="W1097" s="31"/>
      <c r="X1097" s="31"/>
      <c r="Y1097" s="31"/>
    </row>
    <row r="1098" spans="1:25" x14ac:dyDescent="0.2">
      <c r="A1098" s="29"/>
      <c r="B1098" s="29"/>
      <c r="C1098" s="29"/>
      <c r="D1098" s="29"/>
      <c r="E1098" s="29"/>
      <c r="F1098" s="30"/>
      <c r="G1098" s="30"/>
      <c r="H1098" s="30"/>
      <c r="I1098" s="30"/>
      <c r="J1098" s="30"/>
      <c r="K1098" s="30"/>
      <c r="L1098" s="29"/>
      <c r="M1098" s="29"/>
      <c r="N1098" s="29"/>
      <c r="O1098" s="29"/>
      <c r="P1098" s="29"/>
      <c r="Q1098" s="29"/>
      <c r="R1098" s="29"/>
      <c r="S1098" s="29"/>
      <c r="T1098" s="29"/>
      <c r="U1098" s="31"/>
      <c r="V1098" s="31"/>
      <c r="W1098" s="31"/>
      <c r="X1098" s="31"/>
      <c r="Y1098" s="31"/>
    </row>
    <row r="1099" spans="1:25" x14ac:dyDescent="0.2">
      <c r="A1099" s="29"/>
      <c r="B1099" s="29"/>
      <c r="C1099" s="29"/>
      <c r="D1099" s="29"/>
      <c r="E1099" s="29"/>
      <c r="F1099" s="30"/>
      <c r="G1099" s="30"/>
      <c r="H1099" s="30"/>
      <c r="I1099" s="30"/>
      <c r="J1099" s="30"/>
      <c r="K1099" s="30"/>
      <c r="L1099" s="29"/>
      <c r="M1099" s="29"/>
      <c r="N1099" s="29"/>
      <c r="O1099" s="29"/>
      <c r="P1099" s="29"/>
      <c r="Q1099" s="29"/>
      <c r="R1099" s="29"/>
      <c r="S1099" s="29"/>
      <c r="T1099" s="29"/>
      <c r="U1099" s="31"/>
      <c r="V1099" s="31"/>
      <c r="W1099" s="31"/>
      <c r="X1099" s="31"/>
      <c r="Y1099" s="31"/>
    </row>
    <row r="1100" spans="1:25" x14ac:dyDescent="0.2">
      <c r="A1100" s="29"/>
      <c r="B1100" s="29"/>
      <c r="C1100" s="29"/>
      <c r="D1100" s="29"/>
      <c r="E1100" s="29"/>
      <c r="F1100" s="30"/>
      <c r="G1100" s="30"/>
      <c r="H1100" s="30"/>
      <c r="I1100" s="30"/>
      <c r="J1100" s="30"/>
      <c r="K1100" s="30"/>
      <c r="L1100" s="29"/>
      <c r="M1100" s="29"/>
      <c r="N1100" s="29"/>
      <c r="O1100" s="29"/>
      <c r="P1100" s="29"/>
      <c r="Q1100" s="29"/>
      <c r="R1100" s="29"/>
      <c r="S1100" s="29"/>
      <c r="T1100" s="29"/>
      <c r="U1100" s="31"/>
      <c r="V1100" s="31"/>
      <c r="W1100" s="31"/>
      <c r="X1100" s="31"/>
      <c r="Y1100" s="31"/>
    </row>
    <row r="1101" spans="1:25" x14ac:dyDescent="0.2">
      <c r="A1101" s="29"/>
      <c r="B1101" s="29"/>
      <c r="C1101" s="29"/>
      <c r="D1101" s="29"/>
      <c r="E1101" s="29"/>
      <c r="F1101" s="30"/>
      <c r="G1101" s="30"/>
      <c r="H1101" s="30"/>
      <c r="I1101" s="30"/>
      <c r="J1101" s="30"/>
      <c r="K1101" s="30"/>
      <c r="L1101" s="29"/>
      <c r="M1101" s="29"/>
      <c r="N1101" s="29"/>
      <c r="O1101" s="29"/>
      <c r="P1101" s="29"/>
      <c r="Q1101" s="29"/>
      <c r="R1101" s="29"/>
      <c r="S1101" s="29"/>
      <c r="T1101" s="29"/>
      <c r="U1101" s="31"/>
      <c r="V1101" s="31"/>
      <c r="W1101" s="31"/>
      <c r="X1101" s="31"/>
      <c r="Y1101" s="31"/>
    </row>
    <row r="1102" spans="1:25" x14ac:dyDescent="0.2">
      <c r="A1102" s="29"/>
      <c r="B1102" s="29"/>
      <c r="C1102" s="29"/>
      <c r="D1102" s="29"/>
      <c r="E1102" s="29"/>
      <c r="F1102" s="30"/>
      <c r="G1102" s="30"/>
      <c r="H1102" s="30"/>
      <c r="I1102" s="30"/>
      <c r="J1102" s="30"/>
      <c r="K1102" s="30"/>
      <c r="L1102" s="29"/>
      <c r="M1102" s="29"/>
      <c r="N1102" s="29"/>
      <c r="O1102" s="29"/>
      <c r="P1102" s="29"/>
      <c r="Q1102" s="29"/>
      <c r="R1102" s="29"/>
      <c r="S1102" s="29"/>
      <c r="T1102" s="29"/>
      <c r="U1102" s="31"/>
      <c r="V1102" s="31"/>
      <c r="W1102" s="31"/>
      <c r="X1102" s="31"/>
      <c r="Y1102" s="31"/>
    </row>
    <row r="1103" spans="1:25" x14ac:dyDescent="0.2">
      <c r="A1103" s="29"/>
      <c r="B1103" s="29"/>
      <c r="C1103" s="29"/>
      <c r="D1103" s="29"/>
      <c r="E1103" s="29"/>
      <c r="F1103" s="30"/>
      <c r="G1103" s="30"/>
      <c r="H1103" s="30"/>
      <c r="I1103" s="30"/>
      <c r="J1103" s="30"/>
      <c r="K1103" s="30"/>
      <c r="L1103" s="29"/>
      <c r="M1103" s="29"/>
      <c r="N1103" s="29"/>
      <c r="O1103" s="29"/>
      <c r="P1103" s="29"/>
      <c r="Q1103" s="29"/>
      <c r="R1103" s="29"/>
      <c r="S1103" s="29"/>
      <c r="T1103" s="29"/>
      <c r="U1103" s="31"/>
      <c r="V1103" s="31"/>
      <c r="W1103" s="31"/>
      <c r="X1103" s="31"/>
      <c r="Y1103" s="31"/>
    </row>
    <row r="1104" spans="1:25" x14ac:dyDescent="0.2">
      <c r="A1104" s="29"/>
      <c r="B1104" s="29"/>
      <c r="C1104" s="29"/>
      <c r="D1104" s="29"/>
      <c r="E1104" s="29"/>
      <c r="F1104" s="30"/>
      <c r="G1104" s="30"/>
      <c r="H1104" s="30"/>
      <c r="I1104" s="30"/>
      <c r="J1104" s="30"/>
      <c r="K1104" s="30"/>
      <c r="L1104" s="29"/>
      <c r="M1104" s="29"/>
      <c r="N1104" s="29"/>
      <c r="O1104" s="29"/>
      <c r="P1104" s="29"/>
      <c r="Q1104" s="29"/>
      <c r="R1104" s="29"/>
      <c r="S1104" s="29"/>
      <c r="T1104" s="29"/>
      <c r="U1104" s="31"/>
      <c r="V1104" s="31"/>
      <c r="W1104" s="31"/>
      <c r="X1104" s="31"/>
      <c r="Y1104" s="31"/>
    </row>
    <row r="1105" spans="1:25" x14ac:dyDescent="0.2">
      <c r="A1105" s="29"/>
      <c r="B1105" s="29"/>
      <c r="C1105" s="29"/>
      <c r="D1105" s="29"/>
      <c r="E1105" s="29"/>
      <c r="F1105" s="30"/>
      <c r="G1105" s="30"/>
      <c r="H1105" s="30"/>
      <c r="I1105" s="30"/>
      <c r="J1105" s="30"/>
      <c r="K1105" s="30"/>
      <c r="L1105" s="29"/>
      <c r="M1105" s="29"/>
      <c r="N1105" s="29"/>
      <c r="O1105" s="29"/>
      <c r="P1105" s="29"/>
      <c r="Q1105" s="29"/>
      <c r="R1105" s="29"/>
      <c r="S1105" s="29"/>
      <c r="T1105" s="29"/>
      <c r="U1105" s="31"/>
      <c r="V1105" s="31"/>
      <c r="W1105" s="31"/>
      <c r="X1105" s="31"/>
      <c r="Y1105" s="31"/>
    </row>
    <row r="1106" spans="1:25" x14ac:dyDescent="0.2">
      <c r="A1106" s="29"/>
      <c r="B1106" s="29"/>
      <c r="C1106" s="29"/>
      <c r="D1106" s="29"/>
      <c r="E1106" s="29"/>
      <c r="F1106" s="30"/>
      <c r="G1106" s="30"/>
      <c r="H1106" s="30"/>
      <c r="I1106" s="30"/>
      <c r="J1106" s="30"/>
      <c r="K1106" s="30"/>
      <c r="L1106" s="29"/>
      <c r="M1106" s="29"/>
      <c r="N1106" s="29"/>
      <c r="O1106" s="29"/>
      <c r="P1106" s="29"/>
      <c r="Q1106" s="29"/>
      <c r="R1106" s="29"/>
      <c r="S1106" s="29"/>
      <c r="T1106" s="29"/>
      <c r="U1106" s="31"/>
      <c r="V1106" s="31"/>
      <c r="W1106" s="31"/>
      <c r="X1106" s="31"/>
      <c r="Y1106" s="31"/>
    </row>
    <row r="1107" spans="1:25" x14ac:dyDescent="0.2">
      <c r="A1107" s="29"/>
      <c r="B1107" s="29"/>
      <c r="C1107" s="29"/>
      <c r="D1107" s="29"/>
      <c r="E1107" s="29"/>
      <c r="F1107" s="30"/>
      <c r="G1107" s="30"/>
      <c r="H1107" s="30"/>
      <c r="I1107" s="30"/>
      <c r="J1107" s="30"/>
      <c r="K1107" s="30"/>
      <c r="L1107" s="29"/>
      <c r="M1107" s="29"/>
      <c r="N1107" s="29"/>
      <c r="O1107" s="29"/>
      <c r="P1107" s="29"/>
      <c r="Q1107" s="29"/>
      <c r="R1107" s="29"/>
      <c r="S1107" s="29"/>
      <c r="T1107" s="29"/>
      <c r="U1107" s="31"/>
      <c r="V1107" s="31"/>
      <c r="W1107" s="31"/>
      <c r="X1107" s="31"/>
      <c r="Y1107" s="31"/>
    </row>
    <row r="1108" spans="1:25" x14ac:dyDescent="0.2">
      <c r="A1108" s="29"/>
      <c r="B1108" s="29"/>
      <c r="C1108" s="29"/>
      <c r="D1108" s="29"/>
      <c r="E1108" s="29"/>
      <c r="F1108" s="30"/>
      <c r="G1108" s="30"/>
      <c r="H1108" s="30"/>
      <c r="I1108" s="30"/>
      <c r="J1108" s="30"/>
      <c r="K1108" s="30"/>
      <c r="L1108" s="29"/>
      <c r="M1108" s="29"/>
      <c r="N1108" s="29"/>
      <c r="O1108" s="29"/>
      <c r="P1108" s="29"/>
      <c r="Q1108" s="29"/>
      <c r="R1108" s="29"/>
      <c r="S1108" s="29"/>
      <c r="T1108" s="29"/>
      <c r="U1108" s="31"/>
      <c r="V1108" s="31"/>
      <c r="W1108" s="31"/>
      <c r="X1108" s="31"/>
      <c r="Y1108" s="31"/>
    </row>
    <row r="1109" spans="1:25" x14ac:dyDescent="0.2">
      <c r="A1109" s="29"/>
      <c r="B1109" s="29"/>
      <c r="C1109" s="29"/>
      <c r="D1109" s="29"/>
      <c r="E1109" s="29"/>
      <c r="F1109" s="30"/>
      <c r="G1109" s="30"/>
      <c r="H1109" s="30"/>
      <c r="I1109" s="30"/>
      <c r="J1109" s="30"/>
      <c r="K1109" s="30"/>
      <c r="L1109" s="29"/>
      <c r="M1109" s="29"/>
      <c r="N1109" s="29"/>
      <c r="O1109" s="29"/>
      <c r="P1109" s="29"/>
      <c r="Q1109" s="29"/>
      <c r="R1109" s="29"/>
      <c r="S1109" s="29"/>
      <c r="T1109" s="29"/>
      <c r="U1109" s="31"/>
      <c r="V1109" s="31"/>
      <c r="W1109" s="31"/>
      <c r="X1109" s="31"/>
      <c r="Y1109" s="31"/>
    </row>
    <row r="1110" spans="1:25" x14ac:dyDescent="0.2">
      <c r="A1110" s="29"/>
      <c r="B1110" s="29"/>
      <c r="C1110" s="29"/>
      <c r="D1110" s="29"/>
      <c r="E1110" s="29"/>
      <c r="F1110" s="30"/>
      <c r="G1110" s="30"/>
      <c r="H1110" s="30"/>
      <c r="I1110" s="30"/>
      <c r="J1110" s="30"/>
      <c r="K1110" s="30"/>
      <c r="L1110" s="29"/>
      <c r="M1110" s="29"/>
      <c r="N1110" s="29"/>
      <c r="O1110" s="29"/>
      <c r="P1110" s="29"/>
      <c r="Q1110" s="29"/>
      <c r="R1110" s="29"/>
      <c r="S1110" s="29"/>
      <c r="T1110" s="29"/>
      <c r="U1110" s="31"/>
      <c r="V1110" s="31"/>
      <c r="W1110" s="31"/>
      <c r="X1110" s="31"/>
      <c r="Y1110" s="31"/>
    </row>
    <row r="1111" spans="1:25" x14ac:dyDescent="0.2">
      <c r="A1111" s="29"/>
      <c r="B1111" s="29"/>
      <c r="C1111" s="29"/>
      <c r="D1111" s="29"/>
      <c r="E1111" s="29"/>
      <c r="F1111" s="30"/>
      <c r="G1111" s="30"/>
      <c r="H1111" s="30"/>
      <c r="I1111" s="30"/>
      <c r="J1111" s="30"/>
      <c r="K1111" s="30"/>
      <c r="L1111" s="29"/>
      <c r="M1111" s="29"/>
      <c r="N1111" s="29"/>
      <c r="O1111" s="29"/>
      <c r="P1111" s="29"/>
      <c r="Q1111" s="29"/>
      <c r="R1111" s="29"/>
      <c r="S1111" s="29"/>
      <c r="T1111" s="29"/>
      <c r="U1111" s="31"/>
      <c r="V1111" s="31"/>
      <c r="W1111" s="31"/>
      <c r="X1111" s="31"/>
      <c r="Y1111" s="31"/>
    </row>
    <row r="1112" spans="1:25" x14ac:dyDescent="0.2">
      <c r="A1112" s="29"/>
      <c r="B1112" s="29"/>
      <c r="C1112" s="29"/>
      <c r="D1112" s="29"/>
      <c r="E1112" s="29"/>
      <c r="F1112" s="30"/>
      <c r="G1112" s="30"/>
      <c r="H1112" s="30"/>
      <c r="I1112" s="30"/>
      <c r="J1112" s="30"/>
      <c r="K1112" s="30"/>
      <c r="L1112" s="29"/>
      <c r="M1112" s="29"/>
      <c r="N1112" s="29"/>
      <c r="O1112" s="29"/>
      <c r="P1112" s="29"/>
      <c r="Q1112" s="29"/>
      <c r="R1112" s="29"/>
      <c r="S1112" s="29"/>
      <c r="T1112" s="29"/>
      <c r="U1112" s="31"/>
      <c r="V1112" s="31"/>
      <c r="W1112" s="31"/>
      <c r="X1112" s="31"/>
      <c r="Y1112" s="31"/>
    </row>
    <row r="1113" spans="1:25" x14ac:dyDescent="0.2">
      <c r="A1113" s="29"/>
      <c r="B1113" s="29"/>
      <c r="C1113" s="29"/>
      <c r="D1113" s="29"/>
      <c r="E1113" s="29"/>
      <c r="F1113" s="30"/>
      <c r="G1113" s="30"/>
      <c r="H1113" s="30"/>
      <c r="I1113" s="30"/>
      <c r="J1113" s="30"/>
      <c r="K1113" s="30"/>
      <c r="L1113" s="29"/>
      <c r="M1113" s="29"/>
      <c r="N1113" s="29"/>
      <c r="O1113" s="29"/>
      <c r="P1113" s="29"/>
      <c r="Q1113" s="29"/>
      <c r="R1113" s="29"/>
      <c r="S1113" s="29"/>
      <c r="T1113" s="29"/>
      <c r="U1113" s="31"/>
      <c r="V1113" s="31"/>
      <c r="W1113" s="31"/>
      <c r="X1113" s="31"/>
      <c r="Y1113" s="31"/>
    </row>
    <row r="1114" spans="1:25" x14ac:dyDescent="0.2">
      <c r="A1114" s="29"/>
      <c r="B1114" s="29"/>
      <c r="C1114" s="29"/>
      <c r="D1114" s="29"/>
      <c r="E1114" s="29"/>
      <c r="F1114" s="30"/>
      <c r="G1114" s="30"/>
      <c r="H1114" s="30"/>
      <c r="I1114" s="30"/>
      <c r="J1114" s="30"/>
      <c r="K1114" s="30"/>
      <c r="L1114" s="29"/>
      <c r="M1114" s="29"/>
      <c r="N1114" s="29"/>
      <c r="O1114" s="29"/>
      <c r="P1114" s="29"/>
      <c r="Q1114" s="29"/>
      <c r="R1114" s="29"/>
      <c r="S1114" s="29"/>
      <c r="T1114" s="29"/>
      <c r="U1114" s="31"/>
      <c r="V1114" s="31"/>
      <c r="W1114" s="31"/>
      <c r="X1114" s="31"/>
      <c r="Y1114" s="31"/>
    </row>
    <row r="1115" spans="1:25" x14ac:dyDescent="0.2">
      <c r="A1115" s="29"/>
      <c r="B1115" s="29"/>
      <c r="C1115" s="29"/>
      <c r="D1115" s="29"/>
      <c r="E1115" s="29"/>
      <c r="F1115" s="30"/>
      <c r="G1115" s="30"/>
      <c r="H1115" s="30"/>
      <c r="I1115" s="30"/>
      <c r="J1115" s="30"/>
      <c r="K1115" s="30"/>
      <c r="L1115" s="29"/>
      <c r="M1115" s="29"/>
      <c r="N1115" s="29"/>
      <c r="O1115" s="29"/>
      <c r="P1115" s="29"/>
      <c r="Q1115" s="29"/>
      <c r="R1115" s="29"/>
      <c r="S1115" s="29"/>
      <c r="T1115" s="29"/>
      <c r="U1115" s="31"/>
      <c r="V1115" s="31"/>
      <c r="W1115" s="31"/>
      <c r="X1115" s="31"/>
      <c r="Y1115" s="31"/>
    </row>
    <row r="1116" spans="1:25" x14ac:dyDescent="0.2">
      <c r="A1116" s="29"/>
      <c r="B1116" s="29"/>
      <c r="C1116" s="29"/>
      <c r="D1116" s="29"/>
      <c r="E1116" s="29"/>
      <c r="F1116" s="30"/>
      <c r="G1116" s="30"/>
      <c r="H1116" s="30"/>
      <c r="I1116" s="30"/>
      <c r="J1116" s="30"/>
      <c r="K1116" s="30"/>
      <c r="L1116" s="29"/>
      <c r="M1116" s="29"/>
      <c r="N1116" s="29"/>
      <c r="O1116" s="29"/>
      <c r="P1116" s="29"/>
      <c r="Q1116" s="29"/>
      <c r="R1116" s="29"/>
      <c r="S1116" s="29"/>
      <c r="T1116" s="29"/>
      <c r="U1116" s="31"/>
      <c r="V1116" s="31"/>
      <c r="W1116" s="31"/>
      <c r="X1116" s="31"/>
      <c r="Y1116" s="31"/>
    </row>
    <row r="1117" spans="1:25" x14ac:dyDescent="0.2">
      <c r="A1117" s="29"/>
      <c r="B1117" s="29"/>
      <c r="C1117" s="29"/>
      <c r="D1117" s="29"/>
      <c r="E1117" s="29"/>
      <c r="F1117" s="30"/>
      <c r="G1117" s="30"/>
      <c r="H1117" s="30"/>
      <c r="I1117" s="30"/>
      <c r="J1117" s="30"/>
      <c r="K1117" s="30"/>
      <c r="L1117" s="29"/>
      <c r="M1117" s="29"/>
      <c r="N1117" s="29"/>
      <c r="O1117" s="29"/>
      <c r="P1117" s="29"/>
      <c r="Q1117" s="29"/>
      <c r="R1117" s="29"/>
      <c r="S1117" s="29"/>
      <c r="T1117" s="29"/>
      <c r="U1117" s="31"/>
      <c r="V1117" s="31"/>
      <c r="W1117" s="31"/>
      <c r="X1117" s="31"/>
      <c r="Y1117" s="31"/>
    </row>
    <row r="1118" spans="1:25" x14ac:dyDescent="0.2">
      <c r="A1118" s="29"/>
      <c r="B1118" s="29"/>
      <c r="C1118" s="29"/>
      <c r="D1118" s="29"/>
      <c r="E1118" s="29"/>
      <c r="F1118" s="30"/>
      <c r="G1118" s="30"/>
      <c r="H1118" s="30"/>
      <c r="I1118" s="30"/>
      <c r="J1118" s="30"/>
      <c r="K1118" s="30"/>
      <c r="L1118" s="29"/>
      <c r="M1118" s="29"/>
      <c r="N1118" s="29"/>
      <c r="O1118" s="29"/>
      <c r="P1118" s="29"/>
      <c r="Q1118" s="29"/>
      <c r="R1118" s="29"/>
      <c r="S1118" s="29"/>
      <c r="T1118" s="29"/>
      <c r="U1118" s="31"/>
      <c r="V1118" s="31"/>
      <c r="W1118" s="31"/>
      <c r="X1118" s="31"/>
      <c r="Y1118" s="31"/>
    </row>
    <row r="1119" spans="1:25" x14ac:dyDescent="0.2">
      <c r="A1119" s="29"/>
      <c r="B1119" s="29"/>
      <c r="C1119" s="29"/>
      <c r="D1119" s="29"/>
      <c r="E1119" s="29"/>
      <c r="F1119" s="30"/>
      <c r="G1119" s="30"/>
      <c r="H1119" s="30"/>
      <c r="I1119" s="30"/>
      <c r="J1119" s="30"/>
      <c r="K1119" s="30"/>
      <c r="L1119" s="29"/>
      <c r="M1119" s="29"/>
      <c r="N1119" s="29"/>
      <c r="O1119" s="29"/>
      <c r="P1119" s="29"/>
      <c r="Q1119" s="29"/>
      <c r="R1119" s="29"/>
      <c r="S1119" s="29"/>
      <c r="T1119" s="29"/>
      <c r="U1119" s="31"/>
      <c r="V1119" s="31"/>
      <c r="W1119" s="31"/>
      <c r="X1119" s="31"/>
      <c r="Y1119" s="31"/>
    </row>
    <row r="1120" spans="1:25" x14ac:dyDescent="0.2">
      <c r="A1120" s="29"/>
      <c r="B1120" s="29"/>
      <c r="C1120" s="29"/>
      <c r="D1120" s="29"/>
      <c r="E1120" s="29"/>
      <c r="F1120" s="30"/>
      <c r="G1120" s="30"/>
      <c r="H1120" s="30"/>
      <c r="I1120" s="30"/>
      <c r="J1120" s="30"/>
      <c r="K1120" s="30"/>
      <c r="L1120" s="29"/>
      <c r="M1120" s="29"/>
      <c r="N1120" s="29"/>
      <c r="O1120" s="29"/>
      <c r="P1120" s="29"/>
      <c r="Q1120" s="29"/>
      <c r="R1120" s="29"/>
      <c r="S1120" s="29"/>
      <c r="T1120" s="29"/>
      <c r="U1120" s="31"/>
      <c r="V1120" s="31"/>
      <c r="W1120" s="31"/>
      <c r="X1120" s="31"/>
      <c r="Y1120" s="31"/>
    </row>
    <row r="1121" spans="1:25" x14ac:dyDescent="0.2">
      <c r="A1121" s="29"/>
      <c r="B1121" s="29"/>
      <c r="C1121" s="29"/>
      <c r="D1121" s="29"/>
      <c r="E1121" s="29"/>
      <c r="F1121" s="30"/>
      <c r="G1121" s="30"/>
      <c r="H1121" s="30"/>
      <c r="I1121" s="30"/>
      <c r="J1121" s="30"/>
      <c r="K1121" s="30"/>
      <c r="L1121" s="29"/>
      <c r="M1121" s="29"/>
      <c r="N1121" s="29"/>
      <c r="O1121" s="29"/>
      <c r="P1121" s="29"/>
      <c r="Q1121" s="29"/>
      <c r="R1121" s="29"/>
      <c r="S1121" s="29"/>
      <c r="T1121" s="29"/>
      <c r="U1121" s="31"/>
      <c r="V1121" s="31"/>
      <c r="W1121" s="31"/>
      <c r="X1121" s="31"/>
      <c r="Y1121" s="31"/>
    </row>
    <row r="1122" spans="1:25" x14ac:dyDescent="0.2">
      <c r="A1122" s="29"/>
      <c r="B1122" s="29"/>
      <c r="C1122" s="29"/>
      <c r="D1122" s="29"/>
      <c r="E1122" s="29"/>
      <c r="F1122" s="30"/>
      <c r="G1122" s="30"/>
      <c r="H1122" s="30"/>
      <c r="I1122" s="30"/>
      <c r="J1122" s="30"/>
      <c r="K1122" s="30"/>
      <c r="L1122" s="29"/>
      <c r="M1122" s="29"/>
      <c r="N1122" s="29"/>
      <c r="O1122" s="29"/>
      <c r="P1122" s="29"/>
      <c r="Q1122" s="29"/>
      <c r="R1122" s="29"/>
      <c r="S1122" s="29"/>
      <c r="T1122" s="29"/>
      <c r="U1122" s="31"/>
      <c r="V1122" s="31"/>
      <c r="W1122" s="31"/>
      <c r="X1122" s="31"/>
      <c r="Y1122" s="31"/>
    </row>
    <row r="1123" spans="1:25" x14ac:dyDescent="0.2">
      <c r="A1123" s="29"/>
      <c r="B1123" s="29"/>
      <c r="C1123" s="29"/>
      <c r="D1123" s="29"/>
      <c r="E1123" s="29"/>
      <c r="F1123" s="30"/>
      <c r="G1123" s="30"/>
      <c r="H1123" s="30"/>
      <c r="I1123" s="30"/>
      <c r="J1123" s="30"/>
      <c r="K1123" s="30"/>
      <c r="L1123" s="29"/>
      <c r="M1123" s="29"/>
      <c r="N1123" s="29"/>
      <c r="O1123" s="29"/>
      <c r="P1123" s="29"/>
      <c r="Q1123" s="29"/>
      <c r="R1123" s="29"/>
      <c r="S1123" s="29"/>
      <c r="T1123" s="29"/>
      <c r="U1123" s="31"/>
      <c r="V1123" s="31"/>
      <c r="W1123" s="31"/>
      <c r="X1123" s="31"/>
      <c r="Y1123" s="31"/>
    </row>
    <row r="1124" spans="1:25" x14ac:dyDescent="0.2">
      <c r="A1124" s="29"/>
      <c r="B1124" s="29"/>
      <c r="C1124" s="29"/>
      <c r="D1124" s="29"/>
      <c r="E1124" s="29"/>
      <c r="F1124" s="30"/>
      <c r="G1124" s="30"/>
      <c r="H1124" s="30"/>
      <c r="I1124" s="30"/>
      <c r="J1124" s="30"/>
      <c r="K1124" s="30"/>
      <c r="L1124" s="29"/>
      <c r="M1124" s="29"/>
      <c r="N1124" s="29"/>
      <c r="O1124" s="29"/>
      <c r="P1124" s="29"/>
      <c r="Q1124" s="29"/>
      <c r="R1124" s="29"/>
      <c r="S1124" s="29"/>
      <c r="T1124" s="29"/>
      <c r="U1124" s="31"/>
      <c r="V1124" s="31"/>
      <c r="W1124" s="31"/>
      <c r="X1124" s="31"/>
      <c r="Y1124" s="31"/>
    </row>
    <row r="1125" spans="1:25" x14ac:dyDescent="0.2">
      <c r="A1125" s="29"/>
      <c r="B1125" s="29"/>
      <c r="C1125" s="29"/>
      <c r="D1125" s="29"/>
      <c r="E1125" s="29"/>
      <c r="F1125" s="30"/>
      <c r="G1125" s="30"/>
      <c r="H1125" s="30"/>
      <c r="I1125" s="30"/>
      <c r="J1125" s="30"/>
      <c r="K1125" s="30"/>
      <c r="L1125" s="29"/>
      <c r="M1125" s="29"/>
      <c r="N1125" s="29"/>
      <c r="O1125" s="29"/>
      <c r="P1125" s="29"/>
      <c r="Q1125" s="29"/>
      <c r="R1125" s="29"/>
      <c r="S1125" s="29"/>
      <c r="T1125" s="29"/>
      <c r="U1125" s="31"/>
      <c r="V1125" s="31"/>
      <c r="W1125" s="31"/>
      <c r="X1125" s="31"/>
      <c r="Y1125" s="31"/>
    </row>
    <row r="1126" spans="1:25" x14ac:dyDescent="0.2">
      <c r="A1126" s="29"/>
      <c r="B1126" s="29"/>
      <c r="C1126" s="29"/>
      <c r="D1126" s="29"/>
      <c r="E1126" s="29"/>
      <c r="F1126" s="30"/>
      <c r="G1126" s="30"/>
      <c r="H1126" s="30"/>
      <c r="I1126" s="30"/>
      <c r="J1126" s="30"/>
      <c r="K1126" s="30"/>
      <c r="L1126" s="29"/>
      <c r="M1126" s="29"/>
      <c r="N1126" s="29"/>
      <c r="O1126" s="29"/>
      <c r="P1126" s="29"/>
      <c r="Q1126" s="29"/>
      <c r="R1126" s="29"/>
      <c r="S1126" s="29"/>
      <c r="T1126" s="29"/>
      <c r="U1126" s="31"/>
      <c r="V1126" s="31"/>
      <c r="W1126" s="31"/>
      <c r="X1126" s="31"/>
      <c r="Y1126" s="31"/>
    </row>
    <row r="1127" spans="1:25" x14ac:dyDescent="0.2">
      <c r="A1127" s="29"/>
      <c r="B1127" s="29"/>
      <c r="C1127" s="29"/>
      <c r="D1127" s="29"/>
      <c r="E1127" s="29"/>
      <c r="F1127" s="30"/>
      <c r="G1127" s="30"/>
      <c r="H1127" s="30"/>
      <c r="I1127" s="30"/>
      <c r="J1127" s="30"/>
      <c r="K1127" s="30"/>
      <c r="L1127" s="29"/>
      <c r="M1127" s="29"/>
      <c r="N1127" s="29"/>
      <c r="O1127" s="29"/>
      <c r="P1127" s="29"/>
      <c r="Q1127" s="29"/>
      <c r="R1127" s="29"/>
      <c r="S1127" s="29"/>
      <c r="T1127" s="29"/>
      <c r="U1127" s="31"/>
      <c r="V1127" s="31"/>
      <c r="W1127" s="31"/>
      <c r="X1127" s="31"/>
      <c r="Y1127" s="31"/>
    </row>
    <row r="1128" spans="1:25" x14ac:dyDescent="0.2">
      <c r="A1128" s="29"/>
      <c r="B1128" s="29"/>
      <c r="C1128" s="29"/>
      <c r="D1128" s="29"/>
      <c r="E1128" s="29"/>
      <c r="F1128" s="30"/>
      <c r="G1128" s="30"/>
      <c r="H1128" s="30"/>
      <c r="I1128" s="30"/>
      <c r="J1128" s="30"/>
      <c r="K1128" s="30"/>
      <c r="L1128" s="29"/>
      <c r="M1128" s="29"/>
      <c r="N1128" s="29"/>
      <c r="O1128" s="29"/>
      <c r="P1128" s="29"/>
      <c r="Q1128" s="29"/>
      <c r="R1128" s="29"/>
      <c r="S1128" s="29"/>
      <c r="T1128" s="29"/>
      <c r="U1128" s="31"/>
      <c r="V1128" s="31"/>
      <c r="W1128" s="31"/>
      <c r="X1128" s="31"/>
      <c r="Y1128" s="31"/>
    </row>
    <row r="1129" spans="1:25" x14ac:dyDescent="0.2">
      <c r="A1129" s="29"/>
      <c r="B1129" s="29"/>
      <c r="C1129" s="29"/>
      <c r="D1129" s="29"/>
      <c r="E1129" s="29"/>
      <c r="F1129" s="30"/>
      <c r="G1129" s="30"/>
      <c r="H1129" s="30"/>
      <c r="I1129" s="30"/>
      <c r="J1129" s="30"/>
      <c r="K1129" s="30"/>
      <c r="L1129" s="29"/>
      <c r="M1129" s="29"/>
      <c r="N1129" s="29"/>
      <c r="O1129" s="29"/>
      <c r="P1129" s="29"/>
      <c r="Q1129" s="29"/>
      <c r="R1129" s="29"/>
      <c r="S1129" s="29"/>
      <c r="T1129" s="29"/>
      <c r="U1129" s="31"/>
      <c r="V1129" s="31"/>
      <c r="W1129" s="31"/>
      <c r="X1129" s="31"/>
      <c r="Y1129" s="31"/>
    </row>
    <row r="1130" spans="1:25" x14ac:dyDescent="0.2">
      <c r="A1130" s="29"/>
      <c r="B1130" s="29"/>
      <c r="C1130" s="29"/>
      <c r="D1130" s="29"/>
      <c r="E1130" s="29"/>
      <c r="F1130" s="30"/>
      <c r="G1130" s="30"/>
      <c r="H1130" s="30"/>
      <c r="I1130" s="30"/>
      <c r="J1130" s="30"/>
      <c r="K1130" s="30"/>
      <c r="L1130" s="29"/>
      <c r="M1130" s="29"/>
      <c r="N1130" s="29"/>
      <c r="O1130" s="29"/>
      <c r="P1130" s="29"/>
      <c r="Q1130" s="29"/>
      <c r="R1130" s="29"/>
      <c r="S1130" s="29"/>
      <c r="T1130" s="29"/>
      <c r="U1130" s="31"/>
      <c r="V1130" s="31"/>
      <c r="W1130" s="31"/>
      <c r="X1130" s="31"/>
      <c r="Y1130" s="31"/>
    </row>
    <row r="1131" spans="1:25" x14ac:dyDescent="0.2">
      <c r="A1131" s="29"/>
      <c r="B1131" s="29"/>
      <c r="C1131" s="29"/>
      <c r="D1131" s="29"/>
      <c r="E1131" s="29"/>
      <c r="F1131" s="30"/>
      <c r="G1131" s="30"/>
      <c r="H1131" s="30"/>
      <c r="I1131" s="30"/>
      <c r="J1131" s="30"/>
      <c r="K1131" s="30"/>
      <c r="L1131" s="29"/>
      <c r="M1131" s="29"/>
      <c r="N1131" s="29"/>
      <c r="O1131" s="29"/>
      <c r="P1131" s="29"/>
      <c r="Q1131" s="29"/>
      <c r="R1131" s="29"/>
      <c r="S1131" s="29"/>
      <c r="T1131" s="29"/>
      <c r="U1131" s="31"/>
      <c r="V1131" s="31"/>
      <c r="W1131" s="31"/>
      <c r="X1131" s="31"/>
      <c r="Y1131" s="31"/>
    </row>
    <row r="1132" spans="1:25" x14ac:dyDescent="0.2">
      <c r="A1132" s="29"/>
      <c r="B1132" s="29"/>
      <c r="C1132" s="29"/>
      <c r="D1132" s="29"/>
      <c r="E1132" s="29"/>
      <c r="F1132" s="30"/>
      <c r="G1132" s="30"/>
      <c r="H1132" s="30"/>
      <c r="I1132" s="30"/>
      <c r="J1132" s="30"/>
      <c r="K1132" s="30"/>
      <c r="L1132" s="29"/>
      <c r="M1132" s="29"/>
      <c r="N1132" s="29"/>
      <c r="O1132" s="29"/>
      <c r="P1132" s="29"/>
      <c r="Q1132" s="29"/>
      <c r="R1132" s="29"/>
      <c r="S1132" s="29"/>
      <c r="T1132" s="29"/>
      <c r="U1132" s="31"/>
      <c r="V1132" s="31"/>
      <c r="W1132" s="31"/>
      <c r="X1132" s="31"/>
      <c r="Y1132" s="31"/>
    </row>
    <row r="1133" spans="1:25" x14ac:dyDescent="0.2">
      <c r="A1133" s="29"/>
      <c r="B1133" s="29"/>
      <c r="C1133" s="29"/>
      <c r="D1133" s="29"/>
      <c r="E1133" s="29"/>
      <c r="F1133" s="30"/>
      <c r="G1133" s="30"/>
      <c r="H1133" s="30"/>
      <c r="I1133" s="30"/>
      <c r="J1133" s="30"/>
      <c r="K1133" s="30"/>
      <c r="L1133" s="29"/>
      <c r="M1133" s="29"/>
      <c r="N1133" s="29"/>
      <c r="O1133" s="29"/>
      <c r="P1133" s="29"/>
      <c r="Q1133" s="29"/>
      <c r="R1133" s="29"/>
      <c r="S1133" s="29"/>
      <c r="T1133" s="29"/>
      <c r="U1133" s="31"/>
      <c r="V1133" s="31"/>
      <c r="W1133" s="31"/>
      <c r="X1133" s="31"/>
      <c r="Y1133" s="31"/>
    </row>
    <row r="1134" spans="1:25" x14ac:dyDescent="0.2">
      <c r="A1134" s="29"/>
      <c r="B1134" s="29"/>
      <c r="C1134" s="29"/>
      <c r="D1134" s="29"/>
      <c r="E1134" s="29"/>
      <c r="F1134" s="30"/>
      <c r="G1134" s="30"/>
      <c r="H1134" s="30"/>
      <c r="I1134" s="30"/>
      <c r="J1134" s="30"/>
      <c r="K1134" s="30"/>
      <c r="L1134" s="29"/>
      <c r="M1134" s="29"/>
      <c r="N1134" s="29"/>
      <c r="O1134" s="29"/>
      <c r="P1134" s="29"/>
      <c r="Q1134" s="29"/>
      <c r="R1134" s="29"/>
      <c r="S1134" s="29"/>
      <c r="T1134" s="29"/>
      <c r="U1134" s="31"/>
      <c r="V1134" s="31"/>
      <c r="W1134" s="31"/>
      <c r="X1134" s="31"/>
      <c r="Y1134" s="31"/>
    </row>
    <row r="1135" spans="1:25" x14ac:dyDescent="0.2">
      <c r="A1135" s="29"/>
      <c r="B1135" s="29"/>
      <c r="C1135" s="29"/>
      <c r="D1135" s="29"/>
      <c r="E1135" s="29"/>
      <c r="F1135" s="30"/>
      <c r="G1135" s="30"/>
      <c r="H1135" s="30"/>
      <c r="I1135" s="30"/>
      <c r="J1135" s="30"/>
      <c r="K1135" s="30"/>
      <c r="L1135" s="29"/>
      <c r="M1135" s="29"/>
      <c r="N1135" s="29"/>
      <c r="O1135" s="29"/>
      <c r="P1135" s="29"/>
      <c r="Q1135" s="29"/>
      <c r="R1135" s="29"/>
      <c r="S1135" s="29"/>
      <c r="T1135" s="29"/>
      <c r="U1135" s="31"/>
      <c r="V1135" s="31"/>
      <c r="W1135" s="31"/>
      <c r="X1135" s="31"/>
      <c r="Y1135" s="31"/>
    </row>
    <row r="1136" spans="1:25" x14ac:dyDescent="0.2">
      <c r="A1136" s="29"/>
      <c r="B1136" s="29"/>
      <c r="C1136" s="29"/>
      <c r="D1136" s="29"/>
      <c r="E1136" s="29"/>
      <c r="F1136" s="30"/>
      <c r="G1136" s="30"/>
      <c r="H1136" s="30"/>
      <c r="I1136" s="30"/>
      <c r="J1136" s="30"/>
      <c r="K1136" s="30"/>
      <c r="L1136" s="29"/>
      <c r="M1136" s="29"/>
      <c r="N1136" s="29"/>
      <c r="O1136" s="29"/>
      <c r="P1136" s="29"/>
      <c r="Q1136" s="29"/>
      <c r="R1136" s="29"/>
      <c r="S1136" s="29"/>
      <c r="T1136" s="29"/>
      <c r="U1136" s="31"/>
      <c r="V1136" s="31"/>
      <c r="W1136" s="31"/>
      <c r="X1136" s="31"/>
      <c r="Y1136" s="31"/>
    </row>
    <row r="1137" spans="1:25" x14ac:dyDescent="0.2">
      <c r="A1137" s="29"/>
      <c r="B1137" s="29"/>
      <c r="C1137" s="29"/>
      <c r="D1137" s="29"/>
      <c r="E1137" s="29"/>
      <c r="F1137" s="30"/>
      <c r="G1137" s="30"/>
      <c r="H1137" s="30"/>
      <c r="I1137" s="30"/>
      <c r="J1137" s="30"/>
      <c r="K1137" s="30"/>
      <c r="L1137" s="29"/>
      <c r="M1137" s="29"/>
      <c r="N1137" s="29"/>
      <c r="O1137" s="29"/>
      <c r="P1137" s="29"/>
      <c r="Q1137" s="29"/>
      <c r="R1137" s="29"/>
      <c r="S1137" s="29"/>
      <c r="T1137" s="29"/>
      <c r="U1137" s="31"/>
      <c r="V1137" s="31"/>
      <c r="W1137" s="31"/>
      <c r="X1137" s="31"/>
      <c r="Y1137" s="31"/>
    </row>
    <row r="1138" spans="1:25" x14ac:dyDescent="0.2">
      <c r="A1138" s="29"/>
      <c r="B1138" s="29"/>
      <c r="C1138" s="29"/>
      <c r="D1138" s="29"/>
      <c r="E1138" s="29"/>
      <c r="F1138" s="30"/>
      <c r="G1138" s="30"/>
      <c r="H1138" s="30"/>
      <c r="I1138" s="30"/>
      <c r="J1138" s="30"/>
      <c r="K1138" s="30"/>
      <c r="L1138" s="29"/>
      <c r="M1138" s="29"/>
      <c r="N1138" s="29"/>
      <c r="O1138" s="29"/>
      <c r="P1138" s="29"/>
      <c r="Q1138" s="29"/>
      <c r="R1138" s="29"/>
      <c r="S1138" s="29"/>
      <c r="T1138" s="29"/>
      <c r="U1138" s="31"/>
      <c r="V1138" s="31"/>
      <c r="W1138" s="31"/>
      <c r="X1138" s="31"/>
      <c r="Y1138" s="31"/>
    </row>
    <row r="1139" spans="1:25" x14ac:dyDescent="0.2">
      <c r="A1139" s="29"/>
      <c r="B1139" s="29"/>
      <c r="C1139" s="29"/>
      <c r="D1139" s="29"/>
      <c r="E1139" s="29"/>
      <c r="F1139" s="30"/>
      <c r="G1139" s="30"/>
      <c r="H1139" s="30"/>
      <c r="I1139" s="30"/>
      <c r="J1139" s="30"/>
      <c r="K1139" s="30"/>
      <c r="L1139" s="29"/>
      <c r="M1139" s="29"/>
      <c r="N1139" s="29"/>
      <c r="O1139" s="29"/>
      <c r="P1139" s="29"/>
      <c r="Q1139" s="29"/>
      <c r="R1139" s="29"/>
      <c r="S1139" s="29"/>
      <c r="T1139" s="29"/>
      <c r="U1139" s="31"/>
      <c r="V1139" s="31"/>
      <c r="W1139" s="31"/>
      <c r="X1139" s="31"/>
      <c r="Y1139" s="31"/>
    </row>
    <row r="1140" spans="1:25" x14ac:dyDescent="0.2">
      <c r="A1140" s="29"/>
      <c r="B1140" s="29"/>
      <c r="C1140" s="29"/>
      <c r="D1140" s="29"/>
      <c r="E1140" s="29"/>
      <c r="F1140" s="30"/>
      <c r="G1140" s="30"/>
      <c r="H1140" s="30"/>
      <c r="I1140" s="30"/>
      <c r="J1140" s="30"/>
      <c r="K1140" s="30"/>
      <c r="L1140" s="29"/>
      <c r="M1140" s="29"/>
      <c r="N1140" s="29"/>
      <c r="O1140" s="29"/>
      <c r="P1140" s="29"/>
      <c r="Q1140" s="29"/>
      <c r="R1140" s="29"/>
      <c r="S1140" s="29"/>
      <c r="T1140" s="29"/>
      <c r="U1140" s="31"/>
      <c r="V1140" s="31"/>
      <c r="W1140" s="31"/>
      <c r="X1140" s="31"/>
      <c r="Y1140" s="31"/>
    </row>
    <row r="1141" spans="1:25" x14ac:dyDescent="0.2">
      <c r="A1141" s="29"/>
      <c r="B1141" s="29"/>
      <c r="C1141" s="29"/>
      <c r="D1141" s="29"/>
      <c r="E1141" s="29"/>
      <c r="F1141" s="30"/>
      <c r="G1141" s="30"/>
      <c r="H1141" s="30"/>
      <c r="I1141" s="30"/>
      <c r="J1141" s="30"/>
      <c r="K1141" s="30"/>
      <c r="L1141" s="29"/>
      <c r="M1141" s="29"/>
      <c r="N1141" s="29"/>
      <c r="O1141" s="29"/>
      <c r="P1141" s="29"/>
      <c r="Q1141" s="29"/>
      <c r="R1141" s="29"/>
      <c r="S1141" s="29"/>
      <c r="T1141" s="29"/>
      <c r="U1141" s="31"/>
      <c r="V1141" s="31"/>
      <c r="W1141" s="31"/>
      <c r="X1141" s="31"/>
      <c r="Y1141" s="31"/>
    </row>
    <row r="1142" spans="1:25" x14ac:dyDescent="0.2">
      <c r="A1142" s="29"/>
      <c r="B1142" s="29"/>
      <c r="C1142" s="29"/>
      <c r="D1142" s="29"/>
      <c r="E1142" s="29"/>
      <c r="F1142" s="30"/>
      <c r="G1142" s="30"/>
      <c r="H1142" s="30"/>
      <c r="I1142" s="30"/>
      <c r="J1142" s="30"/>
      <c r="K1142" s="30"/>
      <c r="L1142" s="29"/>
      <c r="M1142" s="29"/>
      <c r="N1142" s="29"/>
      <c r="O1142" s="29"/>
      <c r="P1142" s="29"/>
      <c r="Q1142" s="29"/>
      <c r="R1142" s="29"/>
      <c r="S1142" s="29"/>
      <c r="T1142" s="29"/>
      <c r="U1142" s="31"/>
      <c r="V1142" s="31"/>
      <c r="W1142" s="31"/>
      <c r="X1142" s="31"/>
      <c r="Y1142" s="31"/>
    </row>
    <row r="1143" spans="1:25" x14ac:dyDescent="0.2">
      <c r="A1143" s="29"/>
      <c r="B1143" s="29"/>
      <c r="C1143" s="29"/>
      <c r="D1143" s="29"/>
      <c r="E1143" s="29"/>
      <c r="F1143" s="30"/>
      <c r="G1143" s="30"/>
      <c r="H1143" s="30"/>
      <c r="I1143" s="30"/>
      <c r="J1143" s="30"/>
      <c r="K1143" s="30"/>
      <c r="L1143" s="29"/>
      <c r="M1143" s="29"/>
      <c r="N1143" s="29"/>
      <c r="O1143" s="29"/>
      <c r="P1143" s="29"/>
      <c r="Q1143" s="29"/>
      <c r="R1143" s="29"/>
      <c r="S1143" s="29"/>
      <c r="T1143" s="29"/>
      <c r="U1143" s="31"/>
      <c r="V1143" s="31"/>
      <c r="W1143" s="31"/>
      <c r="X1143" s="31"/>
      <c r="Y1143" s="31"/>
    </row>
    <row r="1144" spans="1:25" x14ac:dyDescent="0.2">
      <c r="A1144" s="29"/>
      <c r="B1144" s="29"/>
      <c r="C1144" s="29"/>
      <c r="D1144" s="29"/>
      <c r="E1144" s="29"/>
      <c r="F1144" s="30"/>
      <c r="G1144" s="30"/>
      <c r="H1144" s="30"/>
      <c r="I1144" s="30"/>
      <c r="J1144" s="30"/>
      <c r="K1144" s="30"/>
      <c r="L1144" s="29"/>
      <c r="M1144" s="29"/>
      <c r="N1144" s="29"/>
      <c r="O1144" s="29"/>
      <c r="P1144" s="29"/>
      <c r="Q1144" s="29"/>
      <c r="R1144" s="29"/>
      <c r="S1144" s="29"/>
      <c r="T1144" s="29"/>
      <c r="U1144" s="31"/>
      <c r="V1144" s="31"/>
      <c r="W1144" s="31"/>
      <c r="X1144" s="31"/>
      <c r="Y1144" s="31"/>
    </row>
    <row r="1145" spans="1:25" x14ac:dyDescent="0.2">
      <c r="A1145" s="29"/>
      <c r="B1145" s="29"/>
      <c r="C1145" s="29"/>
      <c r="D1145" s="29"/>
      <c r="E1145" s="29"/>
      <c r="F1145" s="30"/>
      <c r="G1145" s="30"/>
      <c r="H1145" s="30"/>
      <c r="I1145" s="30"/>
      <c r="J1145" s="30"/>
      <c r="K1145" s="30"/>
      <c r="L1145" s="29"/>
      <c r="M1145" s="29"/>
      <c r="N1145" s="29"/>
      <c r="O1145" s="29"/>
      <c r="P1145" s="29"/>
      <c r="Q1145" s="29"/>
      <c r="R1145" s="29"/>
      <c r="S1145" s="29"/>
      <c r="T1145" s="29"/>
      <c r="U1145" s="31"/>
      <c r="V1145" s="31"/>
      <c r="W1145" s="31"/>
      <c r="X1145" s="31"/>
      <c r="Y1145" s="31"/>
    </row>
    <row r="1146" spans="1:25" x14ac:dyDescent="0.2">
      <c r="A1146" s="29"/>
      <c r="B1146" s="29"/>
      <c r="C1146" s="29"/>
      <c r="D1146" s="29"/>
      <c r="E1146" s="29"/>
      <c r="F1146" s="30"/>
      <c r="G1146" s="30"/>
      <c r="H1146" s="30"/>
      <c r="I1146" s="30"/>
      <c r="J1146" s="30"/>
      <c r="K1146" s="30"/>
      <c r="L1146" s="29"/>
      <c r="M1146" s="29"/>
      <c r="N1146" s="29"/>
      <c r="O1146" s="29"/>
      <c r="P1146" s="29"/>
      <c r="Q1146" s="29"/>
      <c r="R1146" s="29"/>
      <c r="S1146" s="29"/>
      <c r="T1146" s="29"/>
      <c r="U1146" s="31"/>
      <c r="V1146" s="31"/>
      <c r="W1146" s="31"/>
      <c r="X1146" s="31"/>
      <c r="Y1146" s="31"/>
    </row>
    <row r="1147" spans="1:25" x14ac:dyDescent="0.2">
      <c r="A1147" s="29"/>
      <c r="B1147" s="29"/>
      <c r="C1147" s="29"/>
      <c r="D1147" s="29"/>
      <c r="E1147" s="29"/>
      <c r="F1147" s="30"/>
      <c r="G1147" s="30"/>
      <c r="H1147" s="30"/>
      <c r="I1147" s="30"/>
      <c r="J1147" s="30"/>
      <c r="K1147" s="30"/>
      <c r="L1147" s="29"/>
      <c r="M1147" s="29"/>
      <c r="N1147" s="29"/>
      <c r="O1147" s="29"/>
      <c r="P1147" s="29"/>
      <c r="Q1147" s="29"/>
      <c r="R1147" s="29"/>
      <c r="S1147" s="29"/>
      <c r="T1147" s="29"/>
      <c r="U1147" s="31"/>
      <c r="V1147" s="31"/>
      <c r="W1147" s="31"/>
      <c r="X1147" s="31"/>
      <c r="Y1147" s="31"/>
    </row>
    <row r="1148" spans="1:25" x14ac:dyDescent="0.2">
      <c r="A1148" s="29"/>
      <c r="B1148" s="29"/>
      <c r="C1148" s="29"/>
      <c r="D1148" s="29"/>
      <c r="E1148" s="29"/>
      <c r="F1148" s="30"/>
      <c r="G1148" s="30"/>
      <c r="H1148" s="30"/>
      <c r="I1148" s="30"/>
      <c r="J1148" s="30"/>
      <c r="K1148" s="30"/>
      <c r="L1148" s="29"/>
      <c r="M1148" s="29"/>
      <c r="N1148" s="29"/>
      <c r="O1148" s="29"/>
      <c r="P1148" s="29"/>
      <c r="Q1148" s="29"/>
      <c r="R1148" s="29"/>
      <c r="S1148" s="29"/>
      <c r="T1148" s="29"/>
      <c r="U1148" s="31"/>
      <c r="V1148" s="31"/>
      <c r="W1148" s="31"/>
      <c r="X1148" s="31"/>
      <c r="Y1148" s="31"/>
    </row>
    <row r="1149" spans="1:25" x14ac:dyDescent="0.2">
      <c r="A1149" s="29"/>
      <c r="B1149" s="29"/>
      <c r="C1149" s="29"/>
      <c r="D1149" s="29"/>
      <c r="E1149" s="29"/>
      <c r="F1149" s="30"/>
      <c r="G1149" s="30"/>
      <c r="H1149" s="30"/>
      <c r="I1149" s="30"/>
      <c r="J1149" s="30"/>
      <c r="K1149" s="30"/>
      <c r="L1149" s="29"/>
      <c r="M1149" s="29"/>
      <c r="N1149" s="29"/>
      <c r="O1149" s="29"/>
      <c r="P1149" s="29"/>
      <c r="Q1149" s="29"/>
      <c r="R1149" s="29"/>
      <c r="S1149" s="29"/>
      <c r="T1149" s="29"/>
      <c r="U1149" s="31"/>
      <c r="V1149" s="31"/>
      <c r="W1149" s="31"/>
      <c r="X1149" s="31"/>
      <c r="Y1149" s="31"/>
    </row>
    <row r="1150" spans="1:25" x14ac:dyDescent="0.2">
      <c r="A1150" s="29"/>
      <c r="B1150" s="29"/>
      <c r="C1150" s="29"/>
      <c r="D1150" s="29"/>
      <c r="E1150" s="29"/>
      <c r="F1150" s="30"/>
      <c r="G1150" s="30"/>
      <c r="H1150" s="30"/>
      <c r="I1150" s="30"/>
      <c r="J1150" s="30"/>
      <c r="K1150" s="30"/>
      <c r="L1150" s="29"/>
      <c r="M1150" s="29"/>
      <c r="N1150" s="29"/>
      <c r="O1150" s="29"/>
      <c r="P1150" s="29"/>
      <c r="Q1150" s="29"/>
      <c r="R1150" s="29"/>
      <c r="S1150" s="29"/>
      <c r="T1150" s="29"/>
      <c r="U1150" s="31"/>
      <c r="V1150" s="31"/>
      <c r="W1150" s="31"/>
      <c r="X1150" s="31"/>
      <c r="Y1150" s="31"/>
    </row>
    <row r="1151" spans="1:25" x14ac:dyDescent="0.2">
      <c r="A1151" s="29"/>
      <c r="B1151" s="29"/>
      <c r="C1151" s="29"/>
      <c r="D1151" s="29"/>
      <c r="E1151" s="29"/>
      <c r="F1151" s="30"/>
      <c r="G1151" s="30"/>
      <c r="H1151" s="30"/>
      <c r="I1151" s="30"/>
      <c r="J1151" s="30"/>
      <c r="K1151" s="30"/>
      <c r="L1151" s="29"/>
      <c r="M1151" s="29"/>
      <c r="N1151" s="29"/>
      <c r="O1151" s="29"/>
      <c r="P1151" s="29"/>
      <c r="Q1151" s="29"/>
      <c r="R1151" s="29"/>
      <c r="S1151" s="29"/>
      <c r="T1151" s="29"/>
      <c r="U1151" s="31"/>
      <c r="V1151" s="31"/>
      <c r="W1151" s="31"/>
      <c r="X1151" s="31"/>
      <c r="Y1151" s="31"/>
    </row>
    <row r="1152" spans="1:25" x14ac:dyDescent="0.2">
      <c r="A1152" s="29"/>
      <c r="B1152" s="29"/>
      <c r="C1152" s="29"/>
      <c r="D1152" s="29"/>
      <c r="E1152" s="29"/>
      <c r="F1152" s="30"/>
      <c r="G1152" s="30"/>
      <c r="H1152" s="30"/>
      <c r="I1152" s="30"/>
      <c r="J1152" s="30"/>
      <c r="K1152" s="30"/>
      <c r="L1152" s="29"/>
      <c r="M1152" s="29"/>
      <c r="N1152" s="29"/>
      <c r="O1152" s="29"/>
      <c r="P1152" s="29"/>
      <c r="Q1152" s="29"/>
      <c r="R1152" s="29"/>
      <c r="S1152" s="29"/>
      <c r="T1152" s="29"/>
      <c r="U1152" s="31"/>
      <c r="V1152" s="31"/>
      <c r="W1152" s="31"/>
      <c r="X1152" s="31"/>
      <c r="Y1152" s="31"/>
    </row>
    <row r="1153" spans="1:25" x14ac:dyDescent="0.2">
      <c r="A1153" s="29"/>
      <c r="B1153" s="29"/>
      <c r="C1153" s="29"/>
      <c r="D1153" s="29"/>
      <c r="E1153" s="29"/>
      <c r="F1153" s="30"/>
      <c r="G1153" s="30"/>
      <c r="H1153" s="30"/>
      <c r="I1153" s="30"/>
      <c r="J1153" s="30"/>
      <c r="K1153" s="30"/>
      <c r="L1153" s="29"/>
      <c r="M1153" s="29"/>
      <c r="N1153" s="29"/>
      <c r="O1153" s="29"/>
      <c r="P1153" s="29"/>
      <c r="Q1153" s="29"/>
      <c r="R1153" s="29"/>
      <c r="S1153" s="29"/>
      <c r="T1153" s="29"/>
      <c r="U1153" s="31"/>
      <c r="V1153" s="31"/>
      <c r="W1153" s="31"/>
      <c r="X1153" s="31"/>
      <c r="Y1153" s="31"/>
    </row>
    <row r="1154" spans="1:25" x14ac:dyDescent="0.2">
      <c r="A1154" s="29"/>
      <c r="B1154" s="29"/>
      <c r="C1154" s="29"/>
      <c r="D1154" s="29"/>
      <c r="E1154" s="29"/>
      <c r="F1154" s="30"/>
      <c r="G1154" s="30"/>
      <c r="H1154" s="30"/>
      <c r="I1154" s="30"/>
      <c r="J1154" s="30"/>
      <c r="K1154" s="30"/>
      <c r="L1154" s="29"/>
      <c r="M1154" s="29"/>
      <c r="N1154" s="29"/>
      <c r="O1154" s="29"/>
      <c r="P1154" s="29"/>
      <c r="Q1154" s="29"/>
      <c r="R1154" s="29"/>
      <c r="S1154" s="29"/>
      <c r="T1154" s="29"/>
      <c r="U1154" s="31"/>
      <c r="V1154" s="31"/>
      <c r="W1154" s="31"/>
      <c r="X1154" s="31"/>
      <c r="Y1154" s="31"/>
    </row>
    <row r="1155" spans="1:25" x14ac:dyDescent="0.2">
      <c r="A1155" s="29"/>
      <c r="B1155" s="29"/>
      <c r="C1155" s="29"/>
      <c r="D1155" s="29"/>
      <c r="E1155" s="29"/>
      <c r="F1155" s="30"/>
      <c r="G1155" s="30"/>
      <c r="H1155" s="30"/>
      <c r="I1155" s="30"/>
      <c r="J1155" s="30"/>
      <c r="K1155" s="30"/>
      <c r="L1155" s="29"/>
      <c r="M1155" s="29"/>
      <c r="N1155" s="29"/>
      <c r="O1155" s="29"/>
      <c r="P1155" s="29"/>
      <c r="Q1155" s="29"/>
      <c r="R1155" s="29"/>
      <c r="S1155" s="29"/>
      <c r="T1155" s="29"/>
      <c r="U1155" s="31"/>
      <c r="V1155" s="31"/>
      <c r="W1155" s="31"/>
      <c r="X1155" s="31"/>
      <c r="Y1155" s="31"/>
    </row>
    <row r="1156" spans="1:25" x14ac:dyDescent="0.2">
      <c r="A1156" s="29"/>
      <c r="B1156" s="29"/>
      <c r="C1156" s="29"/>
      <c r="D1156" s="29"/>
      <c r="E1156" s="29"/>
      <c r="F1156" s="30"/>
      <c r="G1156" s="30"/>
      <c r="H1156" s="30"/>
      <c r="I1156" s="30"/>
      <c r="J1156" s="30"/>
      <c r="K1156" s="30"/>
      <c r="L1156" s="29"/>
      <c r="M1156" s="29"/>
      <c r="N1156" s="29"/>
      <c r="O1156" s="29"/>
      <c r="P1156" s="29"/>
      <c r="Q1156" s="29"/>
      <c r="R1156" s="29"/>
      <c r="S1156" s="29"/>
      <c r="T1156" s="29"/>
      <c r="U1156" s="31"/>
      <c r="V1156" s="31"/>
      <c r="W1156" s="31"/>
      <c r="X1156" s="31"/>
      <c r="Y1156" s="31"/>
    </row>
    <row r="1157" spans="1:25" x14ac:dyDescent="0.2">
      <c r="A1157" s="29"/>
      <c r="B1157" s="29"/>
      <c r="C1157" s="29"/>
      <c r="D1157" s="29"/>
      <c r="E1157" s="29"/>
      <c r="F1157" s="30"/>
      <c r="G1157" s="30"/>
      <c r="H1157" s="30"/>
      <c r="I1157" s="30"/>
      <c r="J1157" s="30"/>
      <c r="K1157" s="30"/>
      <c r="L1157" s="29"/>
      <c r="M1157" s="29"/>
      <c r="N1157" s="29"/>
      <c r="O1157" s="29"/>
      <c r="P1157" s="29"/>
      <c r="Q1157" s="29"/>
      <c r="R1157" s="29"/>
      <c r="S1157" s="29"/>
      <c r="T1157" s="29"/>
      <c r="U1157" s="31"/>
      <c r="V1157" s="31"/>
      <c r="W1157" s="31"/>
      <c r="X1157" s="31"/>
      <c r="Y1157" s="31"/>
    </row>
    <row r="1158" spans="1:25" x14ac:dyDescent="0.2">
      <c r="A1158" s="29"/>
      <c r="B1158" s="29"/>
      <c r="C1158" s="29"/>
      <c r="D1158" s="29"/>
      <c r="E1158" s="29"/>
      <c r="F1158" s="30"/>
      <c r="G1158" s="30"/>
      <c r="H1158" s="30"/>
      <c r="I1158" s="30"/>
      <c r="J1158" s="30"/>
      <c r="K1158" s="30"/>
      <c r="L1158" s="29"/>
      <c r="M1158" s="29"/>
      <c r="N1158" s="29"/>
      <c r="O1158" s="29"/>
      <c r="P1158" s="29"/>
      <c r="Q1158" s="29"/>
      <c r="R1158" s="29"/>
      <c r="S1158" s="29"/>
      <c r="T1158" s="29"/>
      <c r="U1158" s="31"/>
      <c r="V1158" s="31"/>
      <c r="W1158" s="31"/>
      <c r="X1158" s="31"/>
      <c r="Y1158" s="31"/>
    </row>
    <row r="1159" spans="1:25" x14ac:dyDescent="0.2">
      <c r="A1159" s="29"/>
      <c r="B1159" s="29"/>
      <c r="C1159" s="29"/>
      <c r="D1159" s="29"/>
      <c r="E1159" s="29"/>
      <c r="F1159" s="30"/>
      <c r="G1159" s="30"/>
      <c r="H1159" s="30"/>
      <c r="I1159" s="30"/>
      <c r="J1159" s="30"/>
      <c r="K1159" s="30"/>
      <c r="L1159" s="29"/>
      <c r="M1159" s="29"/>
      <c r="N1159" s="29"/>
      <c r="O1159" s="29"/>
      <c r="P1159" s="29"/>
      <c r="Q1159" s="29"/>
      <c r="R1159" s="29"/>
      <c r="S1159" s="29"/>
      <c r="T1159" s="29"/>
      <c r="U1159" s="31"/>
      <c r="V1159" s="31"/>
      <c r="W1159" s="31"/>
      <c r="X1159" s="31"/>
      <c r="Y1159" s="31"/>
    </row>
    <row r="1160" spans="1:25" x14ac:dyDescent="0.2">
      <c r="A1160" s="29"/>
      <c r="B1160" s="29"/>
      <c r="C1160" s="29"/>
      <c r="D1160" s="29"/>
      <c r="E1160" s="29"/>
      <c r="F1160" s="30"/>
      <c r="G1160" s="30"/>
      <c r="H1160" s="30"/>
      <c r="I1160" s="30"/>
      <c r="J1160" s="30"/>
      <c r="K1160" s="30"/>
      <c r="L1160" s="29"/>
      <c r="M1160" s="29"/>
      <c r="N1160" s="29"/>
      <c r="O1160" s="29"/>
      <c r="P1160" s="29"/>
      <c r="Q1160" s="29"/>
      <c r="R1160" s="29"/>
      <c r="S1160" s="29"/>
      <c r="T1160" s="29"/>
      <c r="U1160" s="31"/>
      <c r="V1160" s="31"/>
      <c r="W1160" s="31"/>
      <c r="X1160" s="31"/>
      <c r="Y1160" s="31"/>
    </row>
    <row r="1161" spans="1:25" x14ac:dyDescent="0.2">
      <c r="A1161" s="29"/>
      <c r="B1161" s="29"/>
      <c r="C1161" s="29"/>
      <c r="D1161" s="29"/>
      <c r="E1161" s="29"/>
      <c r="F1161" s="30"/>
      <c r="G1161" s="30"/>
      <c r="H1161" s="30"/>
      <c r="I1161" s="30"/>
      <c r="J1161" s="30"/>
      <c r="K1161" s="30"/>
      <c r="L1161" s="29"/>
      <c r="M1161" s="29"/>
      <c r="N1161" s="29"/>
      <c r="O1161" s="29"/>
      <c r="P1161" s="29"/>
      <c r="Q1161" s="29"/>
      <c r="R1161" s="29"/>
      <c r="S1161" s="29"/>
      <c r="T1161" s="29"/>
      <c r="U1161" s="31"/>
      <c r="V1161" s="31"/>
      <c r="W1161" s="31"/>
      <c r="X1161" s="31"/>
      <c r="Y1161" s="31"/>
    </row>
    <row r="1162" spans="1:25" x14ac:dyDescent="0.2">
      <c r="A1162" s="29"/>
      <c r="B1162" s="29"/>
      <c r="C1162" s="29"/>
      <c r="D1162" s="29"/>
      <c r="E1162" s="29"/>
      <c r="F1162" s="30"/>
      <c r="G1162" s="30"/>
      <c r="H1162" s="30"/>
      <c r="I1162" s="30"/>
      <c r="J1162" s="30"/>
      <c r="K1162" s="30"/>
      <c r="L1162" s="29"/>
      <c r="M1162" s="29"/>
      <c r="N1162" s="29"/>
      <c r="O1162" s="29"/>
      <c r="P1162" s="29"/>
      <c r="Q1162" s="29"/>
      <c r="R1162" s="29"/>
      <c r="S1162" s="29"/>
      <c r="T1162" s="29"/>
      <c r="U1162" s="31"/>
      <c r="V1162" s="31"/>
      <c r="W1162" s="31"/>
      <c r="X1162" s="31"/>
      <c r="Y1162" s="31"/>
    </row>
    <row r="1163" spans="1:25" x14ac:dyDescent="0.2">
      <c r="A1163" s="29"/>
      <c r="B1163" s="29"/>
      <c r="C1163" s="29"/>
      <c r="D1163" s="29"/>
      <c r="E1163" s="29"/>
      <c r="F1163" s="30"/>
      <c r="G1163" s="30"/>
      <c r="H1163" s="30"/>
      <c r="I1163" s="30"/>
      <c r="J1163" s="30"/>
      <c r="K1163" s="30"/>
      <c r="L1163" s="29"/>
      <c r="M1163" s="29"/>
      <c r="N1163" s="29"/>
      <c r="O1163" s="29"/>
      <c r="P1163" s="29"/>
      <c r="Q1163" s="29"/>
      <c r="R1163" s="29"/>
      <c r="S1163" s="29"/>
      <c r="T1163" s="29"/>
      <c r="U1163" s="31"/>
      <c r="V1163" s="31"/>
      <c r="W1163" s="31"/>
      <c r="X1163" s="31"/>
      <c r="Y1163" s="31"/>
    </row>
    <row r="1164" spans="1:25" x14ac:dyDescent="0.2">
      <c r="A1164" s="29"/>
      <c r="B1164" s="29"/>
      <c r="C1164" s="29"/>
      <c r="D1164" s="29"/>
      <c r="E1164" s="29"/>
      <c r="F1164" s="30"/>
      <c r="G1164" s="30"/>
      <c r="H1164" s="30"/>
      <c r="I1164" s="30"/>
      <c r="J1164" s="30"/>
      <c r="K1164" s="30"/>
      <c r="L1164" s="29"/>
      <c r="M1164" s="29"/>
      <c r="N1164" s="29"/>
      <c r="O1164" s="29"/>
      <c r="P1164" s="29"/>
      <c r="Q1164" s="29"/>
      <c r="R1164" s="29"/>
      <c r="S1164" s="29"/>
      <c r="T1164" s="29"/>
      <c r="U1164" s="31"/>
      <c r="V1164" s="31"/>
      <c r="W1164" s="31"/>
      <c r="X1164" s="31"/>
      <c r="Y1164" s="31"/>
    </row>
    <row r="1165" spans="1:25" x14ac:dyDescent="0.2">
      <c r="A1165" s="29"/>
      <c r="B1165" s="29"/>
      <c r="C1165" s="29"/>
      <c r="D1165" s="29"/>
      <c r="E1165" s="29"/>
      <c r="F1165" s="30"/>
      <c r="G1165" s="30"/>
      <c r="H1165" s="30"/>
      <c r="I1165" s="30"/>
      <c r="J1165" s="30"/>
      <c r="K1165" s="30"/>
      <c r="L1165" s="29"/>
      <c r="M1165" s="29"/>
      <c r="N1165" s="29"/>
      <c r="O1165" s="29"/>
      <c r="P1165" s="29"/>
      <c r="Q1165" s="29"/>
      <c r="R1165" s="29"/>
      <c r="S1165" s="29"/>
      <c r="T1165" s="29"/>
      <c r="U1165" s="31"/>
      <c r="V1165" s="31"/>
      <c r="W1165" s="31"/>
      <c r="X1165" s="31"/>
      <c r="Y1165" s="31"/>
    </row>
    <row r="1166" spans="1:25" x14ac:dyDescent="0.2">
      <c r="A1166" s="29"/>
      <c r="B1166" s="29"/>
      <c r="C1166" s="29"/>
      <c r="D1166" s="29"/>
      <c r="E1166" s="29"/>
      <c r="F1166" s="30"/>
      <c r="G1166" s="30"/>
      <c r="H1166" s="30"/>
      <c r="I1166" s="30"/>
      <c r="J1166" s="30"/>
      <c r="K1166" s="30"/>
      <c r="L1166" s="29"/>
      <c r="M1166" s="29"/>
      <c r="N1166" s="29"/>
      <c r="O1166" s="29"/>
      <c r="P1166" s="29"/>
      <c r="Q1166" s="29"/>
      <c r="R1166" s="29"/>
      <c r="S1166" s="29"/>
      <c r="T1166" s="29"/>
      <c r="U1166" s="31"/>
      <c r="V1166" s="31"/>
      <c r="W1166" s="31"/>
      <c r="X1166" s="31"/>
      <c r="Y1166" s="31"/>
    </row>
    <row r="1167" spans="1:25" x14ac:dyDescent="0.2">
      <c r="A1167" s="29"/>
      <c r="B1167" s="29"/>
      <c r="C1167" s="29"/>
      <c r="D1167" s="29"/>
      <c r="E1167" s="29"/>
      <c r="F1167" s="30"/>
      <c r="G1167" s="30"/>
      <c r="H1167" s="30"/>
      <c r="I1167" s="30"/>
      <c r="J1167" s="30"/>
      <c r="K1167" s="30"/>
      <c r="L1167" s="29"/>
      <c r="M1167" s="29"/>
      <c r="N1167" s="29"/>
      <c r="O1167" s="29"/>
      <c r="P1167" s="29"/>
      <c r="Q1167" s="29"/>
      <c r="R1167" s="29"/>
      <c r="S1167" s="29"/>
      <c r="T1167" s="29"/>
      <c r="U1167" s="31"/>
      <c r="V1167" s="31"/>
      <c r="W1167" s="31"/>
      <c r="X1167" s="31"/>
      <c r="Y1167" s="31"/>
    </row>
    <row r="1168" spans="1:25" x14ac:dyDescent="0.2">
      <c r="A1168" s="29"/>
      <c r="B1168" s="29"/>
      <c r="C1168" s="29"/>
      <c r="D1168" s="29"/>
      <c r="E1168" s="29"/>
      <c r="F1168" s="30"/>
      <c r="G1168" s="30"/>
      <c r="H1168" s="30"/>
      <c r="I1168" s="30"/>
      <c r="J1168" s="30"/>
      <c r="K1168" s="30"/>
      <c r="L1168" s="29"/>
      <c r="M1168" s="29"/>
      <c r="N1168" s="29"/>
      <c r="O1168" s="29"/>
      <c r="P1168" s="29"/>
      <c r="Q1168" s="29"/>
      <c r="R1168" s="29"/>
      <c r="S1168" s="29"/>
      <c r="T1168" s="29"/>
      <c r="U1168" s="31"/>
      <c r="V1168" s="31"/>
      <c r="W1168" s="31"/>
      <c r="X1168" s="31"/>
      <c r="Y1168" s="31"/>
    </row>
    <row r="1169" spans="1:25" x14ac:dyDescent="0.2">
      <c r="A1169" s="29"/>
      <c r="B1169" s="29"/>
      <c r="C1169" s="29"/>
      <c r="D1169" s="29"/>
      <c r="E1169" s="29"/>
      <c r="F1169" s="30"/>
      <c r="G1169" s="30"/>
      <c r="H1169" s="30"/>
      <c r="I1169" s="30"/>
      <c r="J1169" s="30"/>
      <c r="K1169" s="30"/>
      <c r="L1169" s="29"/>
      <c r="M1169" s="29"/>
      <c r="N1169" s="29"/>
      <c r="O1169" s="29"/>
      <c r="P1169" s="29"/>
      <c r="Q1169" s="29"/>
      <c r="R1169" s="29"/>
      <c r="S1169" s="29"/>
      <c r="T1169" s="29"/>
      <c r="U1169" s="31"/>
      <c r="V1169" s="31"/>
      <c r="W1169" s="31"/>
      <c r="X1169" s="31"/>
      <c r="Y1169" s="31"/>
    </row>
    <row r="1170" spans="1:25" x14ac:dyDescent="0.2">
      <c r="A1170" s="29"/>
      <c r="B1170" s="29"/>
      <c r="C1170" s="29"/>
      <c r="D1170" s="29"/>
      <c r="E1170" s="29"/>
      <c r="F1170" s="30"/>
      <c r="G1170" s="30"/>
      <c r="H1170" s="30"/>
      <c r="I1170" s="30"/>
      <c r="J1170" s="30"/>
      <c r="K1170" s="30"/>
      <c r="L1170" s="29"/>
      <c r="M1170" s="29"/>
      <c r="N1170" s="29"/>
      <c r="O1170" s="29"/>
      <c r="P1170" s="29"/>
      <c r="Q1170" s="29"/>
      <c r="R1170" s="29"/>
      <c r="S1170" s="29"/>
      <c r="T1170" s="29"/>
      <c r="U1170" s="31"/>
      <c r="V1170" s="31"/>
      <c r="W1170" s="31"/>
      <c r="X1170" s="31"/>
      <c r="Y1170" s="31"/>
    </row>
    <row r="1171" spans="1:25" x14ac:dyDescent="0.2">
      <c r="A1171" s="29"/>
      <c r="B1171" s="29"/>
      <c r="C1171" s="29"/>
      <c r="D1171" s="29"/>
      <c r="E1171" s="29"/>
      <c r="F1171" s="30"/>
      <c r="G1171" s="30"/>
      <c r="H1171" s="30"/>
      <c r="I1171" s="30"/>
      <c r="J1171" s="30"/>
      <c r="K1171" s="30"/>
      <c r="L1171" s="29"/>
      <c r="M1171" s="29"/>
      <c r="N1171" s="29"/>
      <c r="O1171" s="29"/>
      <c r="P1171" s="29"/>
      <c r="Q1171" s="29"/>
      <c r="R1171" s="29"/>
      <c r="S1171" s="29"/>
      <c r="T1171" s="29"/>
      <c r="U1171" s="31"/>
      <c r="V1171" s="31"/>
      <c r="W1171" s="31"/>
      <c r="X1171" s="31"/>
      <c r="Y1171" s="31"/>
    </row>
    <row r="1172" spans="1:25" x14ac:dyDescent="0.2">
      <c r="A1172" s="29"/>
      <c r="B1172" s="29"/>
      <c r="C1172" s="29"/>
      <c r="D1172" s="29"/>
      <c r="E1172" s="29"/>
      <c r="F1172" s="30"/>
      <c r="G1172" s="30"/>
      <c r="H1172" s="30"/>
      <c r="I1172" s="30"/>
      <c r="J1172" s="30"/>
      <c r="K1172" s="30"/>
      <c r="L1172" s="29"/>
      <c r="M1172" s="29"/>
      <c r="N1172" s="29"/>
      <c r="O1172" s="29"/>
      <c r="P1172" s="29"/>
      <c r="Q1172" s="29"/>
      <c r="R1172" s="29"/>
      <c r="S1172" s="29"/>
      <c r="T1172" s="29"/>
      <c r="U1172" s="31"/>
      <c r="V1172" s="31"/>
      <c r="W1172" s="31"/>
      <c r="X1172" s="31"/>
      <c r="Y1172" s="31"/>
    </row>
    <row r="1173" spans="1:25" x14ac:dyDescent="0.2">
      <c r="A1173" s="29"/>
      <c r="B1173" s="29"/>
      <c r="C1173" s="29"/>
      <c r="D1173" s="29"/>
      <c r="E1173" s="29"/>
      <c r="F1173" s="30"/>
      <c r="G1173" s="30"/>
      <c r="H1173" s="30"/>
      <c r="I1173" s="30"/>
      <c r="J1173" s="30"/>
      <c r="K1173" s="30"/>
      <c r="L1173" s="29"/>
      <c r="M1173" s="29"/>
      <c r="N1173" s="29"/>
      <c r="O1173" s="29"/>
      <c r="P1173" s="29"/>
      <c r="Q1173" s="29"/>
      <c r="R1173" s="29"/>
      <c r="S1173" s="29"/>
      <c r="T1173" s="29"/>
      <c r="U1173" s="31"/>
      <c r="V1173" s="31"/>
      <c r="W1173" s="31"/>
      <c r="X1173" s="31"/>
      <c r="Y1173" s="31"/>
    </row>
    <row r="1174" spans="1:25" x14ac:dyDescent="0.2">
      <c r="A1174" s="29"/>
      <c r="B1174" s="29"/>
      <c r="C1174" s="29"/>
      <c r="D1174" s="29"/>
      <c r="E1174" s="29"/>
      <c r="F1174" s="30"/>
      <c r="G1174" s="30"/>
      <c r="H1174" s="30"/>
      <c r="I1174" s="30"/>
      <c r="J1174" s="30"/>
      <c r="K1174" s="30"/>
      <c r="L1174" s="29"/>
      <c r="M1174" s="29"/>
      <c r="N1174" s="29"/>
      <c r="O1174" s="29"/>
      <c r="P1174" s="29"/>
      <c r="Q1174" s="29"/>
      <c r="R1174" s="29"/>
      <c r="S1174" s="29"/>
      <c r="T1174" s="29"/>
      <c r="U1174" s="31"/>
      <c r="V1174" s="31"/>
      <c r="W1174" s="31"/>
      <c r="X1174" s="31"/>
      <c r="Y1174" s="31"/>
    </row>
    <row r="1175" spans="1:25" x14ac:dyDescent="0.2">
      <c r="A1175" s="29"/>
      <c r="B1175" s="29"/>
      <c r="C1175" s="29"/>
      <c r="D1175" s="29"/>
      <c r="E1175" s="29"/>
      <c r="F1175" s="30"/>
      <c r="G1175" s="30"/>
      <c r="H1175" s="30"/>
      <c r="I1175" s="30"/>
      <c r="J1175" s="30"/>
      <c r="K1175" s="30"/>
      <c r="L1175" s="29"/>
      <c r="M1175" s="29"/>
      <c r="N1175" s="29"/>
      <c r="O1175" s="29"/>
      <c r="P1175" s="29"/>
      <c r="Q1175" s="29"/>
      <c r="R1175" s="29"/>
      <c r="S1175" s="29"/>
      <c r="T1175" s="29"/>
      <c r="U1175" s="31"/>
      <c r="V1175" s="31"/>
      <c r="W1175" s="31"/>
      <c r="X1175" s="31"/>
      <c r="Y1175" s="31"/>
    </row>
    <row r="1176" spans="1:25" x14ac:dyDescent="0.2">
      <c r="A1176" s="29"/>
      <c r="B1176" s="29"/>
      <c r="C1176" s="29"/>
      <c r="D1176" s="29"/>
      <c r="E1176" s="29"/>
      <c r="F1176" s="30"/>
      <c r="G1176" s="30"/>
      <c r="H1176" s="30"/>
      <c r="I1176" s="30"/>
      <c r="J1176" s="30"/>
      <c r="K1176" s="30"/>
      <c r="L1176" s="29"/>
      <c r="M1176" s="29"/>
      <c r="N1176" s="29"/>
      <c r="O1176" s="29"/>
      <c r="P1176" s="29"/>
      <c r="Q1176" s="29"/>
      <c r="R1176" s="29"/>
      <c r="S1176" s="29"/>
      <c r="T1176" s="29"/>
      <c r="U1176" s="31"/>
      <c r="V1176" s="31"/>
      <c r="W1176" s="31"/>
      <c r="X1176" s="31"/>
      <c r="Y1176" s="31"/>
    </row>
    <row r="1177" spans="1:25" x14ac:dyDescent="0.2">
      <c r="A1177" s="29"/>
      <c r="B1177" s="29"/>
      <c r="C1177" s="29"/>
      <c r="D1177" s="29"/>
      <c r="E1177" s="29"/>
      <c r="F1177" s="30"/>
      <c r="G1177" s="30"/>
      <c r="H1177" s="30"/>
      <c r="I1177" s="30"/>
      <c r="J1177" s="30"/>
      <c r="K1177" s="30"/>
      <c r="L1177" s="29"/>
      <c r="M1177" s="29"/>
      <c r="N1177" s="29"/>
      <c r="O1177" s="29"/>
      <c r="P1177" s="29"/>
      <c r="Q1177" s="29"/>
      <c r="R1177" s="29"/>
      <c r="S1177" s="29"/>
      <c r="T1177" s="29"/>
      <c r="U1177" s="31"/>
      <c r="V1177" s="31"/>
      <c r="W1177" s="31"/>
      <c r="X1177" s="31"/>
      <c r="Y1177" s="31"/>
    </row>
    <row r="1178" spans="1:25" x14ac:dyDescent="0.2">
      <c r="A1178" s="29"/>
      <c r="B1178" s="29"/>
      <c r="C1178" s="29"/>
      <c r="D1178" s="29"/>
      <c r="E1178" s="29"/>
      <c r="F1178" s="30"/>
      <c r="G1178" s="30"/>
      <c r="H1178" s="30"/>
      <c r="I1178" s="30"/>
      <c r="J1178" s="30"/>
      <c r="K1178" s="30"/>
      <c r="L1178" s="29"/>
      <c r="M1178" s="29"/>
      <c r="N1178" s="29"/>
      <c r="O1178" s="29"/>
      <c r="P1178" s="29"/>
      <c r="Q1178" s="29"/>
      <c r="R1178" s="29"/>
      <c r="S1178" s="29"/>
      <c r="T1178" s="29"/>
      <c r="U1178" s="31"/>
      <c r="V1178" s="31"/>
      <c r="W1178" s="31"/>
      <c r="X1178" s="31"/>
      <c r="Y1178" s="31"/>
    </row>
    <row r="1179" spans="1:25" x14ac:dyDescent="0.2">
      <c r="A1179" s="29"/>
      <c r="B1179" s="29"/>
      <c r="C1179" s="29"/>
      <c r="D1179" s="29"/>
      <c r="E1179" s="29"/>
      <c r="F1179" s="30"/>
      <c r="G1179" s="30"/>
      <c r="H1179" s="30"/>
      <c r="I1179" s="30"/>
      <c r="J1179" s="30"/>
      <c r="K1179" s="30"/>
      <c r="L1179" s="29"/>
      <c r="M1179" s="29"/>
      <c r="N1179" s="29"/>
      <c r="O1179" s="29"/>
      <c r="P1179" s="29"/>
      <c r="Q1179" s="29"/>
      <c r="R1179" s="29"/>
      <c r="S1179" s="29"/>
      <c r="T1179" s="29"/>
      <c r="U1179" s="31"/>
      <c r="V1179" s="31"/>
      <c r="W1179" s="31"/>
      <c r="X1179" s="31"/>
      <c r="Y1179" s="31"/>
    </row>
    <row r="1180" spans="1:25" x14ac:dyDescent="0.2">
      <c r="A1180" s="29"/>
      <c r="B1180" s="29"/>
      <c r="C1180" s="29"/>
      <c r="D1180" s="29"/>
      <c r="E1180" s="29"/>
      <c r="F1180" s="30"/>
      <c r="G1180" s="30"/>
      <c r="H1180" s="30"/>
      <c r="I1180" s="30"/>
      <c r="J1180" s="30"/>
      <c r="K1180" s="30"/>
      <c r="L1180" s="29"/>
      <c r="M1180" s="29"/>
      <c r="N1180" s="29"/>
      <c r="O1180" s="29"/>
      <c r="P1180" s="29"/>
      <c r="Q1180" s="29"/>
      <c r="R1180" s="29"/>
      <c r="S1180" s="29"/>
      <c r="T1180" s="29"/>
      <c r="U1180" s="31"/>
      <c r="V1180" s="31"/>
      <c r="W1180" s="31"/>
      <c r="X1180" s="31"/>
      <c r="Y1180" s="31"/>
    </row>
    <row r="1181" spans="1:25" x14ac:dyDescent="0.2">
      <c r="A1181" s="29"/>
      <c r="B1181" s="29"/>
      <c r="C1181" s="29"/>
      <c r="D1181" s="29"/>
      <c r="E1181" s="29"/>
      <c r="F1181" s="30"/>
      <c r="G1181" s="30"/>
      <c r="H1181" s="30"/>
      <c r="I1181" s="30"/>
      <c r="J1181" s="30"/>
      <c r="K1181" s="30"/>
      <c r="L1181" s="29"/>
      <c r="M1181" s="29"/>
      <c r="N1181" s="29"/>
      <c r="O1181" s="29"/>
      <c r="P1181" s="29"/>
      <c r="Q1181" s="29"/>
      <c r="R1181" s="29"/>
      <c r="S1181" s="29"/>
      <c r="T1181" s="29"/>
      <c r="U1181" s="31"/>
      <c r="V1181" s="31"/>
      <c r="W1181" s="31"/>
      <c r="X1181" s="31"/>
      <c r="Y1181" s="31"/>
    </row>
    <row r="1182" spans="1:25" x14ac:dyDescent="0.2">
      <c r="A1182" s="29"/>
      <c r="B1182" s="29"/>
      <c r="C1182" s="29"/>
      <c r="D1182" s="29"/>
      <c r="E1182" s="29"/>
      <c r="F1182" s="30"/>
      <c r="G1182" s="30"/>
      <c r="H1182" s="30"/>
      <c r="I1182" s="30"/>
      <c r="J1182" s="30"/>
      <c r="K1182" s="30"/>
      <c r="L1182" s="29"/>
      <c r="M1182" s="29"/>
      <c r="N1182" s="29"/>
      <c r="O1182" s="29"/>
      <c r="P1182" s="29"/>
      <c r="Q1182" s="29"/>
      <c r="R1182" s="29"/>
      <c r="S1182" s="29"/>
      <c r="T1182" s="29"/>
      <c r="U1182" s="31"/>
      <c r="V1182" s="31"/>
      <c r="W1182" s="31"/>
      <c r="X1182" s="31"/>
      <c r="Y1182" s="31"/>
    </row>
    <row r="1183" spans="1:25" x14ac:dyDescent="0.2">
      <c r="A1183" s="29"/>
      <c r="B1183" s="29"/>
      <c r="C1183" s="29"/>
      <c r="D1183" s="29"/>
      <c r="E1183" s="29"/>
      <c r="F1183" s="30"/>
      <c r="G1183" s="30"/>
      <c r="H1183" s="30"/>
      <c r="I1183" s="30"/>
      <c r="J1183" s="30"/>
      <c r="K1183" s="30"/>
      <c r="L1183" s="29"/>
      <c r="M1183" s="29"/>
      <c r="N1183" s="29"/>
      <c r="O1183" s="29"/>
      <c r="P1183" s="29"/>
      <c r="Q1183" s="29"/>
      <c r="R1183" s="29"/>
      <c r="S1183" s="29"/>
      <c r="T1183" s="29"/>
      <c r="U1183" s="31"/>
      <c r="V1183" s="31"/>
      <c r="W1183" s="31"/>
      <c r="X1183" s="31"/>
      <c r="Y1183" s="31"/>
    </row>
    <row r="1184" spans="1:25" x14ac:dyDescent="0.2">
      <c r="A1184" s="29"/>
      <c r="B1184" s="29"/>
      <c r="C1184" s="29"/>
      <c r="D1184" s="29"/>
      <c r="E1184" s="29"/>
      <c r="F1184" s="30"/>
      <c r="G1184" s="30"/>
      <c r="H1184" s="30"/>
      <c r="I1184" s="30"/>
      <c r="J1184" s="30"/>
      <c r="K1184" s="30"/>
      <c r="L1184" s="29"/>
      <c r="M1184" s="29"/>
      <c r="N1184" s="29"/>
      <c r="O1184" s="29"/>
      <c r="P1184" s="29"/>
      <c r="Q1184" s="29"/>
      <c r="R1184" s="29"/>
      <c r="S1184" s="29"/>
      <c r="T1184" s="29"/>
      <c r="U1184" s="31"/>
      <c r="V1184" s="31"/>
      <c r="W1184" s="31"/>
      <c r="X1184" s="31"/>
      <c r="Y1184" s="31"/>
    </row>
    <row r="1185" spans="1:25" x14ac:dyDescent="0.2">
      <c r="A1185" s="29"/>
      <c r="B1185" s="29"/>
      <c r="C1185" s="29"/>
      <c r="D1185" s="29"/>
      <c r="E1185" s="29"/>
      <c r="F1185" s="30"/>
      <c r="G1185" s="30"/>
      <c r="H1185" s="30"/>
      <c r="I1185" s="30"/>
      <c r="J1185" s="30"/>
      <c r="K1185" s="30"/>
      <c r="L1185" s="29"/>
      <c r="M1185" s="29"/>
      <c r="N1185" s="29"/>
      <c r="O1185" s="29"/>
      <c r="P1185" s="29"/>
      <c r="Q1185" s="29"/>
      <c r="R1185" s="29"/>
      <c r="S1185" s="29"/>
      <c r="T1185" s="29"/>
      <c r="U1185" s="31"/>
      <c r="V1185" s="31"/>
      <c r="W1185" s="31"/>
      <c r="X1185" s="31"/>
      <c r="Y1185" s="31"/>
    </row>
    <row r="1186" spans="1:25" x14ac:dyDescent="0.2">
      <c r="A1186" s="29"/>
      <c r="B1186" s="29"/>
      <c r="C1186" s="29"/>
      <c r="D1186" s="29"/>
      <c r="E1186" s="29"/>
      <c r="F1186" s="30"/>
      <c r="G1186" s="30"/>
      <c r="H1186" s="30"/>
      <c r="I1186" s="30"/>
      <c r="J1186" s="30"/>
      <c r="K1186" s="30"/>
      <c r="L1186" s="29"/>
      <c r="M1186" s="29"/>
      <c r="N1186" s="29"/>
      <c r="O1186" s="29"/>
      <c r="P1186" s="29"/>
      <c r="Q1186" s="29"/>
      <c r="R1186" s="29"/>
      <c r="S1186" s="29"/>
      <c r="T1186" s="29"/>
      <c r="U1186" s="31"/>
      <c r="V1186" s="31"/>
      <c r="W1186" s="31"/>
      <c r="X1186" s="31"/>
      <c r="Y1186" s="31"/>
    </row>
    <row r="1187" spans="1:25" x14ac:dyDescent="0.2">
      <c r="A1187" s="29"/>
      <c r="B1187" s="29"/>
      <c r="C1187" s="29"/>
      <c r="D1187" s="29"/>
      <c r="E1187" s="29"/>
      <c r="F1187" s="30"/>
      <c r="G1187" s="30"/>
      <c r="H1187" s="30"/>
      <c r="I1187" s="30"/>
      <c r="J1187" s="30"/>
      <c r="K1187" s="30"/>
      <c r="L1187" s="29"/>
      <c r="M1187" s="29"/>
      <c r="N1187" s="29"/>
      <c r="O1187" s="29"/>
      <c r="P1187" s="29"/>
      <c r="Q1187" s="29"/>
      <c r="R1187" s="29"/>
      <c r="S1187" s="29"/>
      <c r="T1187" s="29"/>
      <c r="U1187" s="31"/>
      <c r="V1187" s="31"/>
      <c r="W1187" s="31"/>
      <c r="X1187" s="31"/>
      <c r="Y1187" s="31"/>
    </row>
    <row r="1188" spans="1:25" x14ac:dyDescent="0.2">
      <c r="A1188" s="29"/>
      <c r="B1188" s="29"/>
      <c r="C1188" s="29"/>
      <c r="D1188" s="29"/>
      <c r="E1188" s="29"/>
      <c r="F1188" s="30"/>
      <c r="G1188" s="30"/>
      <c r="H1188" s="30"/>
      <c r="I1188" s="30"/>
      <c r="J1188" s="30"/>
      <c r="K1188" s="30"/>
      <c r="L1188" s="29"/>
      <c r="M1188" s="29"/>
      <c r="N1188" s="29"/>
      <c r="O1188" s="29"/>
      <c r="P1188" s="29"/>
      <c r="Q1188" s="29"/>
      <c r="R1188" s="29"/>
      <c r="S1188" s="29"/>
      <c r="T1188" s="29"/>
      <c r="U1188" s="31"/>
      <c r="V1188" s="31"/>
      <c r="W1188" s="31"/>
      <c r="X1188" s="31"/>
      <c r="Y1188" s="31"/>
    </row>
    <row r="1189" spans="1:25" x14ac:dyDescent="0.2">
      <c r="A1189" s="29"/>
      <c r="B1189" s="29"/>
      <c r="C1189" s="29"/>
      <c r="D1189" s="29"/>
      <c r="E1189" s="29"/>
      <c r="F1189" s="30"/>
      <c r="G1189" s="30"/>
      <c r="H1189" s="30"/>
      <c r="I1189" s="30"/>
      <c r="J1189" s="30"/>
      <c r="K1189" s="30"/>
      <c r="L1189" s="29"/>
      <c r="M1189" s="29"/>
      <c r="N1189" s="29"/>
      <c r="O1189" s="29"/>
      <c r="P1189" s="29"/>
      <c r="Q1189" s="29"/>
      <c r="R1189" s="29"/>
      <c r="S1189" s="29"/>
      <c r="T1189" s="29"/>
      <c r="U1189" s="31"/>
      <c r="V1189" s="31"/>
      <c r="W1189" s="31"/>
      <c r="X1189" s="31"/>
      <c r="Y1189" s="31"/>
    </row>
    <row r="1190" spans="1:25" x14ac:dyDescent="0.2">
      <c r="A1190" s="29"/>
      <c r="B1190" s="29"/>
      <c r="C1190" s="29"/>
      <c r="D1190" s="29"/>
      <c r="E1190" s="29"/>
      <c r="F1190" s="30"/>
      <c r="G1190" s="30"/>
      <c r="H1190" s="30"/>
      <c r="I1190" s="30"/>
      <c r="J1190" s="30"/>
      <c r="K1190" s="30"/>
      <c r="L1190" s="29"/>
      <c r="M1190" s="29"/>
      <c r="N1190" s="29"/>
      <c r="O1190" s="29"/>
      <c r="P1190" s="29"/>
      <c r="Q1190" s="29"/>
      <c r="R1190" s="29"/>
      <c r="S1190" s="29"/>
      <c r="T1190" s="29"/>
      <c r="U1190" s="31"/>
      <c r="V1190" s="31"/>
      <c r="W1190" s="31"/>
      <c r="X1190" s="31"/>
      <c r="Y1190" s="31"/>
    </row>
    <row r="1191" spans="1:25" x14ac:dyDescent="0.2">
      <c r="A1191" s="29"/>
      <c r="B1191" s="29"/>
      <c r="C1191" s="29"/>
      <c r="D1191" s="29"/>
      <c r="E1191" s="29"/>
      <c r="F1191" s="30"/>
      <c r="G1191" s="30"/>
      <c r="H1191" s="30"/>
      <c r="I1191" s="30"/>
      <c r="J1191" s="30"/>
      <c r="K1191" s="30"/>
      <c r="L1191" s="29"/>
      <c r="M1191" s="29"/>
      <c r="N1191" s="29"/>
      <c r="O1191" s="29"/>
      <c r="P1191" s="29"/>
      <c r="Q1191" s="29"/>
      <c r="R1191" s="29"/>
      <c r="S1191" s="29"/>
      <c r="T1191" s="29"/>
      <c r="U1191" s="31"/>
      <c r="V1191" s="31"/>
      <c r="W1191" s="31"/>
      <c r="X1191" s="31"/>
      <c r="Y1191" s="31"/>
    </row>
    <row r="1192" spans="1:25" x14ac:dyDescent="0.2">
      <c r="A1192" s="29"/>
      <c r="B1192" s="29"/>
      <c r="C1192" s="29"/>
      <c r="D1192" s="29"/>
      <c r="E1192" s="29"/>
      <c r="F1192" s="30"/>
      <c r="G1192" s="30"/>
      <c r="H1192" s="30"/>
      <c r="I1192" s="30"/>
      <c r="J1192" s="30"/>
      <c r="K1192" s="30"/>
      <c r="L1192" s="29"/>
      <c r="M1192" s="29"/>
      <c r="N1192" s="29"/>
      <c r="O1192" s="29"/>
      <c r="P1192" s="29"/>
      <c r="Q1192" s="29"/>
      <c r="R1192" s="29"/>
      <c r="S1192" s="29"/>
      <c r="T1192" s="29"/>
      <c r="U1192" s="31"/>
      <c r="V1192" s="31"/>
      <c r="W1192" s="31"/>
      <c r="X1192" s="31"/>
      <c r="Y1192" s="31"/>
    </row>
    <row r="1193" spans="1:25" x14ac:dyDescent="0.2">
      <c r="A1193" s="29"/>
      <c r="B1193" s="29"/>
      <c r="C1193" s="29"/>
      <c r="D1193" s="29"/>
      <c r="E1193" s="29"/>
      <c r="F1193" s="30"/>
      <c r="G1193" s="30"/>
      <c r="H1193" s="30"/>
      <c r="I1193" s="30"/>
      <c r="J1193" s="30"/>
      <c r="K1193" s="30"/>
      <c r="L1193" s="29"/>
      <c r="M1193" s="29"/>
      <c r="N1193" s="29"/>
      <c r="O1193" s="29"/>
      <c r="P1193" s="29"/>
      <c r="Q1193" s="29"/>
      <c r="R1193" s="29"/>
      <c r="S1193" s="29"/>
      <c r="T1193" s="29"/>
      <c r="U1193" s="31"/>
      <c r="V1193" s="31"/>
      <c r="W1193" s="31"/>
      <c r="X1193" s="31"/>
      <c r="Y1193" s="31"/>
    </row>
    <row r="1194" spans="1:25" x14ac:dyDescent="0.2">
      <c r="A1194" s="29"/>
      <c r="B1194" s="29"/>
      <c r="C1194" s="29"/>
      <c r="D1194" s="29"/>
      <c r="E1194" s="29"/>
      <c r="F1194" s="30"/>
      <c r="G1194" s="30"/>
      <c r="H1194" s="30"/>
      <c r="I1194" s="30"/>
      <c r="J1194" s="30"/>
      <c r="K1194" s="30"/>
      <c r="L1194" s="29"/>
      <c r="M1194" s="29"/>
      <c r="N1194" s="29"/>
      <c r="O1194" s="29"/>
      <c r="P1194" s="29"/>
      <c r="Q1194" s="29"/>
      <c r="R1194" s="29"/>
      <c r="S1194" s="29"/>
      <c r="T1194" s="29"/>
      <c r="U1194" s="31"/>
      <c r="V1194" s="31"/>
      <c r="W1194" s="31"/>
      <c r="X1194" s="31"/>
      <c r="Y1194" s="31"/>
    </row>
    <row r="1195" spans="1:25" x14ac:dyDescent="0.2">
      <c r="A1195" s="29"/>
      <c r="B1195" s="29"/>
      <c r="C1195" s="29"/>
      <c r="D1195" s="29"/>
      <c r="E1195" s="29"/>
      <c r="F1195" s="30"/>
      <c r="G1195" s="30"/>
      <c r="H1195" s="30"/>
      <c r="I1195" s="30"/>
      <c r="J1195" s="30"/>
      <c r="K1195" s="30"/>
      <c r="L1195" s="29"/>
      <c r="M1195" s="29"/>
      <c r="N1195" s="29"/>
      <c r="O1195" s="29"/>
      <c r="P1195" s="29"/>
      <c r="Q1195" s="29"/>
      <c r="R1195" s="29"/>
      <c r="S1195" s="29"/>
      <c r="T1195" s="29"/>
      <c r="U1195" s="31"/>
      <c r="V1195" s="31"/>
      <c r="W1195" s="31"/>
      <c r="X1195" s="31"/>
      <c r="Y1195" s="31"/>
    </row>
    <row r="1196" spans="1:25" x14ac:dyDescent="0.2">
      <c r="A1196" s="29"/>
      <c r="B1196" s="29"/>
      <c r="C1196" s="29"/>
      <c r="D1196" s="29"/>
      <c r="E1196" s="29"/>
      <c r="F1196" s="30"/>
      <c r="G1196" s="30"/>
      <c r="H1196" s="30"/>
      <c r="I1196" s="30"/>
      <c r="J1196" s="30"/>
      <c r="K1196" s="30"/>
      <c r="L1196" s="29"/>
      <c r="M1196" s="29"/>
      <c r="N1196" s="29"/>
      <c r="O1196" s="29"/>
      <c r="P1196" s="29"/>
      <c r="Q1196" s="29"/>
      <c r="R1196" s="29"/>
      <c r="S1196" s="29"/>
      <c r="T1196" s="29"/>
      <c r="U1196" s="31"/>
      <c r="V1196" s="31"/>
      <c r="W1196" s="31"/>
      <c r="X1196" s="31"/>
      <c r="Y1196" s="31"/>
    </row>
    <row r="1197" spans="1:25" x14ac:dyDescent="0.2">
      <c r="A1197" s="29"/>
      <c r="B1197" s="29"/>
      <c r="C1197" s="29"/>
      <c r="D1197" s="29"/>
      <c r="E1197" s="29"/>
      <c r="F1197" s="30"/>
      <c r="G1197" s="30"/>
      <c r="H1197" s="30"/>
      <c r="I1197" s="30"/>
      <c r="J1197" s="30"/>
      <c r="K1197" s="30"/>
      <c r="L1197" s="29"/>
      <c r="M1197" s="29"/>
      <c r="N1197" s="29"/>
      <c r="O1197" s="29"/>
      <c r="P1197" s="29"/>
      <c r="Q1197" s="29"/>
      <c r="R1197" s="29"/>
      <c r="S1197" s="29"/>
      <c r="T1197" s="29"/>
      <c r="U1197" s="31"/>
      <c r="V1197" s="31"/>
      <c r="W1197" s="31"/>
      <c r="X1197" s="31"/>
      <c r="Y1197" s="31"/>
    </row>
    <row r="1198" spans="1:25" x14ac:dyDescent="0.2">
      <c r="A1198" s="29"/>
      <c r="B1198" s="29"/>
      <c r="C1198" s="29"/>
      <c r="D1198" s="29"/>
      <c r="E1198" s="29"/>
      <c r="F1198" s="30"/>
      <c r="G1198" s="30"/>
      <c r="H1198" s="30"/>
      <c r="I1198" s="30"/>
      <c r="J1198" s="30"/>
      <c r="K1198" s="30"/>
      <c r="L1198" s="29"/>
      <c r="M1198" s="29"/>
      <c r="N1198" s="29"/>
      <c r="O1198" s="29"/>
      <c r="P1198" s="29"/>
      <c r="Q1198" s="29"/>
      <c r="R1198" s="29"/>
      <c r="S1198" s="29"/>
      <c r="T1198" s="29"/>
      <c r="U1198" s="31"/>
      <c r="V1198" s="31"/>
      <c r="W1198" s="31"/>
      <c r="X1198" s="31"/>
      <c r="Y1198" s="31"/>
    </row>
    <row r="1199" spans="1:25" x14ac:dyDescent="0.2">
      <c r="A1199" s="29"/>
      <c r="B1199" s="29"/>
      <c r="C1199" s="29"/>
      <c r="D1199" s="29"/>
      <c r="E1199" s="29"/>
      <c r="F1199" s="30"/>
      <c r="G1199" s="30"/>
      <c r="H1199" s="30"/>
      <c r="I1199" s="30"/>
      <c r="J1199" s="30"/>
      <c r="K1199" s="30"/>
      <c r="L1199" s="29"/>
      <c r="M1199" s="29"/>
      <c r="N1199" s="29"/>
      <c r="O1199" s="29"/>
      <c r="P1199" s="29"/>
      <c r="Q1199" s="29"/>
      <c r="R1199" s="29"/>
      <c r="S1199" s="29"/>
      <c r="T1199" s="29"/>
      <c r="U1199" s="31"/>
      <c r="V1199" s="31"/>
      <c r="W1199" s="31"/>
      <c r="X1199" s="31"/>
      <c r="Y1199" s="31"/>
    </row>
    <row r="1200" spans="1:25" x14ac:dyDescent="0.2">
      <c r="A1200" s="29"/>
      <c r="B1200" s="29"/>
      <c r="C1200" s="29"/>
      <c r="D1200" s="29"/>
      <c r="E1200" s="29"/>
      <c r="F1200" s="30"/>
      <c r="G1200" s="30"/>
      <c r="H1200" s="30"/>
      <c r="I1200" s="30"/>
      <c r="J1200" s="30"/>
      <c r="K1200" s="30"/>
      <c r="L1200" s="29"/>
      <c r="M1200" s="29"/>
      <c r="N1200" s="29"/>
      <c r="O1200" s="29"/>
      <c r="P1200" s="29"/>
      <c r="Q1200" s="29"/>
      <c r="R1200" s="29"/>
      <c r="S1200" s="29"/>
      <c r="T1200" s="29"/>
      <c r="U1200" s="31"/>
      <c r="V1200" s="31"/>
      <c r="W1200" s="31"/>
      <c r="X1200" s="31"/>
      <c r="Y1200" s="31"/>
    </row>
    <row r="1201" spans="1:25" x14ac:dyDescent="0.2">
      <c r="A1201" s="29"/>
      <c r="B1201" s="29"/>
      <c r="C1201" s="29"/>
      <c r="D1201" s="29"/>
      <c r="E1201" s="29"/>
      <c r="F1201" s="30"/>
      <c r="G1201" s="30"/>
      <c r="H1201" s="30"/>
      <c r="I1201" s="30"/>
      <c r="J1201" s="30"/>
      <c r="K1201" s="30"/>
      <c r="L1201" s="29"/>
      <c r="M1201" s="29"/>
      <c r="N1201" s="29"/>
      <c r="O1201" s="29"/>
      <c r="P1201" s="29"/>
      <c r="Q1201" s="29"/>
      <c r="R1201" s="29"/>
      <c r="S1201" s="29"/>
      <c r="T1201" s="29"/>
      <c r="U1201" s="31"/>
      <c r="V1201" s="31"/>
      <c r="W1201" s="31"/>
      <c r="X1201" s="31"/>
      <c r="Y1201" s="31"/>
    </row>
    <row r="1202" spans="1:25" x14ac:dyDescent="0.2">
      <c r="A1202" s="29"/>
      <c r="B1202" s="29"/>
      <c r="C1202" s="29"/>
      <c r="D1202" s="29"/>
      <c r="E1202" s="29"/>
      <c r="F1202" s="30"/>
      <c r="G1202" s="30"/>
      <c r="H1202" s="30"/>
      <c r="I1202" s="30"/>
      <c r="J1202" s="30"/>
      <c r="K1202" s="30"/>
      <c r="L1202" s="29"/>
      <c r="M1202" s="29"/>
      <c r="N1202" s="29"/>
      <c r="O1202" s="29"/>
      <c r="P1202" s="29"/>
      <c r="Q1202" s="29"/>
      <c r="R1202" s="29"/>
      <c r="S1202" s="29"/>
      <c r="T1202" s="29"/>
      <c r="U1202" s="31"/>
      <c r="V1202" s="31"/>
      <c r="W1202" s="31"/>
      <c r="X1202" s="31"/>
      <c r="Y1202" s="31"/>
    </row>
    <row r="1203" spans="1:25" x14ac:dyDescent="0.2">
      <c r="A1203" s="29"/>
      <c r="B1203" s="29"/>
      <c r="C1203" s="29"/>
      <c r="D1203" s="29"/>
      <c r="E1203" s="29"/>
      <c r="F1203" s="30"/>
      <c r="G1203" s="30"/>
      <c r="H1203" s="30"/>
      <c r="I1203" s="30"/>
      <c r="J1203" s="30"/>
      <c r="K1203" s="30"/>
      <c r="L1203" s="29"/>
      <c r="M1203" s="29"/>
      <c r="N1203" s="29"/>
      <c r="O1203" s="29"/>
      <c r="P1203" s="29"/>
      <c r="Q1203" s="29"/>
      <c r="R1203" s="29"/>
      <c r="S1203" s="29"/>
      <c r="T1203" s="29"/>
      <c r="U1203" s="31"/>
      <c r="V1203" s="31"/>
      <c r="W1203" s="31"/>
      <c r="X1203" s="31"/>
      <c r="Y1203" s="31"/>
    </row>
    <row r="1204" spans="1:25" x14ac:dyDescent="0.2">
      <c r="A1204" s="29"/>
      <c r="B1204" s="29"/>
      <c r="C1204" s="29"/>
      <c r="D1204" s="29"/>
      <c r="E1204" s="29"/>
      <c r="F1204" s="30"/>
      <c r="G1204" s="30"/>
      <c r="H1204" s="30"/>
      <c r="I1204" s="30"/>
      <c r="J1204" s="30"/>
      <c r="K1204" s="30"/>
      <c r="L1204" s="29"/>
      <c r="M1204" s="29"/>
      <c r="N1204" s="29"/>
      <c r="O1204" s="29"/>
      <c r="P1204" s="29"/>
      <c r="Q1204" s="29"/>
      <c r="R1204" s="29"/>
      <c r="S1204" s="29"/>
      <c r="T1204" s="29"/>
      <c r="U1204" s="31"/>
      <c r="V1204" s="31"/>
      <c r="W1204" s="31"/>
      <c r="X1204" s="31"/>
      <c r="Y1204" s="31"/>
    </row>
    <row r="1205" spans="1:25" x14ac:dyDescent="0.2">
      <c r="A1205" s="29"/>
      <c r="B1205" s="29"/>
      <c r="C1205" s="29"/>
      <c r="D1205" s="29"/>
      <c r="E1205" s="29"/>
      <c r="F1205" s="30"/>
      <c r="G1205" s="30"/>
      <c r="H1205" s="30"/>
      <c r="I1205" s="30"/>
      <c r="J1205" s="30"/>
      <c r="K1205" s="30"/>
      <c r="L1205" s="29"/>
      <c r="M1205" s="29"/>
      <c r="N1205" s="29"/>
      <c r="O1205" s="29"/>
      <c r="P1205" s="29"/>
      <c r="Q1205" s="29"/>
      <c r="R1205" s="29"/>
      <c r="S1205" s="29"/>
      <c r="T1205" s="29"/>
      <c r="U1205" s="31"/>
      <c r="V1205" s="31"/>
      <c r="W1205" s="31"/>
      <c r="X1205" s="31"/>
      <c r="Y1205" s="31"/>
    </row>
    <row r="1206" spans="1:25" x14ac:dyDescent="0.2">
      <c r="A1206" s="29"/>
      <c r="B1206" s="29"/>
      <c r="C1206" s="29"/>
      <c r="D1206" s="29"/>
      <c r="E1206" s="29"/>
      <c r="F1206" s="30"/>
      <c r="G1206" s="30"/>
      <c r="H1206" s="30"/>
      <c r="I1206" s="30"/>
      <c r="J1206" s="30"/>
      <c r="K1206" s="30"/>
      <c r="L1206" s="29"/>
      <c r="M1206" s="29"/>
      <c r="N1206" s="29"/>
      <c r="O1206" s="29"/>
      <c r="P1206" s="29"/>
      <c r="Q1206" s="29"/>
      <c r="R1206" s="29"/>
      <c r="S1206" s="29"/>
      <c r="T1206" s="29"/>
      <c r="U1206" s="31"/>
      <c r="V1206" s="31"/>
      <c r="W1206" s="31"/>
      <c r="X1206" s="31"/>
      <c r="Y1206" s="31"/>
    </row>
    <row r="1207" spans="1:25" x14ac:dyDescent="0.2">
      <c r="A1207" s="29"/>
      <c r="B1207" s="29"/>
      <c r="C1207" s="29"/>
      <c r="D1207" s="29"/>
      <c r="E1207" s="29"/>
      <c r="F1207" s="30"/>
      <c r="G1207" s="30"/>
      <c r="H1207" s="30"/>
      <c r="I1207" s="30"/>
      <c r="J1207" s="30"/>
      <c r="K1207" s="30"/>
      <c r="L1207" s="29"/>
      <c r="M1207" s="29"/>
      <c r="N1207" s="29"/>
      <c r="O1207" s="29"/>
      <c r="P1207" s="29"/>
      <c r="Q1207" s="29"/>
      <c r="R1207" s="29"/>
      <c r="S1207" s="29"/>
      <c r="T1207" s="29"/>
      <c r="U1207" s="31"/>
      <c r="V1207" s="31"/>
      <c r="W1207" s="31"/>
      <c r="X1207" s="31"/>
      <c r="Y1207" s="31"/>
    </row>
    <row r="1208" spans="1:25" x14ac:dyDescent="0.2">
      <c r="A1208" s="29"/>
      <c r="B1208" s="29"/>
      <c r="C1208" s="29"/>
      <c r="D1208" s="29"/>
      <c r="E1208" s="29"/>
      <c r="F1208" s="30"/>
      <c r="G1208" s="30"/>
      <c r="H1208" s="30"/>
      <c r="I1208" s="30"/>
      <c r="J1208" s="30"/>
      <c r="K1208" s="30"/>
      <c r="L1208" s="29"/>
      <c r="M1208" s="29"/>
      <c r="N1208" s="29"/>
      <c r="O1208" s="29"/>
      <c r="P1208" s="29"/>
      <c r="Q1208" s="29"/>
      <c r="R1208" s="29"/>
      <c r="S1208" s="29"/>
      <c r="T1208" s="29"/>
      <c r="U1208" s="31"/>
      <c r="V1208" s="31"/>
      <c r="W1208" s="31"/>
      <c r="X1208" s="31"/>
      <c r="Y1208" s="31"/>
    </row>
    <row r="1209" spans="1:25" x14ac:dyDescent="0.2">
      <c r="A1209" s="29"/>
      <c r="B1209" s="29"/>
      <c r="C1209" s="29"/>
      <c r="D1209" s="29"/>
      <c r="E1209" s="29"/>
      <c r="F1209" s="30"/>
      <c r="G1209" s="30"/>
      <c r="H1209" s="30"/>
      <c r="I1209" s="30"/>
      <c r="J1209" s="30"/>
      <c r="K1209" s="30"/>
      <c r="L1209" s="29"/>
      <c r="M1209" s="29"/>
      <c r="N1209" s="29"/>
      <c r="O1209" s="29"/>
      <c r="P1209" s="29"/>
      <c r="Q1209" s="29"/>
      <c r="R1209" s="29"/>
      <c r="S1209" s="29"/>
      <c r="T1209" s="29"/>
      <c r="U1209" s="31"/>
      <c r="V1209" s="31"/>
      <c r="W1209" s="31"/>
      <c r="X1209" s="31"/>
      <c r="Y1209" s="31"/>
    </row>
    <row r="1210" spans="1:25" x14ac:dyDescent="0.2">
      <c r="A1210" s="29"/>
      <c r="B1210" s="29"/>
      <c r="C1210" s="29"/>
      <c r="D1210" s="29"/>
      <c r="E1210" s="29"/>
      <c r="F1210" s="30"/>
      <c r="G1210" s="30"/>
      <c r="H1210" s="30"/>
      <c r="I1210" s="30"/>
      <c r="J1210" s="30"/>
      <c r="K1210" s="30"/>
      <c r="L1210" s="29"/>
      <c r="M1210" s="29"/>
      <c r="N1210" s="29"/>
      <c r="O1210" s="29"/>
      <c r="P1210" s="29"/>
      <c r="Q1210" s="29"/>
      <c r="R1210" s="29"/>
      <c r="S1210" s="29"/>
      <c r="T1210" s="29"/>
      <c r="U1210" s="31"/>
      <c r="V1210" s="31"/>
      <c r="W1210" s="31"/>
      <c r="X1210" s="31"/>
      <c r="Y1210" s="31"/>
    </row>
    <row r="1211" spans="1:25" x14ac:dyDescent="0.2">
      <c r="A1211" s="29"/>
      <c r="B1211" s="29"/>
      <c r="C1211" s="29"/>
      <c r="D1211" s="29"/>
      <c r="E1211" s="29"/>
      <c r="F1211" s="30"/>
      <c r="G1211" s="30"/>
      <c r="H1211" s="30"/>
      <c r="I1211" s="30"/>
      <c r="J1211" s="30"/>
      <c r="K1211" s="30"/>
      <c r="L1211" s="29"/>
      <c r="M1211" s="29"/>
      <c r="N1211" s="29"/>
      <c r="O1211" s="29"/>
      <c r="P1211" s="29"/>
      <c r="Q1211" s="29"/>
      <c r="R1211" s="29"/>
      <c r="S1211" s="29"/>
      <c r="T1211" s="29"/>
      <c r="U1211" s="31"/>
      <c r="V1211" s="31"/>
      <c r="W1211" s="31"/>
      <c r="X1211" s="31"/>
      <c r="Y1211" s="31"/>
    </row>
    <row r="1212" spans="1:25" x14ac:dyDescent="0.2">
      <c r="A1212" s="29"/>
      <c r="B1212" s="29"/>
      <c r="C1212" s="29"/>
      <c r="D1212" s="29"/>
      <c r="E1212" s="29"/>
      <c r="F1212" s="30"/>
      <c r="G1212" s="30"/>
      <c r="H1212" s="30"/>
      <c r="I1212" s="30"/>
      <c r="J1212" s="30"/>
      <c r="K1212" s="30"/>
      <c r="L1212" s="29"/>
      <c r="M1212" s="29"/>
      <c r="N1212" s="29"/>
      <c r="O1212" s="29"/>
      <c r="P1212" s="29"/>
      <c r="Q1212" s="29"/>
      <c r="R1212" s="29"/>
      <c r="S1212" s="29"/>
      <c r="T1212" s="29"/>
      <c r="U1212" s="31"/>
      <c r="V1212" s="31"/>
      <c r="W1212" s="31"/>
      <c r="X1212" s="31"/>
      <c r="Y1212" s="31"/>
    </row>
    <row r="1213" spans="1:25" x14ac:dyDescent="0.2">
      <c r="A1213" s="29"/>
      <c r="B1213" s="29"/>
      <c r="C1213" s="29"/>
      <c r="D1213" s="29"/>
      <c r="E1213" s="29"/>
      <c r="F1213" s="30"/>
      <c r="G1213" s="30"/>
      <c r="H1213" s="30"/>
      <c r="I1213" s="30"/>
      <c r="J1213" s="30"/>
      <c r="K1213" s="30"/>
      <c r="L1213" s="29"/>
      <c r="M1213" s="29"/>
      <c r="N1213" s="29"/>
      <c r="O1213" s="29"/>
      <c r="P1213" s="29"/>
      <c r="Q1213" s="29"/>
      <c r="R1213" s="29"/>
      <c r="S1213" s="29"/>
      <c r="T1213" s="29"/>
      <c r="U1213" s="31"/>
      <c r="V1213" s="31"/>
      <c r="W1213" s="31"/>
      <c r="X1213" s="31"/>
      <c r="Y1213" s="31"/>
    </row>
    <row r="1214" spans="1:25" x14ac:dyDescent="0.2">
      <c r="A1214" s="29"/>
      <c r="B1214" s="29"/>
      <c r="C1214" s="29"/>
      <c r="D1214" s="29"/>
      <c r="E1214" s="29"/>
      <c r="F1214" s="30"/>
      <c r="G1214" s="30"/>
      <c r="H1214" s="30"/>
      <c r="I1214" s="30"/>
      <c r="J1214" s="30"/>
      <c r="K1214" s="30"/>
      <c r="L1214" s="29"/>
      <c r="M1214" s="29"/>
      <c r="N1214" s="29"/>
      <c r="O1214" s="29"/>
      <c r="P1214" s="29"/>
      <c r="Q1214" s="29"/>
      <c r="R1214" s="29"/>
      <c r="S1214" s="29"/>
      <c r="T1214" s="29"/>
      <c r="U1214" s="31"/>
      <c r="V1214" s="31"/>
      <c r="W1214" s="31"/>
      <c r="X1214" s="31"/>
      <c r="Y1214" s="31"/>
    </row>
    <row r="1215" spans="1:25" x14ac:dyDescent="0.2">
      <c r="A1215" s="29"/>
      <c r="B1215" s="29"/>
      <c r="C1215" s="29"/>
      <c r="D1215" s="29"/>
      <c r="E1215" s="29"/>
      <c r="F1215" s="30"/>
      <c r="G1215" s="30"/>
      <c r="H1215" s="30"/>
      <c r="I1215" s="30"/>
      <c r="J1215" s="30"/>
      <c r="K1215" s="30"/>
      <c r="L1215" s="29"/>
      <c r="M1215" s="29"/>
      <c r="N1215" s="29"/>
      <c r="O1215" s="29"/>
      <c r="P1215" s="29"/>
      <c r="Q1215" s="29"/>
      <c r="R1215" s="29"/>
      <c r="S1215" s="29"/>
      <c r="T1215" s="29"/>
      <c r="U1215" s="31"/>
      <c r="V1215" s="31"/>
      <c r="W1215" s="31"/>
      <c r="X1215" s="31"/>
      <c r="Y1215" s="31"/>
    </row>
    <row r="1216" spans="1:25" x14ac:dyDescent="0.2">
      <c r="A1216" s="29"/>
      <c r="B1216" s="29"/>
      <c r="C1216" s="29"/>
      <c r="D1216" s="29"/>
      <c r="E1216" s="29"/>
      <c r="F1216" s="30"/>
      <c r="G1216" s="30"/>
      <c r="H1216" s="30"/>
      <c r="I1216" s="30"/>
      <c r="J1216" s="30"/>
      <c r="K1216" s="30"/>
      <c r="L1216" s="29"/>
      <c r="M1216" s="29"/>
      <c r="N1216" s="29"/>
      <c r="O1216" s="29"/>
      <c r="P1216" s="29"/>
      <c r="Q1216" s="29"/>
      <c r="R1216" s="29"/>
      <c r="S1216" s="29"/>
      <c r="T1216" s="29"/>
      <c r="U1216" s="31"/>
      <c r="V1216" s="31"/>
      <c r="W1216" s="31"/>
      <c r="X1216" s="31"/>
      <c r="Y1216" s="31"/>
    </row>
    <row r="1217" spans="1:25" x14ac:dyDescent="0.2">
      <c r="A1217" s="29"/>
      <c r="B1217" s="29"/>
      <c r="C1217" s="29"/>
      <c r="D1217" s="29"/>
      <c r="E1217" s="29"/>
      <c r="F1217" s="30"/>
      <c r="G1217" s="30"/>
      <c r="H1217" s="30"/>
      <c r="I1217" s="30"/>
      <c r="J1217" s="30"/>
      <c r="K1217" s="30"/>
      <c r="L1217" s="29"/>
      <c r="M1217" s="29"/>
      <c r="N1217" s="29"/>
      <c r="O1217" s="29"/>
      <c r="P1217" s="29"/>
      <c r="Q1217" s="29"/>
      <c r="R1217" s="29"/>
      <c r="S1217" s="29"/>
      <c r="T1217" s="29"/>
      <c r="U1217" s="31"/>
      <c r="V1217" s="31"/>
      <c r="W1217" s="31"/>
      <c r="X1217" s="31"/>
      <c r="Y1217" s="31"/>
    </row>
    <row r="1218" spans="1:25" x14ac:dyDescent="0.2">
      <c r="A1218" s="29"/>
      <c r="B1218" s="29"/>
      <c r="C1218" s="29"/>
      <c r="D1218" s="29"/>
      <c r="E1218" s="29"/>
      <c r="F1218" s="30"/>
      <c r="G1218" s="30"/>
      <c r="H1218" s="30"/>
      <c r="I1218" s="30"/>
      <c r="J1218" s="30"/>
      <c r="K1218" s="30"/>
      <c r="L1218" s="29"/>
      <c r="M1218" s="29"/>
      <c r="N1218" s="29"/>
      <c r="O1218" s="29"/>
      <c r="P1218" s="29"/>
      <c r="Q1218" s="29"/>
      <c r="R1218" s="29"/>
      <c r="S1218" s="29"/>
      <c r="T1218" s="29"/>
      <c r="U1218" s="31"/>
      <c r="V1218" s="31"/>
      <c r="W1218" s="31"/>
      <c r="X1218" s="31"/>
      <c r="Y1218" s="31"/>
    </row>
    <row r="1219" spans="1:25" x14ac:dyDescent="0.2">
      <c r="A1219" s="29"/>
      <c r="B1219" s="29"/>
      <c r="C1219" s="29"/>
      <c r="D1219" s="29"/>
      <c r="E1219" s="29"/>
      <c r="F1219" s="30"/>
      <c r="G1219" s="30"/>
      <c r="H1219" s="30"/>
      <c r="I1219" s="30"/>
      <c r="J1219" s="30"/>
      <c r="K1219" s="30"/>
      <c r="L1219" s="29"/>
      <c r="M1219" s="29"/>
      <c r="N1219" s="29"/>
      <c r="O1219" s="29"/>
      <c r="P1219" s="29"/>
      <c r="Q1219" s="29"/>
      <c r="R1219" s="29"/>
      <c r="S1219" s="29"/>
      <c r="T1219" s="29"/>
      <c r="U1219" s="31"/>
      <c r="V1219" s="31"/>
      <c r="W1219" s="31"/>
      <c r="X1219" s="31"/>
      <c r="Y1219" s="31"/>
    </row>
    <row r="1220" spans="1:25" x14ac:dyDescent="0.2">
      <c r="A1220" s="29"/>
      <c r="B1220" s="29"/>
      <c r="C1220" s="29"/>
      <c r="D1220" s="29"/>
      <c r="E1220" s="29"/>
      <c r="F1220" s="30"/>
      <c r="G1220" s="30"/>
      <c r="H1220" s="30"/>
      <c r="I1220" s="30"/>
      <c r="J1220" s="30"/>
      <c r="K1220" s="30"/>
      <c r="L1220" s="29"/>
      <c r="M1220" s="29"/>
      <c r="N1220" s="29"/>
      <c r="O1220" s="29"/>
      <c r="P1220" s="29"/>
      <c r="Q1220" s="29"/>
      <c r="R1220" s="29"/>
      <c r="S1220" s="29"/>
      <c r="T1220" s="29"/>
      <c r="U1220" s="31"/>
      <c r="V1220" s="31"/>
      <c r="W1220" s="31"/>
      <c r="X1220" s="31"/>
      <c r="Y1220" s="31"/>
    </row>
    <row r="1221" spans="1:25" x14ac:dyDescent="0.2">
      <c r="A1221" s="29"/>
      <c r="B1221" s="29"/>
      <c r="C1221" s="29"/>
      <c r="D1221" s="29"/>
      <c r="E1221" s="29"/>
      <c r="F1221" s="30"/>
      <c r="G1221" s="30"/>
      <c r="H1221" s="30"/>
      <c r="I1221" s="30"/>
      <c r="J1221" s="30"/>
      <c r="K1221" s="30"/>
      <c r="L1221" s="29"/>
      <c r="M1221" s="29"/>
      <c r="N1221" s="29"/>
      <c r="O1221" s="29"/>
      <c r="P1221" s="29"/>
      <c r="Q1221" s="29"/>
      <c r="R1221" s="29"/>
      <c r="S1221" s="29"/>
      <c r="T1221" s="29"/>
      <c r="U1221" s="31"/>
      <c r="V1221" s="31"/>
      <c r="W1221" s="31"/>
      <c r="X1221" s="31"/>
      <c r="Y1221" s="31"/>
    </row>
    <row r="1222" spans="1:25" x14ac:dyDescent="0.2">
      <c r="A1222" s="29"/>
      <c r="B1222" s="29"/>
      <c r="C1222" s="29"/>
      <c r="D1222" s="29"/>
      <c r="E1222" s="29"/>
      <c r="F1222" s="30"/>
      <c r="G1222" s="30"/>
      <c r="H1222" s="30"/>
      <c r="I1222" s="30"/>
      <c r="J1222" s="30"/>
      <c r="K1222" s="30"/>
      <c r="L1222" s="29"/>
      <c r="M1222" s="29"/>
      <c r="N1222" s="29"/>
      <c r="O1222" s="29"/>
      <c r="P1222" s="29"/>
      <c r="Q1222" s="29"/>
      <c r="R1222" s="29"/>
      <c r="S1222" s="29"/>
      <c r="T1222" s="29"/>
      <c r="U1222" s="31"/>
      <c r="V1222" s="31"/>
      <c r="W1222" s="31"/>
      <c r="X1222" s="31"/>
      <c r="Y1222" s="31"/>
    </row>
    <row r="1223" spans="1:25" x14ac:dyDescent="0.2">
      <c r="A1223" s="29"/>
      <c r="B1223" s="29"/>
      <c r="C1223" s="29"/>
      <c r="D1223" s="29"/>
      <c r="E1223" s="29"/>
      <c r="F1223" s="30"/>
      <c r="G1223" s="30"/>
      <c r="H1223" s="30"/>
      <c r="I1223" s="30"/>
      <c r="J1223" s="30"/>
      <c r="K1223" s="30"/>
      <c r="L1223" s="29"/>
      <c r="M1223" s="29"/>
      <c r="N1223" s="29"/>
      <c r="O1223" s="29"/>
      <c r="P1223" s="29"/>
      <c r="Q1223" s="29"/>
      <c r="R1223" s="29"/>
      <c r="S1223" s="29"/>
      <c r="T1223" s="29"/>
      <c r="U1223" s="31"/>
      <c r="V1223" s="31"/>
      <c r="W1223" s="31"/>
      <c r="X1223" s="31"/>
      <c r="Y1223" s="31"/>
    </row>
    <row r="1224" spans="1:25" x14ac:dyDescent="0.2">
      <c r="A1224" s="29"/>
      <c r="B1224" s="29"/>
      <c r="C1224" s="29"/>
      <c r="D1224" s="29"/>
      <c r="E1224" s="29"/>
      <c r="F1224" s="30"/>
      <c r="G1224" s="30"/>
      <c r="H1224" s="30"/>
      <c r="I1224" s="30"/>
      <c r="J1224" s="30"/>
      <c r="K1224" s="30"/>
      <c r="L1224" s="29"/>
      <c r="M1224" s="29"/>
      <c r="N1224" s="29"/>
      <c r="O1224" s="29"/>
      <c r="P1224" s="29"/>
      <c r="Q1224" s="29"/>
      <c r="R1224" s="29"/>
      <c r="S1224" s="29"/>
      <c r="T1224" s="29"/>
      <c r="U1224" s="31"/>
      <c r="V1224" s="31"/>
      <c r="W1224" s="31"/>
      <c r="X1224" s="31"/>
      <c r="Y1224" s="31"/>
    </row>
    <row r="1225" spans="1:25" x14ac:dyDescent="0.2">
      <c r="A1225" s="29"/>
      <c r="B1225" s="29"/>
      <c r="C1225" s="29"/>
      <c r="D1225" s="29"/>
      <c r="E1225" s="29"/>
      <c r="F1225" s="30"/>
      <c r="G1225" s="30"/>
      <c r="H1225" s="30"/>
      <c r="I1225" s="30"/>
      <c r="J1225" s="30"/>
      <c r="K1225" s="30"/>
      <c r="L1225" s="29"/>
      <c r="M1225" s="29"/>
      <c r="N1225" s="29"/>
      <c r="O1225" s="29"/>
      <c r="P1225" s="29"/>
      <c r="Q1225" s="29"/>
      <c r="R1225" s="29"/>
      <c r="S1225" s="29"/>
      <c r="T1225" s="29"/>
      <c r="U1225" s="31"/>
      <c r="V1225" s="31"/>
      <c r="W1225" s="31"/>
      <c r="X1225" s="31"/>
      <c r="Y1225" s="31"/>
    </row>
    <row r="1226" spans="1:25" x14ac:dyDescent="0.2">
      <c r="A1226" s="29"/>
      <c r="B1226" s="29"/>
      <c r="C1226" s="29"/>
      <c r="D1226" s="29"/>
      <c r="E1226" s="29"/>
      <c r="F1226" s="30"/>
      <c r="G1226" s="30"/>
      <c r="H1226" s="30"/>
      <c r="I1226" s="30"/>
      <c r="J1226" s="30"/>
      <c r="K1226" s="30"/>
      <c r="L1226" s="29"/>
      <c r="M1226" s="29"/>
      <c r="N1226" s="29"/>
      <c r="O1226" s="29"/>
      <c r="P1226" s="29"/>
      <c r="Q1226" s="29"/>
      <c r="R1226" s="29"/>
      <c r="S1226" s="29"/>
      <c r="T1226" s="29"/>
      <c r="U1226" s="31"/>
      <c r="V1226" s="31"/>
      <c r="W1226" s="31"/>
      <c r="X1226" s="31"/>
      <c r="Y1226" s="31"/>
    </row>
    <row r="1227" spans="1:25" x14ac:dyDescent="0.2">
      <c r="A1227" s="29"/>
      <c r="B1227" s="29"/>
      <c r="C1227" s="29"/>
      <c r="D1227" s="29"/>
      <c r="E1227" s="29"/>
      <c r="F1227" s="30"/>
      <c r="G1227" s="30"/>
      <c r="H1227" s="30"/>
      <c r="I1227" s="30"/>
      <c r="J1227" s="30"/>
      <c r="K1227" s="30"/>
      <c r="L1227" s="29"/>
      <c r="M1227" s="29"/>
      <c r="N1227" s="29"/>
      <c r="O1227" s="29"/>
      <c r="P1227" s="29"/>
      <c r="Q1227" s="29"/>
      <c r="R1227" s="29"/>
      <c r="S1227" s="29"/>
      <c r="T1227" s="29"/>
      <c r="U1227" s="31"/>
      <c r="V1227" s="31"/>
      <c r="W1227" s="31"/>
      <c r="X1227" s="31"/>
      <c r="Y1227" s="31"/>
    </row>
    <row r="1228" spans="1:25" x14ac:dyDescent="0.2">
      <c r="A1228" s="29"/>
      <c r="B1228" s="29"/>
      <c r="C1228" s="29"/>
      <c r="D1228" s="29"/>
      <c r="E1228" s="29"/>
      <c r="F1228" s="30"/>
      <c r="G1228" s="30"/>
      <c r="H1228" s="30"/>
      <c r="I1228" s="30"/>
      <c r="J1228" s="30"/>
      <c r="K1228" s="30"/>
      <c r="L1228" s="29"/>
      <c r="M1228" s="29"/>
      <c r="N1228" s="29"/>
      <c r="O1228" s="29"/>
      <c r="P1228" s="29"/>
      <c r="Q1228" s="29"/>
      <c r="R1228" s="29"/>
      <c r="S1228" s="29"/>
      <c r="T1228" s="29"/>
      <c r="U1228" s="31"/>
      <c r="V1228" s="31"/>
      <c r="W1228" s="31"/>
      <c r="X1228" s="31"/>
      <c r="Y1228" s="31"/>
    </row>
    <row r="1229" spans="1:25" x14ac:dyDescent="0.2">
      <c r="A1229" s="29"/>
      <c r="B1229" s="29"/>
      <c r="C1229" s="29"/>
      <c r="D1229" s="29"/>
      <c r="E1229" s="29"/>
      <c r="F1229" s="30"/>
      <c r="G1229" s="30"/>
      <c r="H1229" s="30"/>
      <c r="I1229" s="30"/>
      <c r="J1229" s="30"/>
      <c r="K1229" s="30"/>
      <c r="L1229" s="29"/>
      <c r="M1229" s="29"/>
      <c r="N1229" s="29"/>
      <c r="O1229" s="29"/>
      <c r="P1229" s="29"/>
      <c r="Q1229" s="29"/>
      <c r="R1229" s="29"/>
      <c r="S1229" s="29"/>
      <c r="T1229" s="29"/>
      <c r="U1229" s="31"/>
      <c r="V1229" s="31"/>
      <c r="W1229" s="31"/>
      <c r="X1229" s="31"/>
      <c r="Y1229" s="31"/>
    </row>
    <row r="1230" spans="1:25" x14ac:dyDescent="0.2">
      <c r="A1230" s="29"/>
      <c r="B1230" s="29"/>
      <c r="C1230" s="29"/>
      <c r="D1230" s="29"/>
      <c r="E1230" s="29"/>
      <c r="F1230" s="30"/>
      <c r="G1230" s="30"/>
      <c r="H1230" s="30"/>
      <c r="I1230" s="30"/>
      <c r="J1230" s="30"/>
      <c r="K1230" s="30"/>
      <c r="L1230" s="29"/>
      <c r="M1230" s="29"/>
      <c r="N1230" s="29"/>
      <c r="O1230" s="29"/>
      <c r="P1230" s="29"/>
      <c r="Q1230" s="29"/>
      <c r="R1230" s="29"/>
      <c r="S1230" s="29"/>
      <c r="T1230" s="29"/>
      <c r="U1230" s="31"/>
      <c r="V1230" s="31"/>
      <c r="W1230" s="31"/>
      <c r="X1230" s="31"/>
      <c r="Y1230" s="31"/>
    </row>
    <row r="1231" spans="1:25" x14ac:dyDescent="0.2">
      <c r="A1231" s="29"/>
      <c r="B1231" s="29"/>
      <c r="C1231" s="29"/>
      <c r="D1231" s="29"/>
      <c r="E1231" s="29"/>
      <c r="F1231" s="30"/>
      <c r="G1231" s="30"/>
      <c r="H1231" s="30"/>
      <c r="I1231" s="30"/>
      <c r="J1231" s="30"/>
      <c r="K1231" s="30"/>
      <c r="L1231" s="29"/>
      <c r="M1231" s="29"/>
      <c r="N1231" s="29"/>
      <c r="O1231" s="29"/>
      <c r="P1231" s="29"/>
      <c r="Q1231" s="29"/>
      <c r="R1231" s="29"/>
      <c r="S1231" s="29"/>
      <c r="T1231" s="29"/>
      <c r="U1231" s="31"/>
      <c r="V1231" s="31"/>
      <c r="W1231" s="31"/>
      <c r="X1231" s="31"/>
      <c r="Y1231" s="31"/>
    </row>
    <row r="1232" spans="1:25" x14ac:dyDescent="0.2">
      <c r="A1232" s="29"/>
      <c r="B1232" s="29"/>
      <c r="C1232" s="29"/>
      <c r="D1232" s="29"/>
      <c r="E1232" s="29"/>
      <c r="F1232" s="30"/>
      <c r="G1232" s="30"/>
      <c r="H1232" s="30"/>
      <c r="I1232" s="30"/>
      <c r="J1232" s="30"/>
      <c r="K1232" s="30"/>
      <c r="L1232" s="29"/>
      <c r="M1232" s="29"/>
      <c r="N1232" s="29"/>
      <c r="O1232" s="29"/>
      <c r="P1232" s="29"/>
      <c r="Q1232" s="29"/>
      <c r="R1232" s="29"/>
      <c r="S1232" s="29"/>
      <c r="T1232" s="29"/>
      <c r="U1232" s="31"/>
      <c r="V1232" s="31"/>
      <c r="W1232" s="31"/>
      <c r="X1232" s="31"/>
      <c r="Y1232" s="31"/>
    </row>
    <row r="1233" spans="1:25" x14ac:dyDescent="0.2">
      <c r="A1233" s="29"/>
      <c r="B1233" s="29"/>
      <c r="C1233" s="29"/>
      <c r="D1233" s="29"/>
      <c r="E1233" s="29"/>
      <c r="F1233" s="30"/>
      <c r="G1233" s="30"/>
      <c r="H1233" s="30"/>
      <c r="I1233" s="30"/>
      <c r="J1233" s="30"/>
      <c r="K1233" s="30"/>
      <c r="L1233" s="29"/>
      <c r="M1233" s="29"/>
      <c r="N1233" s="29"/>
      <c r="O1233" s="29"/>
      <c r="P1233" s="29"/>
      <c r="Q1233" s="29"/>
      <c r="R1233" s="29"/>
      <c r="S1233" s="29"/>
      <c r="T1233" s="29"/>
      <c r="U1233" s="31"/>
      <c r="V1233" s="31"/>
      <c r="W1233" s="31"/>
      <c r="X1233" s="31"/>
      <c r="Y1233" s="31"/>
    </row>
    <row r="1234" spans="1:25" x14ac:dyDescent="0.2">
      <c r="A1234" s="29"/>
      <c r="B1234" s="29"/>
      <c r="C1234" s="29"/>
      <c r="D1234" s="29"/>
      <c r="E1234" s="29"/>
      <c r="F1234" s="30"/>
      <c r="G1234" s="30"/>
      <c r="H1234" s="30"/>
      <c r="I1234" s="30"/>
      <c r="J1234" s="30"/>
      <c r="K1234" s="30"/>
      <c r="L1234" s="29"/>
      <c r="M1234" s="29"/>
      <c r="N1234" s="29"/>
      <c r="O1234" s="29"/>
      <c r="P1234" s="29"/>
      <c r="Q1234" s="29"/>
      <c r="R1234" s="29"/>
      <c r="S1234" s="29"/>
      <c r="T1234" s="29"/>
      <c r="U1234" s="31"/>
      <c r="V1234" s="31"/>
      <c r="W1234" s="31"/>
      <c r="X1234" s="31"/>
      <c r="Y1234" s="31"/>
    </row>
    <row r="1235" spans="1:25" x14ac:dyDescent="0.2">
      <c r="A1235" s="29"/>
      <c r="B1235" s="29"/>
      <c r="C1235" s="29"/>
      <c r="D1235" s="29"/>
      <c r="E1235" s="29"/>
      <c r="F1235" s="30"/>
      <c r="G1235" s="30"/>
      <c r="H1235" s="30"/>
      <c r="I1235" s="30"/>
      <c r="J1235" s="30"/>
      <c r="K1235" s="30"/>
      <c r="L1235" s="29"/>
      <c r="M1235" s="29"/>
      <c r="N1235" s="29"/>
      <c r="O1235" s="29"/>
      <c r="P1235" s="29"/>
      <c r="Q1235" s="29"/>
      <c r="R1235" s="29"/>
      <c r="S1235" s="29"/>
      <c r="T1235" s="29"/>
      <c r="U1235" s="31"/>
      <c r="V1235" s="31"/>
      <c r="W1235" s="31"/>
      <c r="X1235" s="31"/>
      <c r="Y1235" s="31"/>
    </row>
    <row r="1236" spans="1:25" x14ac:dyDescent="0.2">
      <c r="A1236" s="29"/>
      <c r="B1236" s="29"/>
      <c r="C1236" s="29"/>
      <c r="D1236" s="29"/>
      <c r="E1236" s="29"/>
      <c r="F1236" s="30"/>
      <c r="G1236" s="30"/>
      <c r="H1236" s="30"/>
      <c r="I1236" s="30"/>
      <c r="J1236" s="30"/>
      <c r="K1236" s="30"/>
      <c r="L1236" s="29"/>
      <c r="M1236" s="29"/>
      <c r="N1236" s="29"/>
      <c r="O1236" s="29"/>
      <c r="P1236" s="29"/>
      <c r="Q1236" s="29"/>
      <c r="R1236" s="29"/>
      <c r="S1236" s="29"/>
      <c r="T1236" s="29"/>
      <c r="U1236" s="31"/>
      <c r="V1236" s="31"/>
      <c r="W1236" s="31"/>
      <c r="X1236" s="31"/>
      <c r="Y1236" s="31"/>
    </row>
    <row r="1237" spans="1:25" x14ac:dyDescent="0.2">
      <c r="A1237" s="29"/>
      <c r="B1237" s="29"/>
      <c r="C1237" s="29"/>
      <c r="D1237" s="29"/>
      <c r="E1237" s="29"/>
      <c r="F1237" s="30"/>
      <c r="G1237" s="30"/>
      <c r="H1237" s="30"/>
      <c r="I1237" s="30"/>
      <c r="J1237" s="30"/>
      <c r="K1237" s="30"/>
      <c r="L1237" s="29"/>
      <c r="M1237" s="29"/>
      <c r="N1237" s="29"/>
      <c r="O1237" s="29"/>
      <c r="P1237" s="29"/>
      <c r="Q1237" s="29"/>
      <c r="R1237" s="29"/>
      <c r="S1237" s="29"/>
      <c r="T1237" s="29"/>
      <c r="U1237" s="31"/>
      <c r="V1237" s="31"/>
      <c r="W1237" s="31"/>
      <c r="X1237" s="31"/>
      <c r="Y1237" s="31"/>
    </row>
    <row r="1238" spans="1:25" x14ac:dyDescent="0.2">
      <c r="A1238" s="29"/>
      <c r="B1238" s="29"/>
      <c r="C1238" s="29"/>
      <c r="D1238" s="29"/>
      <c r="E1238" s="29"/>
      <c r="F1238" s="30"/>
      <c r="G1238" s="30"/>
      <c r="H1238" s="30"/>
      <c r="I1238" s="30"/>
      <c r="J1238" s="30"/>
      <c r="K1238" s="30"/>
      <c r="L1238" s="29"/>
      <c r="M1238" s="29"/>
      <c r="N1238" s="29"/>
      <c r="O1238" s="29"/>
      <c r="P1238" s="29"/>
      <c r="Q1238" s="29"/>
      <c r="R1238" s="29"/>
      <c r="S1238" s="29"/>
      <c r="T1238" s="29"/>
      <c r="U1238" s="31"/>
      <c r="V1238" s="31"/>
      <c r="W1238" s="31"/>
      <c r="X1238" s="31"/>
      <c r="Y1238" s="31"/>
    </row>
    <row r="1239" spans="1:25" x14ac:dyDescent="0.2">
      <c r="A1239" s="29"/>
      <c r="B1239" s="29"/>
      <c r="C1239" s="29"/>
      <c r="D1239" s="29"/>
      <c r="E1239" s="29"/>
      <c r="F1239" s="30"/>
      <c r="G1239" s="30"/>
      <c r="H1239" s="30"/>
      <c r="I1239" s="30"/>
      <c r="J1239" s="30"/>
      <c r="K1239" s="30"/>
      <c r="L1239" s="29"/>
      <c r="M1239" s="29"/>
      <c r="N1239" s="29"/>
      <c r="O1239" s="29"/>
      <c r="P1239" s="29"/>
      <c r="Q1239" s="29"/>
      <c r="R1239" s="29"/>
      <c r="S1239" s="29"/>
      <c r="T1239" s="29"/>
      <c r="U1239" s="31"/>
      <c r="V1239" s="31"/>
      <c r="W1239" s="31"/>
      <c r="X1239" s="31"/>
      <c r="Y1239" s="31"/>
    </row>
    <row r="1240" spans="1:25" x14ac:dyDescent="0.2">
      <c r="A1240" s="29"/>
      <c r="B1240" s="29"/>
      <c r="C1240" s="29"/>
      <c r="D1240" s="29"/>
      <c r="E1240" s="29"/>
      <c r="F1240" s="30"/>
      <c r="G1240" s="30"/>
      <c r="H1240" s="30"/>
      <c r="I1240" s="30"/>
      <c r="J1240" s="30"/>
      <c r="K1240" s="30"/>
      <c r="L1240" s="29"/>
      <c r="M1240" s="29"/>
      <c r="N1240" s="29"/>
      <c r="O1240" s="29"/>
      <c r="P1240" s="29"/>
      <c r="Q1240" s="29"/>
      <c r="R1240" s="29"/>
      <c r="S1240" s="29"/>
      <c r="T1240" s="29"/>
      <c r="U1240" s="31"/>
      <c r="V1240" s="31"/>
      <c r="W1240" s="31"/>
      <c r="X1240" s="31"/>
      <c r="Y1240" s="31"/>
    </row>
    <row r="1241" spans="1:25" x14ac:dyDescent="0.2">
      <c r="A1241" s="29"/>
      <c r="B1241" s="29"/>
      <c r="C1241" s="29"/>
      <c r="D1241" s="29"/>
      <c r="E1241" s="29"/>
      <c r="F1241" s="30"/>
      <c r="G1241" s="30"/>
      <c r="H1241" s="30"/>
      <c r="I1241" s="30"/>
      <c r="J1241" s="30"/>
      <c r="K1241" s="30"/>
      <c r="L1241" s="29"/>
      <c r="M1241" s="29"/>
      <c r="N1241" s="29"/>
      <c r="O1241" s="29"/>
      <c r="P1241" s="29"/>
      <c r="Q1241" s="29"/>
      <c r="R1241" s="29"/>
      <c r="S1241" s="29"/>
      <c r="T1241" s="29"/>
      <c r="U1241" s="31"/>
      <c r="V1241" s="31"/>
      <c r="W1241" s="31"/>
      <c r="X1241" s="31"/>
      <c r="Y1241" s="31"/>
    </row>
    <row r="1242" spans="1:25" x14ac:dyDescent="0.2">
      <c r="A1242" s="29"/>
      <c r="B1242" s="29"/>
      <c r="C1242" s="29"/>
      <c r="D1242" s="29"/>
      <c r="E1242" s="29"/>
      <c r="F1242" s="30"/>
      <c r="G1242" s="30"/>
      <c r="H1242" s="30"/>
      <c r="I1242" s="30"/>
      <c r="J1242" s="30"/>
      <c r="K1242" s="30"/>
      <c r="L1242" s="29"/>
      <c r="M1242" s="29"/>
      <c r="N1242" s="29"/>
      <c r="O1242" s="29"/>
      <c r="P1242" s="29"/>
      <c r="Q1242" s="29"/>
      <c r="R1242" s="29"/>
      <c r="S1242" s="29"/>
      <c r="T1242" s="29"/>
      <c r="U1242" s="31"/>
      <c r="V1242" s="31"/>
      <c r="W1242" s="31"/>
      <c r="X1242" s="31"/>
      <c r="Y1242" s="31"/>
    </row>
    <row r="1243" spans="1:25" x14ac:dyDescent="0.2">
      <c r="A1243" s="29"/>
      <c r="B1243" s="29"/>
      <c r="C1243" s="29"/>
      <c r="D1243" s="29"/>
      <c r="E1243" s="29"/>
      <c r="F1243" s="30"/>
      <c r="G1243" s="30"/>
      <c r="H1243" s="30"/>
      <c r="I1243" s="30"/>
      <c r="J1243" s="30"/>
      <c r="K1243" s="30"/>
      <c r="L1243" s="29"/>
      <c r="M1243" s="29"/>
      <c r="N1243" s="29"/>
      <c r="O1243" s="29"/>
      <c r="P1243" s="29"/>
      <c r="Q1243" s="29"/>
      <c r="R1243" s="29"/>
      <c r="S1243" s="29"/>
      <c r="T1243" s="29"/>
      <c r="U1243" s="31"/>
      <c r="V1243" s="31"/>
      <c r="W1243" s="31"/>
      <c r="X1243" s="31"/>
      <c r="Y1243" s="31"/>
    </row>
    <row r="1244" spans="1:25" x14ac:dyDescent="0.2">
      <c r="A1244" s="29"/>
      <c r="B1244" s="29"/>
      <c r="C1244" s="29"/>
      <c r="D1244" s="29"/>
      <c r="E1244" s="29"/>
      <c r="F1244" s="30"/>
      <c r="G1244" s="30"/>
      <c r="H1244" s="30"/>
      <c r="I1244" s="30"/>
      <c r="J1244" s="30"/>
      <c r="K1244" s="30"/>
      <c r="L1244" s="29"/>
      <c r="M1244" s="29"/>
      <c r="N1244" s="29"/>
      <c r="O1244" s="29"/>
      <c r="P1244" s="29"/>
      <c r="Q1244" s="29"/>
      <c r="R1244" s="29"/>
      <c r="S1244" s="29"/>
      <c r="T1244" s="29"/>
      <c r="U1244" s="31"/>
      <c r="V1244" s="31"/>
      <c r="W1244" s="31"/>
      <c r="X1244" s="31"/>
      <c r="Y1244" s="31"/>
    </row>
    <row r="1245" spans="1:25" x14ac:dyDescent="0.2">
      <c r="A1245" s="29"/>
      <c r="B1245" s="29"/>
      <c r="C1245" s="29"/>
      <c r="D1245" s="29"/>
      <c r="E1245" s="29"/>
      <c r="F1245" s="30"/>
      <c r="G1245" s="30"/>
      <c r="H1245" s="30"/>
      <c r="I1245" s="30"/>
      <c r="J1245" s="30"/>
      <c r="K1245" s="30"/>
      <c r="L1245" s="29"/>
      <c r="M1245" s="29"/>
      <c r="N1245" s="29"/>
      <c r="O1245" s="29"/>
      <c r="P1245" s="29"/>
      <c r="Q1245" s="29"/>
      <c r="R1245" s="29"/>
      <c r="S1245" s="29"/>
      <c r="T1245" s="29"/>
      <c r="U1245" s="31"/>
      <c r="V1245" s="31"/>
      <c r="W1245" s="31"/>
      <c r="X1245" s="31"/>
      <c r="Y1245" s="31"/>
    </row>
    <row r="1246" spans="1:25" x14ac:dyDescent="0.2">
      <c r="A1246" s="29"/>
      <c r="B1246" s="29"/>
      <c r="C1246" s="29"/>
      <c r="D1246" s="29"/>
      <c r="E1246" s="29"/>
      <c r="F1246" s="30"/>
      <c r="G1246" s="30"/>
      <c r="H1246" s="30"/>
      <c r="I1246" s="30"/>
      <c r="J1246" s="30"/>
      <c r="K1246" s="30"/>
      <c r="L1246" s="29"/>
      <c r="M1246" s="29"/>
      <c r="N1246" s="29"/>
      <c r="O1246" s="29"/>
      <c r="P1246" s="29"/>
      <c r="Q1246" s="29"/>
      <c r="R1246" s="29"/>
      <c r="S1246" s="29"/>
      <c r="T1246" s="29"/>
      <c r="U1246" s="31"/>
      <c r="V1246" s="31"/>
      <c r="W1246" s="31"/>
      <c r="X1246" s="31"/>
      <c r="Y1246" s="31"/>
    </row>
    <row r="1247" spans="1:25" x14ac:dyDescent="0.2">
      <c r="A1247" s="29"/>
      <c r="B1247" s="29"/>
      <c r="C1247" s="29"/>
      <c r="D1247" s="29"/>
      <c r="E1247" s="29"/>
      <c r="F1247" s="30"/>
      <c r="G1247" s="30"/>
      <c r="H1247" s="30"/>
      <c r="I1247" s="30"/>
      <c r="J1247" s="30"/>
      <c r="K1247" s="30"/>
      <c r="L1247" s="29"/>
      <c r="M1247" s="29"/>
      <c r="N1247" s="29"/>
      <c r="O1247" s="29"/>
      <c r="P1247" s="29"/>
      <c r="Q1247" s="29"/>
      <c r="R1247" s="29"/>
      <c r="S1247" s="29"/>
      <c r="T1247" s="29"/>
      <c r="U1247" s="31"/>
      <c r="V1247" s="31"/>
      <c r="W1247" s="31"/>
      <c r="X1247" s="31"/>
      <c r="Y1247" s="31"/>
    </row>
    <row r="1248" spans="1:25" x14ac:dyDescent="0.2">
      <c r="A1248" s="29"/>
      <c r="B1248" s="29"/>
      <c r="C1248" s="29"/>
      <c r="D1248" s="29"/>
      <c r="E1248" s="29"/>
      <c r="F1248" s="30"/>
      <c r="G1248" s="30"/>
      <c r="H1248" s="30"/>
      <c r="I1248" s="30"/>
      <c r="J1248" s="30"/>
      <c r="K1248" s="30"/>
      <c r="L1248" s="29"/>
      <c r="M1248" s="29"/>
      <c r="N1248" s="29"/>
      <c r="O1248" s="29"/>
      <c r="P1248" s="29"/>
      <c r="Q1248" s="29"/>
      <c r="R1248" s="29"/>
      <c r="S1248" s="29"/>
      <c r="T1248" s="29"/>
      <c r="U1248" s="31"/>
      <c r="V1248" s="31"/>
      <c r="W1248" s="31"/>
      <c r="X1248" s="31"/>
      <c r="Y1248" s="31"/>
    </row>
    <row r="1249" spans="1:25" x14ac:dyDescent="0.2">
      <c r="A1249" s="29"/>
      <c r="B1249" s="29"/>
      <c r="C1249" s="29"/>
      <c r="D1249" s="29"/>
      <c r="E1249" s="29"/>
      <c r="F1249" s="30"/>
      <c r="G1249" s="30"/>
      <c r="H1249" s="30"/>
      <c r="I1249" s="30"/>
      <c r="J1249" s="30"/>
      <c r="K1249" s="30"/>
      <c r="L1249" s="29"/>
      <c r="M1249" s="29"/>
      <c r="N1249" s="29"/>
      <c r="O1249" s="29"/>
      <c r="P1249" s="29"/>
      <c r="Q1249" s="29"/>
      <c r="R1249" s="29"/>
      <c r="S1249" s="29"/>
      <c r="T1249" s="29"/>
      <c r="U1249" s="31"/>
      <c r="V1249" s="31"/>
      <c r="W1249" s="31"/>
      <c r="X1249" s="31"/>
      <c r="Y1249" s="31"/>
    </row>
    <row r="1250" spans="1:25" x14ac:dyDescent="0.2">
      <c r="A1250" s="29"/>
      <c r="B1250" s="29"/>
      <c r="C1250" s="29"/>
      <c r="D1250" s="29"/>
      <c r="E1250" s="29"/>
      <c r="F1250" s="30"/>
      <c r="G1250" s="30"/>
      <c r="H1250" s="30"/>
      <c r="I1250" s="30"/>
      <c r="J1250" s="30"/>
      <c r="K1250" s="30"/>
      <c r="L1250" s="29"/>
      <c r="M1250" s="29"/>
      <c r="N1250" s="29"/>
      <c r="O1250" s="29"/>
      <c r="P1250" s="29"/>
      <c r="Q1250" s="29"/>
      <c r="R1250" s="29"/>
      <c r="S1250" s="29"/>
      <c r="T1250" s="29"/>
      <c r="U1250" s="31"/>
      <c r="V1250" s="31"/>
      <c r="W1250" s="31"/>
      <c r="X1250" s="31"/>
      <c r="Y1250" s="31"/>
    </row>
    <row r="1251" spans="1:25" x14ac:dyDescent="0.2">
      <c r="A1251" s="29"/>
      <c r="B1251" s="29"/>
      <c r="C1251" s="29"/>
      <c r="D1251" s="29"/>
      <c r="E1251" s="29"/>
      <c r="F1251" s="30"/>
      <c r="G1251" s="30"/>
      <c r="H1251" s="30"/>
      <c r="I1251" s="30"/>
      <c r="J1251" s="30"/>
      <c r="K1251" s="30"/>
      <c r="L1251" s="29"/>
      <c r="M1251" s="29"/>
      <c r="N1251" s="29"/>
      <c r="O1251" s="29"/>
      <c r="P1251" s="29"/>
      <c r="Q1251" s="29"/>
      <c r="R1251" s="29"/>
      <c r="S1251" s="29"/>
      <c r="T1251" s="29"/>
      <c r="U1251" s="31"/>
      <c r="V1251" s="31"/>
      <c r="W1251" s="31"/>
      <c r="X1251" s="31"/>
      <c r="Y1251" s="31"/>
    </row>
    <row r="1252" spans="1:25" x14ac:dyDescent="0.2">
      <c r="A1252" s="29"/>
      <c r="B1252" s="29"/>
      <c r="C1252" s="29"/>
      <c r="D1252" s="29"/>
      <c r="E1252" s="29"/>
      <c r="F1252" s="30"/>
      <c r="G1252" s="30"/>
      <c r="H1252" s="30"/>
      <c r="I1252" s="30"/>
      <c r="J1252" s="30"/>
      <c r="K1252" s="30"/>
      <c r="L1252" s="29"/>
      <c r="M1252" s="29"/>
      <c r="N1252" s="29"/>
      <c r="O1252" s="29"/>
      <c r="P1252" s="29"/>
      <c r="Q1252" s="29"/>
      <c r="R1252" s="29"/>
      <c r="S1252" s="29"/>
      <c r="T1252" s="29"/>
      <c r="U1252" s="31"/>
      <c r="V1252" s="31"/>
      <c r="W1252" s="31"/>
      <c r="X1252" s="31"/>
      <c r="Y1252" s="31"/>
    </row>
    <row r="1253" spans="1:25" x14ac:dyDescent="0.2">
      <c r="A1253" s="29"/>
      <c r="B1253" s="29"/>
      <c r="C1253" s="29"/>
      <c r="D1253" s="29"/>
      <c r="E1253" s="29"/>
      <c r="F1253" s="30"/>
      <c r="G1253" s="30"/>
      <c r="H1253" s="30"/>
      <c r="I1253" s="30"/>
      <c r="J1253" s="30"/>
      <c r="K1253" s="30"/>
      <c r="L1253" s="29"/>
      <c r="M1253" s="29"/>
      <c r="N1253" s="29"/>
      <c r="O1253" s="29"/>
      <c r="P1253" s="29"/>
      <c r="Q1253" s="29"/>
      <c r="R1253" s="29"/>
      <c r="S1253" s="29"/>
      <c r="T1253" s="29"/>
      <c r="U1253" s="31"/>
      <c r="V1253" s="31"/>
      <c r="W1253" s="31"/>
      <c r="X1253" s="31"/>
      <c r="Y1253" s="31"/>
    </row>
    <row r="1254" spans="1:25" x14ac:dyDescent="0.2">
      <c r="A1254" s="29"/>
      <c r="B1254" s="29"/>
      <c r="C1254" s="29"/>
      <c r="D1254" s="29"/>
      <c r="E1254" s="29"/>
      <c r="F1254" s="30"/>
      <c r="G1254" s="30"/>
      <c r="H1254" s="30"/>
      <c r="I1254" s="30"/>
      <c r="J1254" s="30"/>
      <c r="K1254" s="30"/>
      <c r="L1254" s="29"/>
      <c r="M1254" s="29"/>
      <c r="N1254" s="29"/>
      <c r="O1254" s="29"/>
      <c r="P1254" s="29"/>
      <c r="Q1254" s="29"/>
      <c r="R1254" s="29"/>
      <c r="S1254" s="29"/>
      <c r="T1254" s="29"/>
      <c r="U1254" s="31"/>
      <c r="V1254" s="31"/>
      <c r="W1254" s="31"/>
      <c r="X1254" s="31"/>
      <c r="Y1254" s="31"/>
    </row>
    <row r="1255" spans="1:25" x14ac:dyDescent="0.2">
      <c r="A1255" s="29"/>
      <c r="B1255" s="29"/>
      <c r="C1255" s="29"/>
      <c r="D1255" s="29"/>
      <c r="E1255" s="29"/>
      <c r="F1255" s="30"/>
      <c r="G1255" s="30"/>
      <c r="H1255" s="30"/>
      <c r="I1255" s="30"/>
      <c r="J1255" s="30"/>
      <c r="K1255" s="30"/>
      <c r="L1255" s="29"/>
      <c r="M1255" s="29"/>
      <c r="N1255" s="29"/>
      <c r="O1255" s="29"/>
      <c r="P1255" s="29"/>
      <c r="Q1255" s="29"/>
      <c r="R1255" s="29"/>
      <c r="S1255" s="29"/>
      <c r="T1255" s="29"/>
      <c r="U1255" s="31"/>
      <c r="V1255" s="31"/>
      <c r="W1255" s="31"/>
      <c r="X1255" s="31"/>
      <c r="Y1255" s="31"/>
    </row>
    <row r="1256" spans="1:25" x14ac:dyDescent="0.2">
      <c r="A1256" s="29"/>
      <c r="B1256" s="29"/>
      <c r="C1256" s="29"/>
      <c r="D1256" s="29"/>
      <c r="E1256" s="29"/>
      <c r="F1256" s="30"/>
      <c r="G1256" s="30"/>
      <c r="H1256" s="30"/>
      <c r="I1256" s="30"/>
      <c r="J1256" s="30"/>
      <c r="K1256" s="30"/>
      <c r="L1256" s="29"/>
      <c r="M1256" s="29"/>
      <c r="N1256" s="29"/>
      <c r="O1256" s="29"/>
      <c r="P1256" s="29"/>
      <c r="Q1256" s="29"/>
      <c r="R1256" s="29"/>
      <c r="S1256" s="29"/>
      <c r="T1256" s="29"/>
      <c r="U1256" s="31"/>
      <c r="V1256" s="31"/>
      <c r="W1256" s="31"/>
      <c r="X1256" s="31"/>
      <c r="Y1256" s="31"/>
    </row>
    <row r="1257" spans="1:25" x14ac:dyDescent="0.2">
      <c r="A1257" s="29"/>
      <c r="B1257" s="29"/>
      <c r="C1257" s="29"/>
      <c r="D1257" s="29"/>
      <c r="E1257" s="29"/>
      <c r="F1257" s="30"/>
      <c r="G1257" s="30"/>
      <c r="H1257" s="30"/>
      <c r="I1257" s="30"/>
      <c r="J1257" s="30"/>
      <c r="K1257" s="30"/>
      <c r="L1257" s="29"/>
      <c r="M1257" s="29"/>
      <c r="N1257" s="29"/>
      <c r="O1257" s="29"/>
      <c r="P1257" s="29"/>
      <c r="Q1257" s="29"/>
      <c r="R1257" s="29"/>
      <c r="S1257" s="29"/>
      <c r="T1257" s="29"/>
      <c r="U1257" s="31"/>
      <c r="V1257" s="31"/>
      <c r="W1257" s="31"/>
      <c r="X1257" s="31"/>
      <c r="Y1257" s="31"/>
    </row>
    <row r="1258" spans="1:25" x14ac:dyDescent="0.2">
      <c r="A1258" s="29"/>
      <c r="B1258" s="29"/>
      <c r="C1258" s="29"/>
      <c r="D1258" s="29"/>
      <c r="E1258" s="29"/>
      <c r="F1258" s="30"/>
      <c r="G1258" s="30"/>
      <c r="H1258" s="30"/>
      <c r="I1258" s="30"/>
      <c r="J1258" s="30"/>
      <c r="K1258" s="30"/>
      <c r="L1258" s="29"/>
      <c r="M1258" s="29"/>
      <c r="N1258" s="29"/>
      <c r="O1258" s="29"/>
      <c r="P1258" s="29"/>
      <c r="Q1258" s="29"/>
      <c r="R1258" s="29"/>
      <c r="S1258" s="29"/>
      <c r="T1258" s="29"/>
      <c r="U1258" s="31"/>
      <c r="V1258" s="31"/>
      <c r="W1258" s="31"/>
      <c r="X1258" s="31"/>
      <c r="Y1258" s="31"/>
    </row>
    <row r="1259" spans="1:25" x14ac:dyDescent="0.2">
      <c r="A1259" s="29"/>
      <c r="B1259" s="29"/>
      <c r="C1259" s="29"/>
      <c r="D1259" s="29"/>
      <c r="E1259" s="29"/>
      <c r="F1259" s="30"/>
      <c r="G1259" s="30"/>
      <c r="H1259" s="30"/>
      <c r="I1259" s="30"/>
      <c r="J1259" s="30"/>
      <c r="K1259" s="30"/>
      <c r="L1259" s="29"/>
      <c r="M1259" s="29"/>
      <c r="N1259" s="29"/>
      <c r="O1259" s="29"/>
      <c r="P1259" s="29"/>
      <c r="Q1259" s="29"/>
      <c r="R1259" s="29"/>
      <c r="S1259" s="29"/>
      <c r="T1259" s="29"/>
      <c r="U1259" s="31"/>
      <c r="V1259" s="31"/>
      <c r="W1259" s="31"/>
      <c r="X1259" s="31"/>
      <c r="Y1259" s="31"/>
    </row>
    <row r="1260" spans="1:25" x14ac:dyDescent="0.2">
      <c r="A1260" s="29"/>
      <c r="B1260" s="29"/>
      <c r="C1260" s="29"/>
      <c r="D1260" s="29"/>
      <c r="E1260" s="29"/>
      <c r="F1260" s="30"/>
      <c r="G1260" s="30"/>
      <c r="H1260" s="30"/>
      <c r="I1260" s="30"/>
      <c r="J1260" s="30"/>
      <c r="K1260" s="30"/>
      <c r="L1260" s="29"/>
      <c r="M1260" s="29"/>
      <c r="N1260" s="29"/>
      <c r="O1260" s="29"/>
      <c r="P1260" s="29"/>
      <c r="Q1260" s="29"/>
      <c r="R1260" s="29"/>
      <c r="S1260" s="29"/>
      <c r="T1260" s="29"/>
      <c r="U1260" s="31"/>
      <c r="V1260" s="31"/>
      <c r="W1260" s="31"/>
      <c r="X1260" s="31"/>
      <c r="Y1260" s="31"/>
    </row>
    <row r="1261" spans="1:25" x14ac:dyDescent="0.2">
      <c r="A1261" s="29"/>
      <c r="B1261" s="29"/>
      <c r="C1261" s="29"/>
      <c r="D1261" s="29"/>
      <c r="E1261" s="29"/>
      <c r="F1261" s="30"/>
      <c r="G1261" s="30"/>
      <c r="H1261" s="30"/>
      <c r="I1261" s="30"/>
      <c r="J1261" s="30"/>
      <c r="K1261" s="30"/>
      <c r="L1261" s="29"/>
      <c r="M1261" s="29"/>
      <c r="N1261" s="29"/>
      <c r="O1261" s="29"/>
      <c r="P1261" s="29"/>
      <c r="Q1261" s="29"/>
      <c r="R1261" s="29"/>
      <c r="S1261" s="29"/>
      <c r="T1261" s="29"/>
      <c r="U1261" s="31"/>
      <c r="V1261" s="31"/>
      <c r="W1261" s="31"/>
      <c r="X1261" s="31"/>
      <c r="Y1261" s="31"/>
    </row>
    <row r="1262" spans="1:25" x14ac:dyDescent="0.2">
      <c r="A1262" s="29"/>
      <c r="B1262" s="29"/>
      <c r="C1262" s="29"/>
      <c r="D1262" s="29"/>
      <c r="E1262" s="29"/>
      <c r="F1262" s="30"/>
      <c r="G1262" s="30"/>
      <c r="H1262" s="30"/>
      <c r="I1262" s="30"/>
      <c r="J1262" s="30"/>
      <c r="K1262" s="30"/>
      <c r="L1262" s="29"/>
      <c r="M1262" s="29"/>
      <c r="N1262" s="29"/>
      <c r="O1262" s="29"/>
      <c r="P1262" s="29"/>
      <c r="Q1262" s="29"/>
      <c r="R1262" s="29"/>
      <c r="S1262" s="29"/>
      <c r="T1262" s="29"/>
      <c r="U1262" s="31"/>
      <c r="V1262" s="31"/>
      <c r="W1262" s="31"/>
      <c r="X1262" s="31"/>
      <c r="Y1262" s="31"/>
    </row>
    <row r="1263" spans="1:25" x14ac:dyDescent="0.2">
      <c r="A1263" s="29"/>
      <c r="B1263" s="29"/>
      <c r="C1263" s="29"/>
      <c r="D1263" s="29"/>
      <c r="E1263" s="29"/>
      <c r="F1263" s="30"/>
      <c r="G1263" s="30"/>
      <c r="H1263" s="30"/>
      <c r="I1263" s="30"/>
      <c r="J1263" s="30"/>
      <c r="K1263" s="30"/>
      <c r="L1263" s="29"/>
      <c r="M1263" s="29"/>
      <c r="N1263" s="29"/>
      <c r="O1263" s="29"/>
      <c r="P1263" s="29"/>
      <c r="Q1263" s="29"/>
      <c r="R1263" s="29"/>
      <c r="S1263" s="29"/>
      <c r="T1263" s="29"/>
      <c r="U1263" s="31"/>
      <c r="V1263" s="31"/>
      <c r="W1263" s="31"/>
      <c r="X1263" s="31"/>
      <c r="Y1263" s="31"/>
    </row>
    <row r="1264" spans="1:25" x14ac:dyDescent="0.2">
      <c r="A1264" s="29"/>
      <c r="B1264" s="29"/>
      <c r="C1264" s="29"/>
      <c r="D1264" s="29"/>
      <c r="E1264" s="29"/>
      <c r="F1264" s="30"/>
      <c r="G1264" s="30"/>
      <c r="H1264" s="30"/>
      <c r="I1264" s="30"/>
      <c r="J1264" s="30"/>
      <c r="K1264" s="30"/>
      <c r="L1264" s="29"/>
      <c r="M1264" s="29"/>
      <c r="N1264" s="29"/>
      <c r="O1264" s="29"/>
      <c r="P1264" s="29"/>
      <c r="Q1264" s="29"/>
      <c r="R1264" s="29"/>
      <c r="S1264" s="29"/>
      <c r="T1264" s="29"/>
      <c r="U1264" s="31"/>
      <c r="V1264" s="31"/>
      <c r="W1264" s="31"/>
      <c r="X1264" s="31"/>
      <c r="Y1264" s="31"/>
    </row>
    <row r="1265" spans="1:25" x14ac:dyDescent="0.2">
      <c r="A1265" s="29"/>
      <c r="B1265" s="29"/>
      <c r="C1265" s="29"/>
      <c r="D1265" s="29"/>
      <c r="E1265" s="29"/>
      <c r="F1265" s="30"/>
      <c r="G1265" s="30"/>
      <c r="H1265" s="30"/>
      <c r="I1265" s="30"/>
      <c r="J1265" s="30"/>
      <c r="K1265" s="30"/>
      <c r="L1265" s="29"/>
      <c r="M1265" s="29"/>
      <c r="N1265" s="29"/>
      <c r="O1265" s="29"/>
      <c r="P1265" s="29"/>
      <c r="Q1265" s="29"/>
      <c r="R1265" s="29"/>
      <c r="S1265" s="29"/>
      <c r="T1265" s="29"/>
      <c r="U1265" s="31"/>
      <c r="V1265" s="31"/>
      <c r="W1265" s="31"/>
      <c r="X1265" s="31"/>
      <c r="Y1265" s="31"/>
    </row>
    <row r="1266" spans="1:25" x14ac:dyDescent="0.2">
      <c r="A1266" s="29"/>
      <c r="B1266" s="29"/>
      <c r="C1266" s="29"/>
      <c r="D1266" s="29"/>
      <c r="E1266" s="29"/>
      <c r="F1266" s="30"/>
      <c r="G1266" s="30"/>
      <c r="H1266" s="30"/>
      <c r="I1266" s="30"/>
      <c r="J1266" s="30"/>
      <c r="K1266" s="30"/>
      <c r="L1266" s="29"/>
      <c r="M1266" s="29"/>
      <c r="N1266" s="29"/>
      <c r="O1266" s="29"/>
      <c r="P1266" s="29"/>
      <c r="Q1266" s="29"/>
      <c r="R1266" s="29"/>
      <c r="S1266" s="29"/>
      <c r="T1266" s="29"/>
      <c r="U1266" s="31"/>
      <c r="V1266" s="31"/>
      <c r="W1266" s="31"/>
      <c r="X1266" s="31"/>
      <c r="Y1266" s="31"/>
    </row>
    <row r="1267" spans="1:25" x14ac:dyDescent="0.2">
      <c r="A1267" s="29"/>
      <c r="B1267" s="29"/>
      <c r="C1267" s="29"/>
      <c r="D1267" s="29"/>
      <c r="E1267" s="29"/>
      <c r="F1267" s="30"/>
      <c r="G1267" s="30"/>
      <c r="H1267" s="30"/>
      <c r="I1267" s="30"/>
      <c r="J1267" s="30"/>
      <c r="K1267" s="30"/>
      <c r="L1267" s="29"/>
      <c r="M1267" s="29"/>
      <c r="N1267" s="29"/>
      <c r="O1267" s="29"/>
      <c r="P1267" s="29"/>
      <c r="Q1267" s="29"/>
      <c r="R1267" s="29"/>
      <c r="S1267" s="29"/>
      <c r="T1267" s="29"/>
      <c r="U1267" s="31"/>
      <c r="V1267" s="31"/>
      <c r="W1267" s="31"/>
      <c r="X1267" s="31"/>
      <c r="Y1267" s="31"/>
    </row>
    <row r="1268" spans="1:25" x14ac:dyDescent="0.2">
      <c r="A1268" s="29"/>
      <c r="B1268" s="29"/>
      <c r="C1268" s="29"/>
      <c r="D1268" s="29"/>
      <c r="E1268" s="29"/>
      <c r="F1268" s="30"/>
      <c r="G1268" s="30"/>
      <c r="H1268" s="30"/>
      <c r="I1268" s="30"/>
      <c r="J1268" s="30"/>
      <c r="K1268" s="30"/>
      <c r="L1268" s="29"/>
      <c r="M1268" s="29"/>
      <c r="N1268" s="29"/>
      <c r="O1268" s="29"/>
      <c r="P1268" s="29"/>
      <c r="Q1268" s="29"/>
      <c r="R1268" s="29"/>
      <c r="S1268" s="29"/>
      <c r="T1268" s="29"/>
      <c r="U1268" s="31"/>
      <c r="V1268" s="31"/>
      <c r="W1268" s="31"/>
      <c r="X1268" s="31"/>
      <c r="Y1268" s="31"/>
    </row>
    <row r="1269" spans="1:25" x14ac:dyDescent="0.2">
      <c r="A1269" s="29"/>
      <c r="B1269" s="29"/>
      <c r="C1269" s="29"/>
      <c r="D1269" s="29"/>
      <c r="E1269" s="29"/>
      <c r="F1269" s="30"/>
      <c r="G1269" s="30"/>
      <c r="H1269" s="30"/>
      <c r="I1269" s="30"/>
      <c r="J1269" s="30"/>
      <c r="K1269" s="30"/>
      <c r="L1269" s="29"/>
      <c r="M1269" s="29"/>
      <c r="N1269" s="29"/>
      <c r="O1269" s="29"/>
      <c r="P1269" s="29"/>
      <c r="Q1269" s="29"/>
      <c r="R1269" s="29"/>
      <c r="S1269" s="29"/>
      <c r="T1269" s="29"/>
      <c r="U1269" s="31"/>
      <c r="V1269" s="31"/>
      <c r="W1269" s="31"/>
      <c r="X1269" s="31"/>
      <c r="Y1269" s="31"/>
    </row>
    <row r="1270" spans="1:25" x14ac:dyDescent="0.2">
      <c r="A1270" s="29"/>
      <c r="B1270" s="29"/>
      <c r="C1270" s="29"/>
      <c r="D1270" s="29"/>
      <c r="E1270" s="29"/>
      <c r="F1270" s="30"/>
      <c r="G1270" s="30"/>
      <c r="H1270" s="30"/>
      <c r="I1270" s="30"/>
      <c r="J1270" s="30"/>
      <c r="K1270" s="30"/>
      <c r="L1270" s="29"/>
      <c r="M1270" s="29"/>
      <c r="N1270" s="29"/>
      <c r="O1270" s="29"/>
      <c r="P1270" s="29"/>
      <c r="Q1270" s="29"/>
      <c r="R1270" s="29"/>
      <c r="S1270" s="29"/>
      <c r="T1270" s="29"/>
      <c r="U1270" s="31"/>
      <c r="V1270" s="31"/>
      <c r="W1270" s="31"/>
      <c r="X1270" s="31"/>
      <c r="Y1270" s="31"/>
    </row>
    <row r="1271" spans="1:25" x14ac:dyDescent="0.2">
      <c r="A1271" s="29"/>
      <c r="B1271" s="29"/>
      <c r="C1271" s="29"/>
      <c r="D1271" s="29"/>
      <c r="E1271" s="29"/>
      <c r="F1271" s="30"/>
      <c r="G1271" s="30"/>
      <c r="H1271" s="30"/>
      <c r="I1271" s="30"/>
      <c r="J1271" s="30"/>
      <c r="K1271" s="30"/>
      <c r="L1271" s="29"/>
      <c r="M1271" s="29"/>
      <c r="N1271" s="29"/>
      <c r="O1271" s="29"/>
      <c r="P1271" s="29"/>
      <c r="Q1271" s="29"/>
      <c r="R1271" s="29"/>
      <c r="S1271" s="29"/>
      <c r="T1271" s="29"/>
      <c r="U1271" s="31"/>
      <c r="V1271" s="31"/>
      <c r="W1271" s="31"/>
      <c r="X1271" s="31"/>
      <c r="Y1271" s="31"/>
    </row>
    <row r="1272" spans="1:25" x14ac:dyDescent="0.2">
      <c r="A1272" s="29"/>
      <c r="B1272" s="29"/>
      <c r="C1272" s="29"/>
      <c r="D1272" s="29"/>
      <c r="E1272" s="29"/>
      <c r="F1272" s="30"/>
      <c r="G1272" s="30"/>
      <c r="H1272" s="30"/>
      <c r="I1272" s="30"/>
      <c r="J1272" s="30"/>
      <c r="K1272" s="30"/>
      <c r="L1272" s="29"/>
      <c r="M1272" s="29"/>
      <c r="N1272" s="29"/>
      <c r="O1272" s="29"/>
      <c r="P1272" s="29"/>
      <c r="Q1272" s="29"/>
      <c r="R1272" s="29"/>
      <c r="S1272" s="29"/>
      <c r="T1272" s="29"/>
      <c r="U1272" s="31"/>
      <c r="V1272" s="31"/>
      <c r="W1272" s="31"/>
      <c r="X1272" s="31"/>
      <c r="Y1272" s="31"/>
    </row>
    <row r="1273" spans="1:25" x14ac:dyDescent="0.2">
      <c r="A1273" s="29"/>
      <c r="B1273" s="29"/>
      <c r="C1273" s="29"/>
      <c r="D1273" s="29"/>
      <c r="E1273" s="29"/>
      <c r="F1273" s="30"/>
      <c r="G1273" s="30"/>
      <c r="H1273" s="30"/>
      <c r="I1273" s="30"/>
      <c r="J1273" s="30"/>
      <c r="K1273" s="30"/>
      <c r="L1273" s="29"/>
      <c r="M1273" s="29"/>
      <c r="N1273" s="29"/>
      <c r="O1273" s="29"/>
      <c r="P1273" s="29"/>
      <c r="Q1273" s="29"/>
      <c r="R1273" s="29"/>
      <c r="S1273" s="29"/>
      <c r="T1273" s="29"/>
      <c r="U1273" s="31"/>
      <c r="V1273" s="31"/>
      <c r="W1273" s="31"/>
      <c r="X1273" s="31"/>
      <c r="Y1273" s="31"/>
    </row>
    <row r="1274" spans="1:25" x14ac:dyDescent="0.2">
      <c r="A1274" s="29"/>
      <c r="B1274" s="29"/>
      <c r="C1274" s="29"/>
      <c r="D1274" s="29"/>
      <c r="E1274" s="29"/>
      <c r="F1274" s="30"/>
      <c r="G1274" s="30"/>
      <c r="H1274" s="30"/>
      <c r="I1274" s="30"/>
      <c r="J1274" s="30"/>
      <c r="K1274" s="30"/>
      <c r="L1274" s="29"/>
      <c r="M1274" s="29"/>
      <c r="N1274" s="29"/>
      <c r="O1274" s="29"/>
      <c r="P1274" s="29"/>
      <c r="Q1274" s="29"/>
      <c r="R1274" s="29"/>
      <c r="S1274" s="29"/>
      <c r="T1274" s="29"/>
      <c r="U1274" s="31"/>
      <c r="V1274" s="31"/>
      <c r="W1274" s="31"/>
      <c r="X1274" s="31"/>
      <c r="Y1274" s="31"/>
    </row>
    <row r="1275" spans="1:25" x14ac:dyDescent="0.2">
      <c r="A1275" s="29"/>
      <c r="B1275" s="29"/>
      <c r="C1275" s="29"/>
      <c r="D1275" s="29"/>
      <c r="E1275" s="29"/>
      <c r="F1275" s="30"/>
      <c r="G1275" s="30"/>
      <c r="H1275" s="30"/>
      <c r="I1275" s="30"/>
      <c r="J1275" s="30"/>
      <c r="K1275" s="30"/>
      <c r="L1275" s="29"/>
      <c r="M1275" s="29"/>
      <c r="N1275" s="29"/>
      <c r="O1275" s="29"/>
      <c r="P1275" s="29"/>
      <c r="Q1275" s="29"/>
      <c r="R1275" s="29"/>
      <c r="S1275" s="29"/>
      <c r="T1275" s="29"/>
      <c r="U1275" s="31"/>
      <c r="V1275" s="31"/>
      <c r="W1275" s="31"/>
      <c r="X1275" s="31"/>
      <c r="Y1275" s="31"/>
    </row>
    <row r="1276" spans="1:25" x14ac:dyDescent="0.2">
      <c r="A1276" s="29"/>
      <c r="B1276" s="29"/>
      <c r="C1276" s="29"/>
      <c r="D1276" s="29"/>
      <c r="E1276" s="29"/>
      <c r="F1276" s="30"/>
      <c r="G1276" s="30"/>
      <c r="H1276" s="30"/>
      <c r="I1276" s="30"/>
      <c r="J1276" s="30"/>
      <c r="K1276" s="30"/>
      <c r="L1276" s="29"/>
      <c r="M1276" s="29"/>
      <c r="N1276" s="29"/>
      <c r="O1276" s="29"/>
      <c r="P1276" s="29"/>
      <c r="Q1276" s="29"/>
      <c r="R1276" s="29"/>
      <c r="S1276" s="29"/>
      <c r="T1276" s="29"/>
      <c r="U1276" s="31"/>
      <c r="V1276" s="31"/>
      <c r="W1276" s="31"/>
      <c r="X1276" s="31"/>
      <c r="Y1276" s="31"/>
    </row>
    <row r="1277" spans="1:25" x14ac:dyDescent="0.2">
      <c r="A1277" s="29"/>
      <c r="B1277" s="29"/>
      <c r="C1277" s="29"/>
      <c r="D1277" s="29"/>
      <c r="E1277" s="29"/>
      <c r="F1277" s="30"/>
      <c r="G1277" s="30"/>
      <c r="H1277" s="30"/>
      <c r="I1277" s="30"/>
      <c r="J1277" s="30"/>
      <c r="K1277" s="30"/>
      <c r="L1277" s="29"/>
      <c r="M1277" s="29"/>
      <c r="N1277" s="29"/>
      <c r="O1277" s="29"/>
      <c r="P1277" s="29"/>
      <c r="Q1277" s="29"/>
      <c r="R1277" s="29"/>
      <c r="S1277" s="29"/>
      <c r="T1277" s="29"/>
      <c r="U1277" s="31"/>
      <c r="V1277" s="31"/>
      <c r="W1277" s="31"/>
      <c r="X1277" s="31"/>
      <c r="Y1277" s="31"/>
    </row>
    <row r="1278" spans="1:25" x14ac:dyDescent="0.2">
      <c r="A1278" s="29"/>
      <c r="B1278" s="29"/>
      <c r="C1278" s="29"/>
      <c r="D1278" s="29"/>
      <c r="E1278" s="29"/>
      <c r="F1278" s="30"/>
      <c r="G1278" s="30"/>
      <c r="H1278" s="30"/>
      <c r="I1278" s="30"/>
      <c r="J1278" s="30"/>
      <c r="K1278" s="30"/>
      <c r="L1278" s="29"/>
      <c r="M1278" s="29"/>
      <c r="N1278" s="29"/>
      <c r="O1278" s="29"/>
      <c r="P1278" s="29"/>
      <c r="Q1278" s="29"/>
      <c r="R1278" s="29"/>
      <c r="S1278" s="29"/>
      <c r="T1278" s="29"/>
      <c r="U1278" s="31"/>
      <c r="V1278" s="31"/>
      <c r="W1278" s="31"/>
      <c r="X1278" s="31"/>
      <c r="Y1278" s="31"/>
    </row>
    <row r="1279" spans="1:25" x14ac:dyDescent="0.2">
      <c r="A1279" s="29"/>
      <c r="B1279" s="29"/>
      <c r="C1279" s="29"/>
      <c r="D1279" s="29"/>
      <c r="E1279" s="29"/>
      <c r="F1279" s="30"/>
      <c r="G1279" s="30"/>
      <c r="H1279" s="30"/>
      <c r="I1279" s="30"/>
      <c r="J1279" s="30"/>
      <c r="K1279" s="30"/>
      <c r="L1279" s="29"/>
      <c r="M1279" s="29"/>
      <c r="N1279" s="29"/>
      <c r="O1279" s="29"/>
      <c r="P1279" s="29"/>
      <c r="Q1279" s="29"/>
      <c r="R1279" s="29"/>
      <c r="S1279" s="29"/>
      <c r="T1279" s="29"/>
      <c r="U1279" s="31"/>
      <c r="V1279" s="31"/>
      <c r="W1279" s="31"/>
      <c r="X1279" s="31"/>
      <c r="Y1279" s="31"/>
    </row>
    <row r="1280" spans="1:25" x14ac:dyDescent="0.2">
      <c r="A1280" s="29"/>
      <c r="B1280" s="29"/>
      <c r="C1280" s="29"/>
      <c r="D1280" s="29"/>
      <c r="E1280" s="29"/>
      <c r="F1280" s="30"/>
      <c r="G1280" s="30"/>
      <c r="H1280" s="30"/>
      <c r="I1280" s="30"/>
      <c r="J1280" s="30"/>
      <c r="K1280" s="30"/>
      <c r="L1280" s="29"/>
      <c r="M1280" s="29"/>
      <c r="N1280" s="29"/>
      <c r="O1280" s="29"/>
      <c r="P1280" s="29"/>
      <c r="Q1280" s="29"/>
      <c r="R1280" s="29"/>
      <c r="S1280" s="29"/>
      <c r="T1280" s="29"/>
      <c r="U1280" s="31"/>
      <c r="V1280" s="31"/>
      <c r="W1280" s="31"/>
      <c r="X1280" s="31"/>
      <c r="Y1280" s="31"/>
    </row>
    <row r="1281" spans="1:25" x14ac:dyDescent="0.2">
      <c r="A1281" s="29"/>
      <c r="B1281" s="29"/>
      <c r="C1281" s="29"/>
      <c r="D1281" s="29"/>
      <c r="E1281" s="29"/>
      <c r="F1281" s="30"/>
      <c r="G1281" s="30"/>
      <c r="H1281" s="30"/>
      <c r="I1281" s="30"/>
      <c r="J1281" s="30"/>
      <c r="K1281" s="30"/>
      <c r="L1281" s="29"/>
      <c r="M1281" s="29"/>
      <c r="N1281" s="29"/>
      <c r="O1281" s="29"/>
      <c r="P1281" s="29"/>
      <c r="Q1281" s="29"/>
      <c r="R1281" s="29"/>
      <c r="S1281" s="29"/>
      <c r="T1281" s="29"/>
      <c r="U1281" s="31"/>
      <c r="V1281" s="31"/>
      <c r="W1281" s="31"/>
      <c r="X1281" s="31"/>
      <c r="Y1281" s="31"/>
    </row>
    <row r="1282" spans="1:25" x14ac:dyDescent="0.2">
      <c r="A1282" s="29"/>
      <c r="B1282" s="29"/>
      <c r="C1282" s="29"/>
      <c r="D1282" s="29"/>
      <c r="E1282" s="29"/>
      <c r="F1282" s="30"/>
      <c r="G1282" s="30"/>
      <c r="H1282" s="30"/>
      <c r="I1282" s="30"/>
      <c r="J1282" s="30"/>
      <c r="K1282" s="30"/>
      <c r="L1282" s="29"/>
      <c r="M1282" s="29"/>
      <c r="N1282" s="29"/>
      <c r="O1282" s="29"/>
      <c r="P1282" s="29"/>
      <c r="Q1282" s="29"/>
      <c r="R1282" s="29"/>
      <c r="S1282" s="29"/>
      <c r="T1282" s="29"/>
      <c r="U1282" s="31"/>
      <c r="V1282" s="31"/>
      <c r="W1282" s="31"/>
      <c r="X1282" s="31"/>
      <c r="Y1282" s="31"/>
    </row>
    <row r="1283" spans="1:25" x14ac:dyDescent="0.2">
      <c r="A1283" s="29"/>
      <c r="B1283" s="29"/>
      <c r="C1283" s="29"/>
      <c r="D1283" s="29"/>
      <c r="E1283" s="29"/>
      <c r="F1283" s="30"/>
      <c r="G1283" s="30"/>
      <c r="H1283" s="30"/>
      <c r="I1283" s="30"/>
      <c r="J1283" s="30"/>
      <c r="K1283" s="30"/>
      <c r="L1283" s="29"/>
      <c r="M1283" s="29"/>
      <c r="N1283" s="29"/>
      <c r="O1283" s="29"/>
      <c r="P1283" s="29"/>
      <c r="Q1283" s="29"/>
      <c r="R1283" s="29"/>
      <c r="S1283" s="29"/>
      <c r="T1283" s="29"/>
      <c r="U1283" s="31"/>
      <c r="V1283" s="31"/>
      <c r="W1283" s="31"/>
      <c r="X1283" s="31"/>
      <c r="Y1283" s="31"/>
    </row>
    <row r="1284" spans="1:25" x14ac:dyDescent="0.2">
      <c r="A1284" s="29"/>
      <c r="B1284" s="29"/>
      <c r="C1284" s="29"/>
      <c r="D1284" s="29"/>
      <c r="E1284" s="29"/>
      <c r="F1284" s="30"/>
      <c r="G1284" s="30"/>
      <c r="H1284" s="30"/>
      <c r="I1284" s="30"/>
      <c r="J1284" s="30"/>
      <c r="K1284" s="30"/>
      <c r="L1284" s="29"/>
      <c r="M1284" s="29"/>
      <c r="N1284" s="29"/>
      <c r="O1284" s="29"/>
      <c r="P1284" s="29"/>
      <c r="Q1284" s="29"/>
      <c r="R1284" s="29"/>
      <c r="S1284" s="29"/>
      <c r="T1284" s="29"/>
      <c r="U1284" s="31"/>
      <c r="V1284" s="31"/>
      <c r="W1284" s="31"/>
      <c r="X1284" s="31"/>
      <c r="Y1284" s="31"/>
    </row>
    <row r="1285" spans="1:25" x14ac:dyDescent="0.2">
      <c r="A1285" s="29"/>
      <c r="B1285" s="29"/>
      <c r="C1285" s="29"/>
      <c r="D1285" s="29"/>
      <c r="E1285" s="29"/>
      <c r="F1285" s="30"/>
      <c r="G1285" s="30"/>
      <c r="H1285" s="30"/>
      <c r="I1285" s="30"/>
      <c r="J1285" s="30"/>
      <c r="K1285" s="30"/>
      <c r="L1285" s="29"/>
      <c r="M1285" s="29"/>
      <c r="N1285" s="29"/>
      <c r="O1285" s="29"/>
      <c r="P1285" s="29"/>
      <c r="Q1285" s="29"/>
      <c r="R1285" s="29"/>
      <c r="S1285" s="29"/>
      <c r="T1285" s="29"/>
      <c r="U1285" s="31"/>
      <c r="V1285" s="31"/>
      <c r="W1285" s="31"/>
      <c r="X1285" s="31"/>
      <c r="Y1285" s="31"/>
    </row>
    <row r="1286" spans="1:25" x14ac:dyDescent="0.2">
      <c r="A1286" s="29"/>
      <c r="B1286" s="29"/>
      <c r="C1286" s="29"/>
      <c r="D1286" s="29"/>
      <c r="E1286" s="29"/>
      <c r="F1286" s="30"/>
      <c r="G1286" s="30"/>
      <c r="H1286" s="30"/>
      <c r="I1286" s="30"/>
      <c r="J1286" s="30"/>
      <c r="K1286" s="30"/>
      <c r="L1286" s="29"/>
      <c r="M1286" s="29"/>
      <c r="N1286" s="29"/>
      <c r="O1286" s="29"/>
      <c r="P1286" s="29"/>
      <c r="Q1286" s="29"/>
      <c r="R1286" s="29"/>
      <c r="S1286" s="29"/>
      <c r="T1286" s="29"/>
      <c r="U1286" s="31"/>
      <c r="V1286" s="31"/>
      <c r="W1286" s="31"/>
      <c r="X1286" s="31"/>
      <c r="Y1286" s="31"/>
    </row>
    <row r="1287" spans="1:25" x14ac:dyDescent="0.2">
      <c r="A1287" s="29"/>
      <c r="B1287" s="29"/>
      <c r="C1287" s="29"/>
      <c r="D1287" s="29"/>
      <c r="E1287" s="29"/>
      <c r="F1287" s="30"/>
      <c r="G1287" s="30"/>
      <c r="H1287" s="30"/>
      <c r="I1287" s="30"/>
      <c r="J1287" s="30"/>
      <c r="K1287" s="30"/>
      <c r="L1287" s="29"/>
      <c r="M1287" s="29"/>
      <c r="N1287" s="29"/>
      <c r="O1287" s="29"/>
      <c r="P1287" s="29"/>
      <c r="Q1287" s="29"/>
      <c r="R1287" s="29"/>
      <c r="S1287" s="29"/>
      <c r="T1287" s="29"/>
      <c r="U1287" s="31"/>
      <c r="V1287" s="31"/>
      <c r="W1287" s="31"/>
      <c r="X1287" s="31"/>
      <c r="Y1287" s="31"/>
    </row>
    <row r="1288" spans="1:25" x14ac:dyDescent="0.2">
      <c r="A1288" s="29"/>
      <c r="B1288" s="29"/>
      <c r="C1288" s="29"/>
      <c r="D1288" s="29"/>
      <c r="E1288" s="29"/>
      <c r="F1288" s="30"/>
      <c r="G1288" s="30"/>
      <c r="H1288" s="30"/>
      <c r="I1288" s="30"/>
      <c r="J1288" s="30"/>
      <c r="K1288" s="30"/>
      <c r="L1288" s="29"/>
      <c r="M1288" s="29"/>
      <c r="N1288" s="29"/>
      <c r="O1288" s="29"/>
      <c r="P1288" s="29"/>
      <c r="Q1288" s="29"/>
      <c r="R1288" s="29"/>
      <c r="S1288" s="29"/>
      <c r="T1288" s="29"/>
      <c r="U1288" s="31"/>
      <c r="V1288" s="31"/>
      <c r="W1288" s="31"/>
      <c r="X1288" s="31"/>
      <c r="Y1288" s="31"/>
    </row>
    <row r="1289" spans="1:25" x14ac:dyDescent="0.2">
      <c r="A1289" s="29"/>
      <c r="B1289" s="29"/>
      <c r="C1289" s="29"/>
      <c r="D1289" s="29"/>
      <c r="E1289" s="29"/>
      <c r="F1289" s="30"/>
      <c r="G1289" s="30"/>
      <c r="H1289" s="30"/>
      <c r="I1289" s="30"/>
      <c r="J1289" s="30"/>
      <c r="K1289" s="30"/>
      <c r="L1289" s="29"/>
      <c r="M1289" s="29"/>
      <c r="N1289" s="29"/>
      <c r="O1289" s="29"/>
      <c r="P1289" s="29"/>
      <c r="Q1289" s="29"/>
      <c r="R1289" s="29"/>
      <c r="S1289" s="29"/>
      <c r="T1289" s="29"/>
      <c r="U1289" s="31"/>
      <c r="V1289" s="31"/>
      <c r="W1289" s="31"/>
      <c r="X1289" s="31"/>
      <c r="Y1289" s="31"/>
    </row>
    <row r="1290" spans="1:25" x14ac:dyDescent="0.2">
      <c r="A1290" s="29"/>
      <c r="B1290" s="29"/>
      <c r="C1290" s="29"/>
      <c r="D1290" s="29"/>
      <c r="E1290" s="29"/>
      <c r="F1290" s="30"/>
      <c r="G1290" s="30"/>
      <c r="H1290" s="30"/>
      <c r="I1290" s="30"/>
      <c r="J1290" s="30"/>
      <c r="K1290" s="30"/>
      <c r="L1290" s="29"/>
      <c r="M1290" s="29"/>
      <c r="N1290" s="29"/>
      <c r="O1290" s="29"/>
      <c r="P1290" s="29"/>
      <c r="Q1290" s="29"/>
      <c r="R1290" s="29"/>
      <c r="S1290" s="29"/>
      <c r="T1290" s="29"/>
      <c r="U1290" s="31"/>
      <c r="V1290" s="31"/>
      <c r="W1290" s="31"/>
      <c r="X1290" s="31"/>
      <c r="Y1290" s="31"/>
    </row>
    <row r="1291" spans="1:25" x14ac:dyDescent="0.2">
      <c r="A1291" s="29"/>
      <c r="B1291" s="29"/>
      <c r="C1291" s="29"/>
      <c r="D1291" s="29"/>
      <c r="E1291" s="29"/>
      <c r="F1291" s="30"/>
      <c r="G1291" s="30"/>
      <c r="H1291" s="30"/>
      <c r="I1291" s="30"/>
      <c r="J1291" s="30"/>
      <c r="K1291" s="30"/>
      <c r="L1291" s="29"/>
      <c r="M1291" s="29"/>
      <c r="N1291" s="29"/>
      <c r="O1291" s="29"/>
      <c r="P1291" s="29"/>
      <c r="Q1291" s="29"/>
      <c r="R1291" s="29"/>
      <c r="S1291" s="29"/>
      <c r="T1291" s="29"/>
      <c r="U1291" s="31"/>
      <c r="V1291" s="31"/>
      <c r="W1291" s="31"/>
      <c r="X1291" s="31"/>
      <c r="Y1291" s="31"/>
    </row>
    <row r="1292" spans="1:25" x14ac:dyDescent="0.2">
      <c r="A1292" s="29"/>
      <c r="B1292" s="29"/>
      <c r="C1292" s="29"/>
      <c r="D1292" s="29"/>
      <c r="E1292" s="29"/>
      <c r="F1292" s="30"/>
      <c r="G1292" s="30"/>
      <c r="H1292" s="30"/>
      <c r="I1292" s="30"/>
      <c r="J1292" s="30"/>
      <c r="K1292" s="30"/>
      <c r="L1292" s="29"/>
      <c r="M1292" s="29"/>
      <c r="N1292" s="29"/>
      <c r="O1292" s="29"/>
      <c r="P1292" s="29"/>
      <c r="Q1292" s="29"/>
      <c r="R1292" s="29"/>
      <c r="S1292" s="29"/>
      <c r="T1292" s="29"/>
      <c r="U1292" s="31"/>
      <c r="V1292" s="31"/>
      <c r="W1292" s="31"/>
      <c r="X1292" s="31"/>
      <c r="Y1292" s="31"/>
    </row>
    <row r="1293" spans="1:25" x14ac:dyDescent="0.2">
      <c r="A1293" s="29"/>
      <c r="B1293" s="29"/>
      <c r="C1293" s="29"/>
      <c r="D1293" s="29"/>
      <c r="E1293" s="29"/>
      <c r="F1293" s="30"/>
      <c r="G1293" s="30"/>
      <c r="H1293" s="30"/>
      <c r="I1293" s="30"/>
      <c r="J1293" s="30"/>
      <c r="K1293" s="30"/>
      <c r="L1293" s="29"/>
      <c r="M1293" s="29"/>
      <c r="N1293" s="29"/>
      <c r="O1293" s="29"/>
      <c r="P1293" s="29"/>
      <c r="Q1293" s="29"/>
      <c r="R1293" s="29"/>
      <c r="S1293" s="29"/>
      <c r="T1293" s="29"/>
      <c r="U1293" s="31"/>
      <c r="V1293" s="31"/>
      <c r="W1293" s="31"/>
      <c r="X1293" s="31"/>
      <c r="Y1293" s="31"/>
    </row>
    <row r="1294" spans="1:25" x14ac:dyDescent="0.2">
      <c r="A1294" s="29"/>
      <c r="B1294" s="29"/>
      <c r="C1294" s="29"/>
      <c r="D1294" s="29"/>
      <c r="E1294" s="29"/>
      <c r="F1294" s="30"/>
      <c r="G1294" s="30"/>
      <c r="H1294" s="30"/>
      <c r="I1294" s="30"/>
      <c r="J1294" s="30"/>
      <c r="K1294" s="30"/>
      <c r="L1294" s="29"/>
      <c r="M1294" s="29"/>
      <c r="N1294" s="29"/>
      <c r="O1294" s="29"/>
      <c r="P1294" s="29"/>
      <c r="Q1294" s="29"/>
      <c r="R1294" s="29"/>
      <c r="S1294" s="29"/>
      <c r="T1294" s="29"/>
      <c r="U1294" s="31"/>
      <c r="V1294" s="31"/>
      <c r="W1294" s="31"/>
      <c r="X1294" s="31"/>
      <c r="Y1294" s="31"/>
    </row>
    <row r="1295" spans="1:25" x14ac:dyDescent="0.2">
      <c r="A1295" s="29"/>
      <c r="B1295" s="29"/>
      <c r="C1295" s="29"/>
      <c r="D1295" s="29"/>
      <c r="E1295" s="29"/>
      <c r="F1295" s="30"/>
      <c r="G1295" s="30"/>
      <c r="H1295" s="30"/>
      <c r="I1295" s="30"/>
      <c r="J1295" s="30"/>
      <c r="K1295" s="30"/>
      <c r="L1295" s="29"/>
      <c r="M1295" s="29"/>
      <c r="N1295" s="29"/>
      <c r="O1295" s="29"/>
      <c r="P1295" s="29"/>
      <c r="Q1295" s="29"/>
      <c r="R1295" s="29"/>
      <c r="S1295" s="29"/>
      <c r="T1295" s="29"/>
      <c r="U1295" s="31"/>
      <c r="V1295" s="31"/>
      <c r="W1295" s="31"/>
      <c r="X1295" s="31"/>
      <c r="Y1295" s="31"/>
    </row>
    <row r="1296" spans="1:25" x14ac:dyDescent="0.2">
      <c r="A1296" s="29"/>
      <c r="B1296" s="29"/>
      <c r="C1296" s="29"/>
      <c r="D1296" s="29"/>
      <c r="E1296" s="29"/>
      <c r="F1296" s="30"/>
      <c r="G1296" s="30"/>
      <c r="H1296" s="30"/>
      <c r="I1296" s="30"/>
      <c r="J1296" s="30"/>
      <c r="K1296" s="30"/>
      <c r="L1296" s="29"/>
      <c r="M1296" s="29"/>
      <c r="N1296" s="29"/>
      <c r="O1296" s="29"/>
      <c r="P1296" s="29"/>
      <c r="Q1296" s="29"/>
      <c r="R1296" s="29"/>
      <c r="S1296" s="29"/>
      <c r="T1296" s="29"/>
      <c r="U1296" s="31"/>
      <c r="V1296" s="31"/>
      <c r="W1296" s="31"/>
      <c r="X1296" s="31"/>
      <c r="Y1296" s="31"/>
    </row>
    <row r="1297" spans="1:25" x14ac:dyDescent="0.2">
      <c r="A1297" s="29"/>
      <c r="B1297" s="29"/>
      <c r="C1297" s="29"/>
      <c r="D1297" s="29"/>
      <c r="E1297" s="29"/>
      <c r="F1297" s="30"/>
      <c r="G1297" s="30"/>
      <c r="H1297" s="30"/>
      <c r="I1297" s="30"/>
      <c r="J1297" s="30"/>
      <c r="K1297" s="30"/>
      <c r="L1297" s="29"/>
      <c r="M1297" s="29"/>
      <c r="N1297" s="29"/>
      <c r="O1297" s="29"/>
      <c r="P1297" s="29"/>
      <c r="Q1297" s="29"/>
      <c r="R1297" s="29"/>
      <c r="S1297" s="29"/>
      <c r="T1297" s="29"/>
      <c r="U1297" s="31"/>
      <c r="V1297" s="31"/>
      <c r="W1297" s="31"/>
      <c r="X1297" s="31"/>
      <c r="Y1297" s="31"/>
    </row>
    <row r="1298" spans="1:25" x14ac:dyDescent="0.2">
      <c r="A1298" s="29"/>
      <c r="B1298" s="29"/>
      <c r="C1298" s="29"/>
      <c r="D1298" s="29"/>
      <c r="E1298" s="29"/>
      <c r="F1298" s="30"/>
      <c r="G1298" s="30"/>
      <c r="H1298" s="30"/>
      <c r="I1298" s="30"/>
      <c r="J1298" s="30"/>
      <c r="K1298" s="30"/>
      <c r="L1298" s="29"/>
      <c r="M1298" s="29"/>
      <c r="N1298" s="29"/>
      <c r="O1298" s="29"/>
      <c r="P1298" s="29"/>
      <c r="Q1298" s="29"/>
      <c r="R1298" s="29"/>
      <c r="S1298" s="29"/>
      <c r="T1298" s="29"/>
      <c r="U1298" s="31"/>
      <c r="V1298" s="31"/>
      <c r="W1298" s="31"/>
      <c r="X1298" s="31"/>
      <c r="Y1298" s="31"/>
    </row>
    <row r="1299" spans="1:25" x14ac:dyDescent="0.2">
      <c r="A1299" s="29"/>
      <c r="B1299" s="29"/>
      <c r="C1299" s="29"/>
      <c r="D1299" s="29"/>
      <c r="E1299" s="29"/>
      <c r="F1299" s="30"/>
      <c r="G1299" s="30"/>
      <c r="H1299" s="30"/>
      <c r="I1299" s="30"/>
      <c r="J1299" s="30"/>
      <c r="K1299" s="30"/>
      <c r="L1299" s="29"/>
      <c r="M1299" s="29"/>
      <c r="N1299" s="29"/>
      <c r="O1299" s="29"/>
      <c r="P1299" s="29"/>
      <c r="Q1299" s="29"/>
      <c r="R1299" s="29"/>
      <c r="S1299" s="29"/>
      <c r="T1299" s="29"/>
      <c r="U1299" s="31"/>
      <c r="V1299" s="31"/>
      <c r="W1299" s="31"/>
      <c r="X1299" s="31"/>
      <c r="Y1299" s="31"/>
    </row>
    <row r="1300" spans="1:25" x14ac:dyDescent="0.2">
      <c r="A1300" s="29"/>
      <c r="B1300" s="29"/>
      <c r="C1300" s="29"/>
      <c r="D1300" s="29"/>
      <c r="E1300" s="29"/>
      <c r="F1300" s="30"/>
      <c r="G1300" s="30"/>
      <c r="H1300" s="30"/>
      <c r="I1300" s="30"/>
      <c r="J1300" s="30"/>
      <c r="K1300" s="30"/>
      <c r="L1300" s="29"/>
      <c r="M1300" s="29"/>
      <c r="N1300" s="29"/>
      <c r="O1300" s="29"/>
      <c r="P1300" s="29"/>
      <c r="Q1300" s="29"/>
      <c r="R1300" s="29"/>
      <c r="S1300" s="29"/>
      <c r="T1300" s="29"/>
      <c r="U1300" s="31"/>
      <c r="V1300" s="31"/>
      <c r="W1300" s="31"/>
      <c r="X1300" s="31"/>
      <c r="Y1300" s="31"/>
    </row>
    <row r="1301" spans="1:25" x14ac:dyDescent="0.2">
      <c r="A1301" s="29"/>
      <c r="B1301" s="29"/>
      <c r="C1301" s="29"/>
      <c r="D1301" s="29"/>
      <c r="E1301" s="29"/>
      <c r="F1301" s="30"/>
      <c r="G1301" s="30"/>
      <c r="H1301" s="30"/>
      <c r="I1301" s="30"/>
      <c r="J1301" s="30"/>
      <c r="K1301" s="30"/>
      <c r="L1301" s="29"/>
      <c r="M1301" s="29"/>
      <c r="N1301" s="29"/>
      <c r="O1301" s="29"/>
      <c r="P1301" s="29"/>
      <c r="Q1301" s="29"/>
      <c r="R1301" s="29"/>
      <c r="S1301" s="29"/>
      <c r="T1301" s="29"/>
      <c r="U1301" s="31"/>
      <c r="V1301" s="31"/>
      <c r="W1301" s="31"/>
      <c r="X1301" s="31"/>
      <c r="Y1301" s="31"/>
    </row>
    <row r="1302" spans="1:25" x14ac:dyDescent="0.2">
      <c r="A1302" s="29"/>
      <c r="B1302" s="29"/>
      <c r="C1302" s="29"/>
      <c r="D1302" s="29"/>
      <c r="E1302" s="29"/>
      <c r="F1302" s="30"/>
      <c r="G1302" s="30"/>
      <c r="H1302" s="30"/>
      <c r="I1302" s="30"/>
      <c r="J1302" s="30"/>
      <c r="K1302" s="30"/>
      <c r="L1302" s="29"/>
      <c r="M1302" s="29"/>
      <c r="N1302" s="29"/>
      <c r="O1302" s="29"/>
      <c r="P1302" s="29"/>
      <c r="Q1302" s="29"/>
      <c r="R1302" s="29"/>
      <c r="S1302" s="29"/>
      <c r="T1302" s="29"/>
      <c r="U1302" s="31"/>
      <c r="V1302" s="31"/>
      <c r="W1302" s="31"/>
      <c r="X1302" s="31"/>
      <c r="Y1302" s="31"/>
    </row>
    <row r="1303" spans="1:25" x14ac:dyDescent="0.2">
      <c r="A1303" s="29"/>
      <c r="B1303" s="29"/>
      <c r="C1303" s="29"/>
      <c r="D1303" s="29"/>
      <c r="E1303" s="29"/>
      <c r="F1303" s="30"/>
      <c r="G1303" s="30"/>
      <c r="H1303" s="30"/>
      <c r="I1303" s="30"/>
      <c r="J1303" s="30"/>
      <c r="K1303" s="30"/>
      <c r="L1303" s="29"/>
      <c r="M1303" s="29"/>
      <c r="N1303" s="29"/>
      <c r="O1303" s="29"/>
      <c r="P1303" s="29"/>
      <c r="Q1303" s="29"/>
      <c r="R1303" s="29"/>
      <c r="S1303" s="29"/>
      <c r="T1303" s="29"/>
      <c r="U1303" s="31"/>
      <c r="V1303" s="31"/>
      <c r="W1303" s="31"/>
      <c r="X1303" s="31"/>
      <c r="Y1303" s="31"/>
    </row>
    <row r="1304" spans="1:25" x14ac:dyDescent="0.2">
      <c r="A1304" s="29"/>
      <c r="B1304" s="29"/>
      <c r="C1304" s="29"/>
      <c r="D1304" s="29"/>
      <c r="E1304" s="29"/>
      <c r="F1304" s="30"/>
      <c r="G1304" s="30"/>
      <c r="H1304" s="30"/>
      <c r="I1304" s="30"/>
      <c r="J1304" s="30"/>
      <c r="K1304" s="30"/>
      <c r="L1304" s="29"/>
      <c r="M1304" s="29"/>
      <c r="N1304" s="29"/>
      <c r="O1304" s="29"/>
      <c r="P1304" s="29"/>
      <c r="Q1304" s="29"/>
      <c r="R1304" s="29"/>
      <c r="S1304" s="29"/>
      <c r="T1304" s="29"/>
      <c r="U1304" s="31"/>
      <c r="V1304" s="31"/>
      <c r="W1304" s="31"/>
      <c r="X1304" s="31"/>
      <c r="Y1304" s="31"/>
    </row>
    <row r="1305" spans="1:25" x14ac:dyDescent="0.2">
      <c r="A1305" s="29"/>
      <c r="B1305" s="29"/>
      <c r="C1305" s="29"/>
      <c r="D1305" s="29"/>
      <c r="E1305" s="29"/>
      <c r="F1305" s="30"/>
      <c r="G1305" s="30"/>
      <c r="H1305" s="30"/>
      <c r="I1305" s="30"/>
      <c r="J1305" s="30"/>
      <c r="K1305" s="30"/>
      <c r="L1305" s="29"/>
      <c r="M1305" s="29"/>
      <c r="N1305" s="29"/>
      <c r="O1305" s="29"/>
      <c r="P1305" s="29"/>
      <c r="Q1305" s="29"/>
      <c r="R1305" s="29"/>
      <c r="S1305" s="29"/>
      <c r="T1305" s="29"/>
      <c r="U1305" s="31"/>
      <c r="V1305" s="31"/>
      <c r="W1305" s="31"/>
      <c r="X1305" s="31"/>
      <c r="Y1305" s="31"/>
    </row>
    <row r="1306" spans="1:25" x14ac:dyDescent="0.2">
      <c r="A1306" s="29"/>
      <c r="B1306" s="29"/>
      <c r="C1306" s="29"/>
      <c r="D1306" s="29"/>
      <c r="E1306" s="29"/>
      <c r="F1306" s="30"/>
      <c r="G1306" s="30"/>
      <c r="H1306" s="30"/>
      <c r="I1306" s="30"/>
      <c r="J1306" s="30"/>
      <c r="K1306" s="30"/>
      <c r="L1306" s="29"/>
      <c r="M1306" s="29"/>
      <c r="N1306" s="29"/>
      <c r="O1306" s="29"/>
      <c r="P1306" s="29"/>
      <c r="Q1306" s="29"/>
      <c r="R1306" s="29"/>
      <c r="S1306" s="29"/>
      <c r="T1306" s="29"/>
      <c r="U1306" s="31"/>
      <c r="V1306" s="31"/>
      <c r="W1306" s="31"/>
      <c r="X1306" s="31"/>
      <c r="Y1306" s="31"/>
    </row>
    <row r="1307" spans="1:25" x14ac:dyDescent="0.2">
      <c r="A1307" s="29"/>
      <c r="B1307" s="29"/>
      <c r="C1307" s="29"/>
      <c r="D1307" s="29"/>
      <c r="E1307" s="29"/>
      <c r="F1307" s="30"/>
      <c r="G1307" s="30"/>
      <c r="H1307" s="30"/>
      <c r="I1307" s="30"/>
      <c r="J1307" s="30"/>
      <c r="K1307" s="30"/>
      <c r="L1307" s="29"/>
      <c r="M1307" s="29"/>
      <c r="N1307" s="29"/>
      <c r="O1307" s="29"/>
      <c r="P1307" s="29"/>
      <c r="Q1307" s="29"/>
      <c r="R1307" s="29"/>
      <c r="S1307" s="29"/>
      <c r="T1307" s="29"/>
      <c r="U1307" s="31"/>
      <c r="V1307" s="31"/>
      <c r="W1307" s="31"/>
      <c r="X1307" s="31"/>
      <c r="Y1307" s="31"/>
    </row>
    <row r="1308" spans="1:25" x14ac:dyDescent="0.2">
      <c r="A1308" s="29"/>
      <c r="B1308" s="29"/>
      <c r="C1308" s="29"/>
      <c r="D1308" s="29"/>
      <c r="E1308" s="29"/>
      <c r="F1308" s="30"/>
      <c r="G1308" s="30"/>
      <c r="H1308" s="30"/>
      <c r="I1308" s="30"/>
      <c r="J1308" s="30"/>
      <c r="K1308" s="30"/>
      <c r="L1308" s="29"/>
      <c r="M1308" s="29"/>
      <c r="N1308" s="29"/>
      <c r="O1308" s="29"/>
      <c r="P1308" s="29"/>
      <c r="Q1308" s="29"/>
      <c r="R1308" s="29"/>
      <c r="S1308" s="29"/>
      <c r="T1308" s="29"/>
      <c r="U1308" s="31"/>
      <c r="V1308" s="31"/>
      <c r="W1308" s="31"/>
      <c r="X1308" s="31"/>
      <c r="Y1308" s="31"/>
    </row>
    <row r="1309" spans="1:25" x14ac:dyDescent="0.2">
      <c r="A1309" s="29"/>
      <c r="B1309" s="29"/>
      <c r="C1309" s="29"/>
      <c r="D1309" s="29"/>
      <c r="E1309" s="29"/>
      <c r="F1309" s="30"/>
      <c r="G1309" s="30"/>
      <c r="H1309" s="30"/>
      <c r="I1309" s="30"/>
      <c r="J1309" s="30"/>
      <c r="K1309" s="30"/>
      <c r="L1309" s="29"/>
      <c r="M1309" s="29"/>
      <c r="N1309" s="29"/>
      <c r="O1309" s="29"/>
      <c r="P1309" s="29"/>
      <c r="Q1309" s="29"/>
      <c r="R1309" s="29"/>
      <c r="S1309" s="29"/>
      <c r="T1309" s="29"/>
      <c r="U1309" s="31"/>
      <c r="V1309" s="31"/>
      <c r="W1309" s="31"/>
      <c r="X1309" s="31"/>
      <c r="Y1309" s="31"/>
    </row>
    <row r="1310" spans="1:25" x14ac:dyDescent="0.2">
      <c r="A1310" s="29"/>
      <c r="B1310" s="29"/>
      <c r="C1310" s="29"/>
      <c r="D1310" s="29"/>
      <c r="E1310" s="29"/>
      <c r="F1310" s="30"/>
      <c r="G1310" s="30"/>
      <c r="H1310" s="30"/>
      <c r="I1310" s="30"/>
      <c r="J1310" s="30"/>
      <c r="K1310" s="30"/>
      <c r="L1310" s="29"/>
      <c r="M1310" s="29"/>
      <c r="N1310" s="29"/>
      <c r="O1310" s="29"/>
      <c r="P1310" s="29"/>
      <c r="Q1310" s="29"/>
      <c r="R1310" s="29"/>
      <c r="S1310" s="29"/>
      <c r="T1310" s="29"/>
      <c r="U1310" s="31"/>
      <c r="V1310" s="31"/>
      <c r="W1310" s="31"/>
      <c r="X1310" s="31"/>
      <c r="Y1310" s="31"/>
    </row>
    <row r="1311" spans="1:25" x14ac:dyDescent="0.2">
      <c r="A1311" s="29"/>
      <c r="B1311" s="29"/>
      <c r="C1311" s="29"/>
      <c r="D1311" s="29"/>
      <c r="E1311" s="29"/>
      <c r="F1311" s="30"/>
      <c r="G1311" s="30"/>
      <c r="H1311" s="30"/>
      <c r="I1311" s="30"/>
      <c r="J1311" s="30"/>
      <c r="K1311" s="30"/>
      <c r="L1311" s="29"/>
      <c r="M1311" s="29"/>
      <c r="N1311" s="29"/>
      <c r="O1311" s="29"/>
      <c r="P1311" s="29"/>
      <c r="Q1311" s="29"/>
      <c r="R1311" s="29"/>
      <c r="S1311" s="29"/>
      <c r="T1311" s="29"/>
      <c r="U1311" s="31"/>
      <c r="V1311" s="31"/>
      <c r="W1311" s="31"/>
      <c r="X1311" s="31"/>
      <c r="Y1311" s="31"/>
    </row>
    <row r="1312" spans="1:25" x14ac:dyDescent="0.2">
      <c r="A1312" s="29"/>
      <c r="B1312" s="29"/>
      <c r="C1312" s="29"/>
      <c r="D1312" s="29"/>
      <c r="E1312" s="29"/>
      <c r="F1312" s="30"/>
      <c r="G1312" s="30"/>
      <c r="H1312" s="30"/>
      <c r="I1312" s="30"/>
      <c r="J1312" s="30"/>
      <c r="K1312" s="30"/>
      <c r="L1312" s="29"/>
      <c r="M1312" s="29"/>
      <c r="N1312" s="29"/>
      <c r="O1312" s="29"/>
      <c r="P1312" s="29"/>
      <c r="Q1312" s="29"/>
      <c r="R1312" s="29"/>
      <c r="S1312" s="29"/>
      <c r="T1312" s="29"/>
      <c r="U1312" s="31"/>
      <c r="V1312" s="31"/>
      <c r="W1312" s="31"/>
      <c r="X1312" s="31"/>
      <c r="Y1312" s="31"/>
    </row>
    <row r="1313" spans="1:25" x14ac:dyDescent="0.2">
      <c r="A1313" s="29"/>
      <c r="B1313" s="29"/>
      <c r="C1313" s="29"/>
      <c r="D1313" s="29"/>
      <c r="E1313" s="29"/>
      <c r="F1313" s="30"/>
      <c r="G1313" s="30"/>
      <c r="H1313" s="30"/>
      <c r="I1313" s="30"/>
      <c r="J1313" s="30"/>
      <c r="K1313" s="30"/>
      <c r="L1313" s="29"/>
      <c r="M1313" s="29"/>
      <c r="N1313" s="29"/>
      <c r="O1313" s="29"/>
      <c r="P1313" s="29"/>
      <c r="Q1313" s="29"/>
      <c r="R1313" s="29"/>
      <c r="S1313" s="29"/>
      <c r="T1313" s="29"/>
      <c r="U1313" s="31"/>
      <c r="V1313" s="31"/>
      <c r="W1313" s="31"/>
      <c r="X1313" s="31"/>
      <c r="Y1313" s="31"/>
    </row>
    <row r="1314" spans="1:25" x14ac:dyDescent="0.2">
      <c r="A1314" s="29"/>
      <c r="B1314" s="29"/>
      <c r="C1314" s="29"/>
      <c r="D1314" s="29"/>
      <c r="E1314" s="29"/>
      <c r="F1314" s="30"/>
      <c r="G1314" s="30"/>
      <c r="H1314" s="30"/>
      <c r="I1314" s="30"/>
      <c r="J1314" s="30"/>
      <c r="K1314" s="30"/>
      <c r="L1314" s="29"/>
      <c r="M1314" s="29"/>
      <c r="N1314" s="29"/>
      <c r="O1314" s="29"/>
      <c r="P1314" s="29"/>
      <c r="Q1314" s="29"/>
      <c r="R1314" s="29"/>
      <c r="S1314" s="29"/>
      <c r="T1314" s="29"/>
      <c r="U1314" s="31"/>
      <c r="V1314" s="31"/>
      <c r="W1314" s="31"/>
      <c r="X1314" s="31"/>
      <c r="Y1314" s="31"/>
    </row>
    <row r="1315" spans="1:25" x14ac:dyDescent="0.2">
      <c r="A1315" s="29"/>
      <c r="B1315" s="29"/>
      <c r="C1315" s="29"/>
      <c r="D1315" s="29"/>
      <c r="E1315" s="29"/>
      <c r="F1315" s="30"/>
      <c r="G1315" s="30"/>
      <c r="H1315" s="30"/>
      <c r="I1315" s="30"/>
      <c r="J1315" s="30"/>
      <c r="K1315" s="30"/>
      <c r="L1315" s="29"/>
      <c r="M1315" s="29"/>
      <c r="N1315" s="29"/>
      <c r="O1315" s="29"/>
      <c r="P1315" s="29"/>
      <c r="Q1315" s="29"/>
      <c r="R1315" s="29"/>
      <c r="S1315" s="29"/>
      <c r="T1315" s="29"/>
      <c r="U1315" s="31"/>
      <c r="V1315" s="31"/>
      <c r="W1315" s="31"/>
      <c r="X1315" s="31"/>
      <c r="Y1315" s="31"/>
    </row>
    <row r="1316" spans="1:25" x14ac:dyDescent="0.2">
      <c r="A1316" s="29"/>
      <c r="B1316" s="29"/>
      <c r="C1316" s="29"/>
      <c r="D1316" s="29"/>
      <c r="E1316" s="29"/>
      <c r="F1316" s="30"/>
      <c r="G1316" s="30"/>
      <c r="H1316" s="30"/>
      <c r="I1316" s="30"/>
      <c r="J1316" s="30"/>
      <c r="K1316" s="30"/>
      <c r="L1316" s="29"/>
      <c r="M1316" s="29"/>
      <c r="N1316" s="29"/>
      <c r="O1316" s="29"/>
      <c r="P1316" s="29"/>
      <c r="Q1316" s="29"/>
      <c r="R1316" s="29"/>
      <c r="S1316" s="29"/>
      <c r="T1316" s="29"/>
      <c r="U1316" s="31"/>
      <c r="V1316" s="31"/>
      <c r="W1316" s="31"/>
      <c r="X1316" s="31"/>
      <c r="Y1316" s="31"/>
    </row>
    <row r="1317" spans="1:25" x14ac:dyDescent="0.2">
      <c r="A1317" s="29"/>
      <c r="B1317" s="29"/>
      <c r="C1317" s="29"/>
      <c r="D1317" s="29"/>
      <c r="E1317" s="29"/>
      <c r="F1317" s="30"/>
      <c r="G1317" s="30"/>
      <c r="H1317" s="30"/>
      <c r="I1317" s="30"/>
      <c r="J1317" s="30"/>
      <c r="K1317" s="30"/>
      <c r="L1317" s="29"/>
      <c r="M1317" s="29"/>
      <c r="N1317" s="29"/>
      <c r="O1317" s="29"/>
      <c r="P1317" s="29"/>
      <c r="Q1317" s="29"/>
      <c r="R1317" s="29"/>
      <c r="S1317" s="29"/>
      <c r="T1317" s="29"/>
      <c r="U1317" s="31"/>
      <c r="V1317" s="31"/>
      <c r="W1317" s="31"/>
      <c r="X1317" s="31"/>
      <c r="Y1317" s="31"/>
    </row>
    <row r="1318" spans="1:25" x14ac:dyDescent="0.2">
      <c r="A1318" s="29"/>
      <c r="B1318" s="29"/>
      <c r="C1318" s="29"/>
      <c r="D1318" s="29"/>
      <c r="E1318" s="29"/>
      <c r="F1318" s="30"/>
      <c r="G1318" s="30"/>
      <c r="H1318" s="30"/>
      <c r="I1318" s="30"/>
      <c r="J1318" s="30"/>
      <c r="K1318" s="30"/>
      <c r="L1318" s="29"/>
      <c r="M1318" s="29"/>
      <c r="N1318" s="29"/>
      <c r="O1318" s="29"/>
      <c r="P1318" s="29"/>
      <c r="Q1318" s="29"/>
      <c r="R1318" s="29"/>
      <c r="S1318" s="29"/>
      <c r="T1318" s="29"/>
      <c r="U1318" s="31"/>
      <c r="V1318" s="31"/>
      <c r="W1318" s="31"/>
      <c r="X1318" s="31"/>
      <c r="Y1318" s="31"/>
    </row>
    <row r="1319" spans="1:25" x14ac:dyDescent="0.2">
      <c r="A1319" s="29"/>
      <c r="B1319" s="29"/>
      <c r="C1319" s="29"/>
      <c r="D1319" s="29"/>
      <c r="E1319" s="29"/>
      <c r="F1319" s="30"/>
      <c r="G1319" s="30"/>
      <c r="H1319" s="30"/>
      <c r="I1319" s="30"/>
      <c r="J1319" s="30"/>
      <c r="K1319" s="30"/>
      <c r="L1319" s="29"/>
      <c r="M1319" s="29"/>
      <c r="N1319" s="29"/>
      <c r="O1319" s="29"/>
      <c r="P1319" s="29"/>
      <c r="Q1319" s="29"/>
      <c r="R1319" s="29"/>
      <c r="S1319" s="29"/>
      <c r="T1319" s="29"/>
      <c r="U1319" s="31"/>
      <c r="V1319" s="31"/>
      <c r="W1319" s="31"/>
      <c r="X1319" s="31"/>
      <c r="Y1319" s="31"/>
    </row>
    <row r="1320" spans="1:25" x14ac:dyDescent="0.2">
      <c r="A1320" s="29"/>
      <c r="B1320" s="29"/>
      <c r="C1320" s="29"/>
      <c r="D1320" s="29"/>
      <c r="E1320" s="29"/>
      <c r="F1320" s="30"/>
      <c r="G1320" s="30"/>
      <c r="H1320" s="30"/>
      <c r="I1320" s="30"/>
      <c r="J1320" s="30"/>
      <c r="K1320" s="30"/>
      <c r="L1320" s="29"/>
      <c r="M1320" s="29"/>
      <c r="N1320" s="29"/>
      <c r="O1320" s="29"/>
      <c r="P1320" s="29"/>
      <c r="Q1320" s="29"/>
      <c r="R1320" s="29"/>
      <c r="S1320" s="29"/>
      <c r="T1320" s="29"/>
      <c r="U1320" s="31"/>
      <c r="V1320" s="31"/>
      <c r="W1320" s="31"/>
      <c r="X1320" s="31"/>
      <c r="Y1320" s="31"/>
    </row>
    <row r="1321" spans="1:25" x14ac:dyDescent="0.2">
      <c r="A1321" s="29"/>
      <c r="B1321" s="29"/>
      <c r="C1321" s="29"/>
      <c r="D1321" s="29"/>
      <c r="E1321" s="29"/>
      <c r="F1321" s="30"/>
      <c r="G1321" s="30"/>
      <c r="H1321" s="30"/>
      <c r="I1321" s="30"/>
      <c r="J1321" s="30"/>
      <c r="K1321" s="30"/>
      <c r="L1321" s="29"/>
      <c r="M1321" s="29"/>
      <c r="N1321" s="29"/>
      <c r="O1321" s="29"/>
      <c r="P1321" s="29"/>
      <c r="Q1321" s="29"/>
      <c r="R1321" s="29"/>
      <c r="S1321" s="29"/>
      <c r="T1321" s="29"/>
      <c r="U1321" s="31"/>
      <c r="V1321" s="31"/>
      <c r="W1321" s="31"/>
      <c r="X1321" s="31"/>
      <c r="Y1321" s="31"/>
    </row>
    <row r="1322" spans="1:25" x14ac:dyDescent="0.2">
      <c r="A1322" s="29"/>
      <c r="B1322" s="29"/>
      <c r="C1322" s="29"/>
      <c r="D1322" s="29"/>
      <c r="E1322" s="29"/>
      <c r="F1322" s="30"/>
      <c r="G1322" s="30"/>
      <c r="H1322" s="30"/>
      <c r="I1322" s="30"/>
      <c r="J1322" s="30"/>
      <c r="K1322" s="30"/>
      <c r="L1322" s="29"/>
      <c r="M1322" s="29"/>
      <c r="N1322" s="29"/>
      <c r="O1322" s="29"/>
      <c r="P1322" s="29"/>
      <c r="Q1322" s="29"/>
      <c r="R1322" s="29"/>
      <c r="S1322" s="29"/>
      <c r="T1322" s="29"/>
      <c r="U1322" s="31"/>
      <c r="V1322" s="31"/>
      <c r="W1322" s="31"/>
      <c r="X1322" s="31"/>
      <c r="Y1322" s="31"/>
    </row>
    <row r="1323" spans="1:25" x14ac:dyDescent="0.2">
      <c r="A1323" s="29"/>
      <c r="B1323" s="29"/>
      <c r="C1323" s="29"/>
      <c r="D1323" s="29"/>
      <c r="E1323" s="29"/>
      <c r="F1323" s="30"/>
      <c r="G1323" s="30"/>
      <c r="H1323" s="30"/>
      <c r="I1323" s="30"/>
      <c r="J1323" s="30"/>
      <c r="K1323" s="30"/>
      <c r="L1323" s="29"/>
      <c r="M1323" s="29"/>
      <c r="N1323" s="29"/>
      <c r="O1323" s="29"/>
      <c r="P1323" s="29"/>
      <c r="Q1323" s="29"/>
      <c r="R1323" s="29"/>
      <c r="S1323" s="29"/>
      <c r="T1323" s="29"/>
      <c r="U1323" s="31"/>
      <c r="V1323" s="31"/>
      <c r="W1323" s="31"/>
      <c r="X1323" s="31"/>
      <c r="Y1323" s="31"/>
    </row>
    <row r="1324" spans="1:25" x14ac:dyDescent="0.2">
      <c r="A1324" s="29"/>
      <c r="B1324" s="29"/>
      <c r="C1324" s="29"/>
      <c r="D1324" s="29"/>
      <c r="E1324" s="29"/>
      <c r="F1324" s="30"/>
      <c r="G1324" s="30"/>
      <c r="H1324" s="30"/>
      <c r="I1324" s="30"/>
      <c r="J1324" s="30"/>
      <c r="K1324" s="30"/>
      <c r="L1324" s="29"/>
      <c r="M1324" s="29"/>
      <c r="N1324" s="29"/>
      <c r="O1324" s="29"/>
      <c r="P1324" s="29"/>
      <c r="Q1324" s="29"/>
      <c r="R1324" s="29"/>
      <c r="S1324" s="29"/>
      <c r="T1324" s="29"/>
      <c r="U1324" s="31"/>
      <c r="V1324" s="31"/>
      <c r="W1324" s="31"/>
      <c r="X1324" s="31"/>
      <c r="Y1324" s="31"/>
    </row>
    <row r="1325" spans="1:25" x14ac:dyDescent="0.2">
      <c r="A1325" s="29"/>
      <c r="B1325" s="29"/>
      <c r="C1325" s="29"/>
      <c r="D1325" s="29"/>
      <c r="E1325" s="29"/>
      <c r="F1325" s="30"/>
      <c r="G1325" s="30"/>
      <c r="H1325" s="30"/>
      <c r="I1325" s="30"/>
      <c r="J1325" s="30"/>
      <c r="K1325" s="30"/>
      <c r="L1325" s="29"/>
      <c r="M1325" s="29"/>
      <c r="N1325" s="29"/>
      <c r="O1325" s="29"/>
      <c r="P1325" s="29"/>
      <c r="Q1325" s="29"/>
      <c r="R1325" s="29"/>
      <c r="S1325" s="29"/>
      <c r="T1325" s="29"/>
      <c r="U1325" s="31"/>
      <c r="V1325" s="31"/>
      <c r="W1325" s="31"/>
      <c r="X1325" s="31"/>
      <c r="Y1325" s="31"/>
    </row>
    <row r="1326" spans="1:25" x14ac:dyDescent="0.2">
      <c r="A1326" s="29"/>
      <c r="B1326" s="29"/>
      <c r="C1326" s="29"/>
      <c r="D1326" s="29"/>
      <c r="E1326" s="29"/>
      <c r="F1326" s="30"/>
      <c r="G1326" s="30"/>
      <c r="H1326" s="30"/>
      <c r="I1326" s="30"/>
      <c r="J1326" s="30"/>
      <c r="K1326" s="30"/>
      <c r="L1326" s="29"/>
      <c r="M1326" s="29"/>
      <c r="N1326" s="29"/>
      <c r="O1326" s="29"/>
      <c r="P1326" s="29"/>
      <c r="Q1326" s="29"/>
      <c r="R1326" s="29"/>
      <c r="S1326" s="29"/>
      <c r="T1326" s="29"/>
      <c r="U1326" s="31"/>
      <c r="V1326" s="31"/>
      <c r="W1326" s="31"/>
      <c r="X1326" s="31"/>
      <c r="Y1326" s="31"/>
    </row>
    <row r="1327" spans="1:25" x14ac:dyDescent="0.2">
      <c r="A1327" s="29"/>
      <c r="B1327" s="29"/>
      <c r="C1327" s="29"/>
      <c r="D1327" s="29"/>
      <c r="E1327" s="29"/>
      <c r="F1327" s="30"/>
      <c r="G1327" s="30"/>
      <c r="H1327" s="30"/>
      <c r="I1327" s="30"/>
      <c r="J1327" s="30"/>
      <c r="K1327" s="30"/>
      <c r="L1327" s="29"/>
      <c r="M1327" s="29"/>
      <c r="N1327" s="29"/>
      <c r="O1327" s="29"/>
      <c r="P1327" s="29"/>
      <c r="Q1327" s="29"/>
      <c r="R1327" s="29"/>
      <c r="S1327" s="29"/>
      <c r="T1327" s="29"/>
      <c r="U1327" s="31"/>
      <c r="V1327" s="31"/>
      <c r="W1327" s="31"/>
      <c r="X1327" s="31"/>
      <c r="Y1327" s="31"/>
    </row>
    <row r="1328" spans="1:25" x14ac:dyDescent="0.2">
      <c r="A1328" s="29"/>
      <c r="B1328" s="29"/>
      <c r="C1328" s="29"/>
      <c r="D1328" s="29"/>
      <c r="E1328" s="29"/>
      <c r="F1328" s="30"/>
      <c r="G1328" s="30"/>
      <c r="H1328" s="30"/>
      <c r="I1328" s="30"/>
      <c r="J1328" s="30"/>
      <c r="K1328" s="30"/>
      <c r="L1328" s="29"/>
      <c r="M1328" s="29"/>
      <c r="N1328" s="29"/>
      <c r="O1328" s="29"/>
      <c r="P1328" s="29"/>
      <c r="Q1328" s="29"/>
      <c r="R1328" s="29"/>
      <c r="S1328" s="29"/>
      <c r="T1328" s="29"/>
      <c r="U1328" s="31"/>
      <c r="V1328" s="31"/>
      <c r="W1328" s="31"/>
      <c r="X1328" s="31"/>
      <c r="Y1328" s="31"/>
    </row>
    <row r="1329" spans="1:25" x14ac:dyDescent="0.2">
      <c r="A1329" s="29"/>
      <c r="B1329" s="29"/>
      <c r="C1329" s="29"/>
      <c r="D1329" s="29"/>
      <c r="E1329" s="29"/>
      <c r="F1329" s="30"/>
      <c r="G1329" s="30"/>
      <c r="H1329" s="30"/>
      <c r="I1329" s="30"/>
      <c r="J1329" s="30"/>
      <c r="K1329" s="30"/>
      <c r="L1329" s="29"/>
      <c r="M1329" s="29"/>
      <c r="N1329" s="29"/>
      <c r="O1329" s="29"/>
      <c r="P1329" s="29"/>
      <c r="Q1329" s="29"/>
      <c r="R1329" s="29"/>
      <c r="S1329" s="29"/>
      <c r="T1329" s="29"/>
      <c r="U1329" s="31"/>
      <c r="V1329" s="31"/>
      <c r="W1329" s="31"/>
      <c r="X1329" s="31"/>
      <c r="Y1329" s="31"/>
    </row>
    <row r="1330" spans="1:25" x14ac:dyDescent="0.2">
      <c r="A1330" s="29"/>
      <c r="B1330" s="29"/>
      <c r="C1330" s="29"/>
      <c r="D1330" s="29"/>
      <c r="E1330" s="29"/>
      <c r="F1330" s="30"/>
      <c r="G1330" s="30"/>
      <c r="H1330" s="30"/>
      <c r="I1330" s="30"/>
      <c r="J1330" s="30"/>
      <c r="K1330" s="30"/>
      <c r="L1330" s="29"/>
      <c r="M1330" s="29"/>
      <c r="N1330" s="29"/>
      <c r="O1330" s="29"/>
      <c r="P1330" s="29"/>
      <c r="Q1330" s="29"/>
      <c r="R1330" s="29"/>
      <c r="S1330" s="29"/>
      <c r="T1330" s="29"/>
      <c r="U1330" s="31"/>
      <c r="V1330" s="31"/>
      <c r="W1330" s="31"/>
      <c r="X1330" s="31"/>
      <c r="Y1330" s="31"/>
    </row>
    <row r="1331" spans="1:25" x14ac:dyDescent="0.2">
      <c r="A1331" s="29"/>
      <c r="B1331" s="29"/>
      <c r="C1331" s="29"/>
      <c r="D1331" s="29"/>
      <c r="E1331" s="29"/>
      <c r="F1331" s="30"/>
      <c r="G1331" s="30"/>
      <c r="H1331" s="30"/>
      <c r="I1331" s="30"/>
      <c r="J1331" s="30"/>
      <c r="K1331" s="30"/>
      <c r="L1331" s="29"/>
      <c r="M1331" s="29"/>
      <c r="N1331" s="29"/>
      <c r="O1331" s="29"/>
      <c r="P1331" s="29"/>
      <c r="Q1331" s="29"/>
      <c r="R1331" s="29"/>
      <c r="S1331" s="29"/>
      <c r="T1331" s="29"/>
      <c r="U1331" s="31"/>
      <c r="V1331" s="31"/>
      <c r="W1331" s="31"/>
      <c r="X1331" s="31"/>
      <c r="Y1331" s="31"/>
    </row>
    <row r="1332" spans="1:25" x14ac:dyDescent="0.2">
      <c r="A1332" s="29"/>
      <c r="B1332" s="29"/>
      <c r="C1332" s="29"/>
      <c r="D1332" s="29"/>
      <c r="E1332" s="29"/>
      <c r="F1332" s="30"/>
      <c r="G1332" s="30"/>
      <c r="H1332" s="30"/>
      <c r="I1332" s="30"/>
      <c r="J1332" s="30"/>
      <c r="K1332" s="30"/>
      <c r="L1332" s="29"/>
      <c r="M1332" s="29"/>
      <c r="N1332" s="29"/>
      <c r="O1332" s="29"/>
      <c r="P1332" s="29"/>
      <c r="Q1332" s="29"/>
      <c r="R1332" s="29"/>
      <c r="S1332" s="29"/>
      <c r="T1332" s="29"/>
      <c r="U1332" s="31"/>
      <c r="V1332" s="31"/>
      <c r="W1332" s="31"/>
      <c r="X1332" s="31"/>
      <c r="Y1332" s="31"/>
    </row>
    <row r="1333" spans="1:25" x14ac:dyDescent="0.2">
      <c r="A1333" s="29"/>
      <c r="B1333" s="29"/>
      <c r="C1333" s="29"/>
      <c r="D1333" s="29"/>
      <c r="E1333" s="29"/>
      <c r="F1333" s="30"/>
      <c r="G1333" s="30"/>
      <c r="H1333" s="30"/>
      <c r="I1333" s="30"/>
      <c r="J1333" s="30"/>
      <c r="K1333" s="30"/>
      <c r="L1333" s="29"/>
      <c r="M1333" s="29"/>
      <c r="N1333" s="29"/>
      <c r="O1333" s="29"/>
      <c r="P1333" s="29"/>
      <c r="Q1333" s="29"/>
      <c r="R1333" s="29"/>
      <c r="S1333" s="29"/>
      <c r="T1333" s="29"/>
      <c r="U1333" s="31"/>
      <c r="V1333" s="31"/>
      <c r="W1333" s="31"/>
      <c r="X1333" s="31"/>
      <c r="Y1333" s="31"/>
    </row>
    <row r="1334" spans="1:25" x14ac:dyDescent="0.2">
      <c r="A1334" s="29"/>
      <c r="B1334" s="29"/>
      <c r="C1334" s="29"/>
      <c r="D1334" s="29"/>
      <c r="E1334" s="29"/>
      <c r="F1334" s="30"/>
      <c r="G1334" s="30"/>
      <c r="H1334" s="30"/>
      <c r="I1334" s="30"/>
      <c r="J1334" s="30"/>
      <c r="K1334" s="30"/>
      <c r="L1334" s="29"/>
      <c r="M1334" s="29"/>
      <c r="N1334" s="29"/>
      <c r="O1334" s="29"/>
      <c r="P1334" s="29"/>
      <c r="Q1334" s="29"/>
      <c r="R1334" s="29"/>
      <c r="S1334" s="29"/>
      <c r="T1334" s="29"/>
      <c r="U1334" s="31"/>
      <c r="V1334" s="31"/>
      <c r="W1334" s="31"/>
      <c r="X1334" s="31"/>
      <c r="Y1334" s="31"/>
    </row>
    <row r="1335" spans="1:25" x14ac:dyDescent="0.2">
      <c r="A1335" s="29"/>
      <c r="B1335" s="29"/>
      <c r="C1335" s="29"/>
      <c r="D1335" s="29"/>
      <c r="E1335" s="29"/>
      <c r="F1335" s="30"/>
      <c r="G1335" s="30"/>
      <c r="H1335" s="30"/>
      <c r="I1335" s="30"/>
      <c r="J1335" s="30"/>
      <c r="K1335" s="30"/>
      <c r="L1335" s="29"/>
      <c r="M1335" s="29"/>
      <c r="N1335" s="29"/>
      <c r="O1335" s="29"/>
      <c r="P1335" s="29"/>
      <c r="Q1335" s="29"/>
      <c r="R1335" s="29"/>
      <c r="S1335" s="29"/>
      <c r="T1335" s="29"/>
      <c r="U1335" s="31"/>
      <c r="V1335" s="31"/>
      <c r="W1335" s="31"/>
      <c r="X1335" s="31"/>
      <c r="Y1335" s="31"/>
    </row>
    <row r="1336" spans="1:25" x14ac:dyDescent="0.2">
      <c r="A1336" s="29"/>
      <c r="B1336" s="29"/>
      <c r="C1336" s="29"/>
      <c r="D1336" s="29"/>
      <c r="E1336" s="29"/>
      <c r="F1336" s="30"/>
      <c r="G1336" s="30"/>
      <c r="H1336" s="30"/>
      <c r="I1336" s="30"/>
      <c r="J1336" s="30"/>
      <c r="K1336" s="30"/>
      <c r="L1336" s="29"/>
      <c r="M1336" s="29"/>
      <c r="N1336" s="29"/>
      <c r="O1336" s="29"/>
      <c r="P1336" s="29"/>
      <c r="Q1336" s="29"/>
      <c r="R1336" s="29"/>
      <c r="S1336" s="29"/>
      <c r="T1336" s="29"/>
      <c r="U1336" s="31"/>
      <c r="V1336" s="31"/>
      <c r="W1336" s="31"/>
      <c r="X1336" s="31"/>
      <c r="Y1336" s="31"/>
    </row>
    <row r="1337" spans="1:25" x14ac:dyDescent="0.2">
      <c r="A1337" s="29"/>
      <c r="B1337" s="29"/>
      <c r="C1337" s="29"/>
      <c r="D1337" s="29"/>
      <c r="E1337" s="29"/>
      <c r="F1337" s="30"/>
      <c r="G1337" s="30"/>
      <c r="H1337" s="30"/>
      <c r="I1337" s="30"/>
      <c r="J1337" s="30"/>
      <c r="K1337" s="30"/>
      <c r="L1337" s="29"/>
      <c r="M1337" s="29"/>
      <c r="N1337" s="29"/>
      <c r="O1337" s="29"/>
      <c r="P1337" s="29"/>
      <c r="Q1337" s="29"/>
      <c r="R1337" s="29"/>
      <c r="S1337" s="29"/>
      <c r="T1337" s="29"/>
      <c r="U1337" s="31"/>
      <c r="V1337" s="31"/>
      <c r="W1337" s="31"/>
      <c r="X1337" s="31"/>
      <c r="Y1337" s="31"/>
    </row>
    <row r="1338" spans="1:25" x14ac:dyDescent="0.2">
      <c r="A1338" s="29"/>
      <c r="B1338" s="29"/>
      <c r="C1338" s="29"/>
      <c r="D1338" s="29"/>
      <c r="E1338" s="29"/>
      <c r="F1338" s="30"/>
      <c r="G1338" s="30"/>
      <c r="H1338" s="30"/>
      <c r="I1338" s="30"/>
      <c r="J1338" s="30"/>
      <c r="K1338" s="30"/>
      <c r="L1338" s="29"/>
      <c r="M1338" s="29"/>
      <c r="N1338" s="29"/>
      <c r="O1338" s="29"/>
      <c r="P1338" s="29"/>
      <c r="Q1338" s="29"/>
      <c r="R1338" s="29"/>
      <c r="S1338" s="29"/>
      <c r="T1338" s="29"/>
      <c r="U1338" s="31"/>
      <c r="V1338" s="31"/>
      <c r="W1338" s="31"/>
      <c r="X1338" s="31"/>
      <c r="Y1338" s="31"/>
    </row>
    <row r="1339" spans="1:25" x14ac:dyDescent="0.2">
      <c r="A1339" s="29"/>
      <c r="B1339" s="29"/>
      <c r="C1339" s="29"/>
      <c r="D1339" s="29"/>
      <c r="E1339" s="29"/>
      <c r="F1339" s="30"/>
      <c r="G1339" s="30"/>
      <c r="H1339" s="30"/>
      <c r="I1339" s="30"/>
      <c r="J1339" s="30"/>
      <c r="K1339" s="30"/>
      <c r="L1339" s="29"/>
      <c r="M1339" s="29"/>
      <c r="N1339" s="29"/>
      <c r="O1339" s="29"/>
      <c r="P1339" s="29"/>
      <c r="Q1339" s="29"/>
      <c r="R1339" s="29"/>
      <c r="S1339" s="29"/>
      <c r="T1339" s="29"/>
      <c r="U1339" s="31"/>
      <c r="V1339" s="31"/>
      <c r="W1339" s="31"/>
      <c r="X1339" s="31"/>
      <c r="Y1339" s="31"/>
    </row>
    <row r="1340" spans="1:25" x14ac:dyDescent="0.2">
      <c r="A1340" s="29"/>
      <c r="B1340" s="29"/>
      <c r="C1340" s="29"/>
      <c r="D1340" s="29"/>
      <c r="E1340" s="29"/>
      <c r="F1340" s="30"/>
      <c r="G1340" s="30"/>
      <c r="H1340" s="30"/>
      <c r="I1340" s="30"/>
      <c r="J1340" s="30"/>
      <c r="K1340" s="30"/>
      <c r="L1340" s="29"/>
      <c r="M1340" s="29"/>
      <c r="N1340" s="29"/>
      <c r="O1340" s="29"/>
      <c r="P1340" s="29"/>
      <c r="Q1340" s="29"/>
      <c r="R1340" s="29"/>
      <c r="S1340" s="29"/>
      <c r="T1340" s="29"/>
      <c r="U1340" s="31"/>
      <c r="V1340" s="31"/>
      <c r="W1340" s="31"/>
      <c r="X1340" s="31"/>
      <c r="Y1340" s="31"/>
    </row>
    <row r="1341" spans="1:25" x14ac:dyDescent="0.2">
      <c r="A1341" s="29"/>
      <c r="B1341" s="29"/>
      <c r="C1341" s="29"/>
      <c r="D1341" s="29"/>
      <c r="E1341" s="29"/>
      <c r="F1341" s="30"/>
      <c r="G1341" s="30"/>
      <c r="H1341" s="30"/>
      <c r="I1341" s="30"/>
      <c r="J1341" s="30"/>
      <c r="K1341" s="30"/>
      <c r="L1341" s="29"/>
      <c r="M1341" s="29"/>
      <c r="N1341" s="29"/>
      <c r="O1341" s="29"/>
      <c r="P1341" s="29"/>
      <c r="Q1341" s="29"/>
      <c r="R1341" s="29"/>
      <c r="S1341" s="29"/>
      <c r="T1341" s="29"/>
      <c r="U1341" s="31"/>
      <c r="V1341" s="31"/>
      <c r="W1341" s="31"/>
      <c r="X1341" s="31"/>
      <c r="Y1341" s="31"/>
    </row>
    <row r="1342" spans="1:25" x14ac:dyDescent="0.2">
      <c r="A1342" s="29"/>
      <c r="B1342" s="29"/>
      <c r="C1342" s="29"/>
      <c r="D1342" s="29"/>
      <c r="E1342" s="29"/>
      <c r="F1342" s="30"/>
      <c r="G1342" s="30"/>
      <c r="H1342" s="30"/>
      <c r="I1342" s="30"/>
      <c r="J1342" s="30"/>
      <c r="K1342" s="30"/>
      <c r="L1342" s="29"/>
      <c r="M1342" s="29"/>
      <c r="N1342" s="29"/>
      <c r="O1342" s="29"/>
      <c r="P1342" s="29"/>
      <c r="Q1342" s="29"/>
      <c r="R1342" s="29"/>
      <c r="S1342" s="29"/>
      <c r="T1342" s="29"/>
      <c r="U1342" s="31"/>
      <c r="V1342" s="31"/>
      <c r="W1342" s="31"/>
      <c r="X1342" s="31"/>
      <c r="Y1342" s="31"/>
    </row>
    <row r="1343" spans="1:25" x14ac:dyDescent="0.2">
      <c r="A1343" s="29"/>
      <c r="B1343" s="29"/>
      <c r="C1343" s="29"/>
      <c r="D1343" s="29"/>
      <c r="E1343" s="29"/>
      <c r="F1343" s="30"/>
      <c r="G1343" s="30"/>
      <c r="H1343" s="30"/>
      <c r="I1343" s="30"/>
      <c r="J1343" s="30"/>
      <c r="K1343" s="30"/>
      <c r="L1343" s="29"/>
      <c r="M1343" s="29"/>
      <c r="N1343" s="29"/>
      <c r="O1343" s="29"/>
      <c r="P1343" s="29"/>
      <c r="Q1343" s="29"/>
      <c r="R1343" s="29"/>
      <c r="S1343" s="29"/>
      <c r="T1343" s="29"/>
      <c r="U1343" s="31"/>
      <c r="V1343" s="31"/>
      <c r="W1343" s="31"/>
      <c r="X1343" s="31"/>
      <c r="Y1343" s="31"/>
    </row>
    <row r="1344" spans="1:25" x14ac:dyDescent="0.2">
      <c r="A1344" s="29"/>
      <c r="B1344" s="29"/>
      <c r="C1344" s="29"/>
      <c r="D1344" s="29"/>
      <c r="E1344" s="29"/>
      <c r="F1344" s="30"/>
      <c r="G1344" s="30"/>
      <c r="H1344" s="30"/>
      <c r="I1344" s="30"/>
      <c r="J1344" s="30"/>
      <c r="K1344" s="30"/>
      <c r="L1344" s="29"/>
      <c r="M1344" s="29"/>
      <c r="N1344" s="29"/>
      <c r="O1344" s="29"/>
      <c r="P1344" s="29"/>
      <c r="Q1344" s="29"/>
      <c r="R1344" s="29"/>
      <c r="S1344" s="29"/>
      <c r="T1344" s="29"/>
      <c r="U1344" s="31"/>
      <c r="V1344" s="31"/>
      <c r="W1344" s="31"/>
      <c r="X1344" s="31"/>
      <c r="Y1344" s="31"/>
    </row>
    <row r="1345" spans="1:25" x14ac:dyDescent="0.2">
      <c r="A1345" s="29"/>
      <c r="B1345" s="29"/>
      <c r="C1345" s="29"/>
      <c r="D1345" s="29"/>
      <c r="E1345" s="29"/>
      <c r="F1345" s="30"/>
      <c r="G1345" s="30"/>
      <c r="H1345" s="30"/>
      <c r="I1345" s="30"/>
      <c r="J1345" s="30"/>
      <c r="K1345" s="30"/>
      <c r="L1345" s="29"/>
      <c r="M1345" s="29"/>
      <c r="N1345" s="29"/>
      <c r="O1345" s="29"/>
      <c r="P1345" s="29"/>
      <c r="Q1345" s="29"/>
      <c r="R1345" s="29"/>
      <c r="S1345" s="29"/>
      <c r="T1345" s="29"/>
      <c r="U1345" s="31"/>
      <c r="V1345" s="31"/>
      <c r="W1345" s="31"/>
      <c r="X1345" s="31"/>
      <c r="Y1345" s="31"/>
    </row>
    <row r="1346" spans="1:25" x14ac:dyDescent="0.2">
      <c r="A1346" s="29"/>
      <c r="B1346" s="29"/>
      <c r="C1346" s="29"/>
      <c r="D1346" s="29"/>
      <c r="E1346" s="29"/>
      <c r="F1346" s="30"/>
      <c r="G1346" s="30"/>
      <c r="H1346" s="30"/>
      <c r="I1346" s="30"/>
      <c r="J1346" s="30"/>
      <c r="K1346" s="30"/>
      <c r="L1346" s="29"/>
      <c r="M1346" s="29"/>
      <c r="N1346" s="29"/>
      <c r="O1346" s="29"/>
      <c r="P1346" s="29"/>
      <c r="Q1346" s="29"/>
      <c r="R1346" s="29"/>
      <c r="S1346" s="29"/>
      <c r="T1346" s="29"/>
      <c r="U1346" s="31"/>
      <c r="V1346" s="31"/>
      <c r="W1346" s="31"/>
      <c r="X1346" s="31"/>
      <c r="Y1346" s="31"/>
    </row>
    <row r="1347" spans="1:25" x14ac:dyDescent="0.2">
      <c r="A1347" s="29"/>
      <c r="B1347" s="29"/>
      <c r="C1347" s="29"/>
      <c r="D1347" s="29"/>
      <c r="E1347" s="29"/>
      <c r="F1347" s="30"/>
      <c r="G1347" s="30"/>
      <c r="H1347" s="30"/>
      <c r="I1347" s="30"/>
      <c r="J1347" s="30"/>
      <c r="K1347" s="30"/>
      <c r="L1347" s="29"/>
      <c r="M1347" s="29"/>
      <c r="N1347" s="29"/>
      <c r="O1347" s="29"/>
      <c r="P1347" s="29"/>
      <c r="Q1347" s="29"/>
      <c r="R1347" s="29"/>
      <c r="S1347" s="29"/>
      <c r="T1347" s="29"/>
      <c r="U1347" s="31"/>
      <c r="V1347" s="31"/>
      <c r="W1347" s="31"/>
      <c r="X1347" s="31"/>
      <c r="Y1347" s="31"/>
    </row>
    <row r="1348" spans="1:25" x14ac:dyDescent="0.2">
      <c r="A1348" s="29"/>
      <c r="B1348" s="29"/>
      <c r="C1348" s="29"/>
      <c r="D1348" s="29"/>
      <c r="E1348" s="29"/>
      <c r="F1348" s="30"/>
      <c r="G1348" s="30"/>
      <c r="H1348" s="30"/>
      <c r="I1348" s="30"/>
      <c r="J1348" s="30"/>
      <c r="K1348" s="30"/>
      <c r="L1348" s="29"/>
      <c r="M1348" s="29"/>
      <c r="N1348" s="29"/>
      <c r="O1348" s="29"/>
      <c r="P1348" s="29"/>
      <c r="Q1348" s="29"/>
      <c r="R1348" s="29"/>
      <c r="S1348" s="29"/>
      <c r="T1348" s="29"/>
      <c r="U1348" s="31"/>
      <c r="V1348" s="31"/>
      <c r="W1348" s="31"/>
      <c r="X1348" s="31"/>
      <c r="Y1348" s="31"/>
    </row>
    <row r="1349" spans="1:25" x14ac:dyDescent="0.2">
      <c r="A1349" s="29"/>
      <c r="B1349" s="29"/>
      <c r="C1349" s="29"/>
      <c r="D1349" s="29"/>
      <c r="E1349" s="29"/>
      <c r="F1349" s="30"/>
      <c r="G1349" s="30"/>
      <c r="H1349" s="30"/>
      <c r="I1349" s="30"/>
      <c r="J1349" s="30"/>
      <c r="K1349" s="30"/>
      <c r="L1349" s="29"/>
      <c r="M1349" s="29"/>
      <c r="N1349" s="29"/>
      <c r="O1349" s="29"/>
      <c r="P1349" s="29"/>
      <c r="Q1349" s="29"/>
      <c r="R1349" s="29"/>
      <c r="S1349" s="29"/>
      <c r="T1349" s="29"/>
      <c r="U1349" s="31"/>
      <c r="V1349" s="31"/>
      <c r="W1349" s="31"/>
      <c r="X1349" s="31"/>
      <c r="Y1349" s="31"/>
    </row>
    <row r="1350" spans="1:25" x14ac:dyDescent="0.2">
      <c r="A1350" s="29"/>
      <c r="B1350" s="29"/>
      <c r="C1350" s="29"/>
      <c r="D1350" s="29"/>
      <c r="E1350" s="29"/>
      <c r="F1350" s="30"/>
      <c r="G1350" s="30"/>
      <c r="H1350" s="30"/>
      <c r="I1350" s="30"/>
      <c r="J1350" s="30"/>
      <c r="K1350" s="30"/>
      <c r="L1350" s="29"/>
      <c r="M1350" s="29"/>
      <c r="N1350" s="29"/>
      <c r="O1350" s="29"/>
      <c r="P1350" s="29"/>
      <c r="Q1350" s="29"/>
      <c r="R1350" s="29"/>
      <c r="S1350" s="29"/>
      <c r="T1350" s="29"/>
      <c r="U1350" s="31"/>
      <c r="V1350" s="31"/>
      <c r="W1350" s="31"/>
      <c r="X1350" s="31"/>
      <c r="Y1350" s="31"/>
    </row>
    <row r="1351" spans="1:25" x14ac:dyDescent="0.2">
      <c r="A1351" s="29"/>
      <c r="B1351" s="29"/>
      <c r="C1351" s="29"/>
      <c r="D1351" s="29"/>
      <c r="E1351" s="29"/>
      <c r="F1351" s="30"/>
      <c r="G1351" s="30"/>
      <c r="H1351" s="30"/>
      <c r="I1351" s="30"/>
      <c r="J1351" s="30"/>
      <c r="K1351" s="30"/>
      <c r="L1351" s="29"/>
      <c r="M1351" s="29"/>
      <c r="N1351" s="29"/>
      <c r="O1351" s="29"/>
      <c r="P1351" s="29"/>
      <c r="Q1351" s="29"/>
      <c r="R1351" s="29"/>
      <c r="S1351" s="29"/>
      <c r="T1351" s="29"/>
      <c r="U1351" s="31"/>
      <c r="V1351" s="31"/>
      <c r="W1351" s="31"/>
      <c r="X1351" s="31"/>
      <c r="Y1351" s="31"/>
    </row>
    <row r="1352" spans="1:25" x14ac:dyDescent="0.2">
      <c r="A1352" s="29"/>
      <c r="B1352" s="29"/>
      <c r="C1352" s="29"/>
      <c r="D1352" s="29"/>
      <c r="E1352" s="29"/>
      <c r="F1352" s="30"/>
      <c r="G1352" s="30"/>
      <c r="H1352" s="30"/>
      <c r="I1352" s="30"/>
      <c r="J1352" s="30"/>
      <c r="K1352" s="30"/>
      <c r="L1352" s="29"/>
      <c r="M1352" s="29"/>
      <c r="N1352" s="29"/>
      <c r="O1352" s="29"/>
      <c r="P1352" s="29"/>
      <c r="Q1352" s="29"/>
      <c r="R1352" s="29"/>
      <c r="S1352" s="29"/>
      <c r="T1352" s="29"/>
      <c r="U1352" s="31"/>
      <c r="V1352" s="31"/>
      <c r="W1352" s="31"/>
      <c r="X1352" s="31"/>
      <c r="Y1352" s="31"/>
    </row>
    <row r="1353" spans="1:25" x14ac:dyDescent="0.2">
      <c r="A1353" s="29"/>
      <c r="B1353" s="29"/>
      <c r="C1353" s="29"/>
      <c r="D1353" s="29"/>
      <c r="E1353" s="29"/>
      <c r="F1353" s="30"/>
      <c r="G1353" s="30"/>
      <c r="H1353" s="30"/>
      <c r="I1353" s="30"/>
      <c r="J1353" s="30"/>
      <c r="K1353" s="30"/>
      <c r="L1353" s="29"/>
      <c r="M1353" s="29"/>
      <c r="N1353" s="29"/>
      <c r="O1353" s="29"/>
      <c r="P1353" s="29"/>
      <c r="Q1353" s="29"/>
      <c r="R1353" s="29"/>
      <c r="S1353" s="29"/>
      <c r="T1353" s="29"/>
      <c r="U1353" s="31"/>
      <c r="V1353" s="31"/>
      <c r="W1353" s="31"/>
      <c r="X1353" s="31"/>
      <c r="Y1353" s="31"/>
    </row>
    <row r="1354" spans="1:25" x14ac:dyDescent="0.2">
      <c r="A1354" s="29"/>
      <c r="B1354" s="29"/>
      <c r="C1354" s="29"/>
      <c r="D1354" s="29"/>
      <c r="E1354" s="29"/>
      <c r="F1354" s="30"/>
      <c r="G1354" s="30"/>
      <c r="H1354" s="30"/>
      <c r="I1354" s="30"/>
      <c r="J1354" s="30"/>
      <c r="K1354" s="30"/>
      <c r="L1354" s="29"/>
      <c r="M1354" s="29"/>
      <c r="N1354" s="29"/>
      <c r="O1354" s="29"/>
      <c r="P1354" s="29"/>
      <c r="Q1354" s="29"/>
      <c r="R1354" s="29"/>
      <c r="S1354" s="29"/>
      <c r="T1354" s="29"/>
      <c r="U1354" s="31"/>
      <c r="V1354" s="31"/>
      <c r="W1354" s="31"/>
      <c r="X1354" s="31"/>
      <c r="Y1354" s="31"/>
    </row>
    <row r="1355" spans="1:25" x14ac:dyDescent="0.2">
      <c r="A1355" s="29"/>
      <c r="B1355" s="29"/>
      <c r="C1355" s="29"/>
      <c r="D1355" s="29"/>
      <c r="E1355" s="29"/>
      <c r="F1355" s="30"/>
      <c r="G1355" s="30"/>
      <c r="H1355" s="30"/>
      <c r="I1355" s="30"/>
      <c r="J1355" s="30"/>
      <c r="K1355" s="30"/>
      <c r="L1355" s="29"/>
      <c r="M1355" s="29"/>
      <c r="N1355" s="29"/>
      <c r="O1355" s="29"/>
      <c r="P1355" s="29"/>
      <c r="Q1355" s="29"/>
      <c r="R1355" s="29"/>
      <c r="S1355" s="29"/>
      <c r="T1355" s="29"/>
      <c r="U1355" s="31"/>
      <c r="V1355" s="31"/>
      <c r="W1355" s="31"/>
      <c r="X1355" s="31"/>
      <c r="Y1355" s="31"/>
    </row>
    <row r="1356" spans="1:25" x14ac:dyDescent="0.2">
      <c r="A1356" s="29"/>
      <c r="B1356" s="29"/>
      <c r="C1356" s="29"/>
      <c r="D1356" s="29"/>
      <c r="E1356" s="29"/>
      <c r="F1356" s="30"/>
      <c r="G1356" s="30"/>
      <c r="H1356" s="30"/>
      <c r="I1356" s="30"/>
      <c r="J1356" s="30"/>
      <c r="K1356" s="30"/>
      <c r="L1356" s="29"/>
      <c r="M1356" s="29"/>
      <c r="N1356" s="29"/>
      <c r="O1356" s="29"/>
      <c r="P1356" s="29"/>
      <c r="Q1356" s="29"/>
      <c r="R1356" s="29"/>
      <c r="S1356" s="29"/>
      <c r="T1356" s="29"/>
      <c r="U1356" s="31"/>
      <c r="V1356" s="31"/>
      <c r="W1356" s="31"/>
      <c r="X1356" s="31"/>
      <c r="Y1356" s="31"/>
    </row>
    <row r="1357" spans="1:25" x14ac:dyDescent="0.2">
      <c r="A1357" s="29"/>
      <c r="B1357" s="29"/>
      <c r="C1357" s="29"/>
      <c r="D1357" s="29"/>
      <c r="E1357" s="29"/>
      <c r="F1357" s="30"/>
      <c r="G1357" s="30"/>
      <c r="H1357" s="30"/>
      <c r="I1357" s="30"/>
      <c r="J1357" s="30"/>
      <c r="K1357" s="30"/>
      <c r="L1357" s="29"/>
      <c r="M1357" s="29"/>
      <c r="N1357" s="29"/>
      <c r="O1357" s="29"/>
      <c r="P1357" s="29"/>
      <c r="Q1357" s="29"/>
      <c r="R1357" s="29"/>
      <c r="S1357" s="29"/>
      <c r="T1357" s="29"/>
      <c r="U1357" s="31"/>
      <c r="V1357" s="31"/>
      <c r="W1357" s="31"/>
      <c r="X1357" s="31"/>
      <c r="Y1357" s="31"/>
    </row>
    <row r="1358" spans="1:25" x14ac:dyDescent="0.2">
      <c r="A1358" s="29"/>
      <c r="B1358" s="29"/>
      <c r="C1358" s="29"/>
      <c r="D1358" s="29"/>
      <c r="E1358" s="29"/>
      <c r="F1358" s="30"/>
      <c r="G1358" s="30"/>
      <c r="H1358" s="30"/>
      <c r="I1358" s="30"/>
      <c r="J1358" s="30"/>
      <c r="K1358" s="30"/>
      <c r="L1358" s="29"/>
      <c r="M1358" s="29"/>
      <c r="N1358" s="29"/>
      <c r="O1358" s="29"/>
      <c r="P1358" s="29"/>
      <c r="Q1358" s="29"/>
      <c r="R1358" s="29"/>
      <c r="S1358" s="29"/>
      <c r="T1358" s="29"/>
      <c r="U1358" s="31"/>
      <c r="V1358" s="31"/>
      <c r="W1358" s="31"/>
      <c r="X1358" s="31"/>
      <c r="Y1358" s="31"/>
    </row>
    <row r="1359" spans="1:25" x14ac:dyDescent="0.2">
      <c r="A1359" s="29"/>
      <c r="B1359" s="29"/>
      <c r="C1359" s="29"/>
      <c r="D1359" s="29"/>
      <c r="E1359" s="29"/>
      <c r="F1359" s="30"/>
      <c r="G1359" s="30"/>
      <c r="H1359" s="30"/>
      <c r="I1359" s="30"/>
      <c r="J1359" s="30"/>
      <c r="K1359" s="30"/>
      <c r="L1359" s="29"/>
      <c r="M1359" s="29"/>
      <c r="N1359" s="29"/>
      <c r="O1359" s="29"/>
      <c r="P1359" s="29"/>
      <c r="Q1359" s="29"/>
      <c r="R1359" s="29"/>
      <c r="S1359" s="29"/>
      <c r="T1359" s="29"/>
      <c r="U1359" s="31"/>
      <c r="V1359" s="31"/>
      <c r="W1359" s="31"/>
      <c r="X1359" s="31"/>
      <c r="Y1359" s="31"/>
    </row>
    <row r="1360" spans="1:25" x14ac:dyDescent="0.2">
      <c r="A1360" s="29"/>
      <c r="B1360" s="29"/>
      <c r="C1360" s="29"/>
      <c r="D1360" s="29"/>
      <c r="E1360" s="29"/>
      <c r="F1360" s="30"/>
      <c r="G1360" s="30"/>
      <c r="H1360" s="30"/>
      <c r="I1360" s="30"/>
      <c r="J1360" s="30"/>
      <c r="K1360" s="30"/>
      <c r="L1360" s="29"/>
      <c r="M1360" s="29"/>
      <c r="N1360" s="29"/>
      <c r="O1360" s="29"/>
      <c r="P1360" s="29"/>
      <c r="Q1360" s="29"/>
      <c r="R1360" s="29"/>
      <c r="S1360" s="29"/>
      <c r="T1360" s="29"/>
      <c r="U1360" s="31"/>
      <c r="V1360" s="31"/>
      <c r="W1360" s="31"/>
      <c r="X1360" s="31"/>
      <c r="Y1360" s="31"/>
    </row>
    <row r="1361" spans="1:25" x14ac:dyDescent="0.2">
      <c r="A1361" s="29"/>
      <c r="B1361" s="29"/>
      <c r="C1361" s="29"/>
      <c r="D1361" s="29"/>
      <c r="E1361" s="29"/>
      <c r="F1361" s="30"/>
      <c r="G1361" s="30"/>
      <c r="H1361" s="30"/>
      <c r="I1361" s="30"/>
      <c r="J1361" s="30"/>
      <c r="K1361" s="30"/>
      <c r="L1361" s="29"/>
      <c r="M1361" s="29"/>
      <c r="N1361" s="29"/>
      <c r="O1361" s="29"/>
      <c r="P1361" s="29"/>
      <c r="Q1361" s="29"/>
      <c r="R1361" s="29"/>
      <c r="S1361" s="29"/>
      <c r="T1361" s="29"/>
      <c r="U1361" s="31"/>
      <c r="V1361" s="31"/>
      <c r="W1361" s="31"/>
      <c r="X1361" s="31"/>
      <c r="Y1361" s="31"/>
    </row>
    <row r="1362" spans="1:25" x14ac:dyDescent="0.2">
      <c r="A1362" s="29"/>
      <c r="B1362" s="29"/>
      <c r="C1362" s="29"/>
      <c r="D1362" s="29"/>
      <c r="E1362" s="29"/>
      <c r="F1362" s="30"/>
      <c r="G1362" s="30"/>
      <c r="H1362" s="30"/>
      <c r="I1362" s="30"/>
      <c r="J1362" s="30"/>
      <c r="K1362" s="30"/>
      <c r="L1362" s="29"/>
      <c r="M1362" s="29"/>
      <c r="N1362" s="29"/>
      <c r="O1362" s="29"/>
      <c r="P1362" s="29"/>
      <c r="Q1362" s="29"/>
      <c r="R1362" s="29"/>
      <c r="S1362" s="29"/>
      <c r="T1362" s="29"/>
      <c r="U1362" s="31"/>
      <c r="V1362" s="31"/>
      <c r="W1362" s="31"/>
      <c r="X1362" s="31"/>
      <c r="Y1362" s="31"/>
    </row>
    <row r="1363" spans="1:25" x14ac:dyDescent="0.2">
      <c r="A1363" s="29"/>
      <c r="B1363" s="29"/>
      <c r="C1363" s="29"/>
      <c r="D1363" s="29"/>
      <c r="E1363" s="29"/>
      <c r="F1363" s="30"/>
      <c r="G1363" s="30"/>
      <c r="H1363" s="30"/>
      <c r="I1363" s="30"/>
      <c r="J1363" s="30"/>
      <c r="K1363" s="30"/>
      <c r="L1363" s="29"/>
      <c r="M1363" s="29"/>
      <c r="N1363" s="29"/>
      <c r="O1363" s="29"/>
      <c r="P1363" s="29"/>
      <c r="Q1363" s="29"/>
      <c r="R1363" s="29"/>
      <c r="S1363" s="29"/>
      <c r="T1363" s="29"/>
      <c r="U1363" s="31"/>
      <c r="V1363" s="31"/>
      <c r="W1363" s="31"/>
      <c r="X1363" s="31"/>
      <c r="Y1363" s="31"/>
    </row>
    <row r="1364" spans="1:25" x14ac:dyDescent="0.2">
      <c r="A1364" s="29"/>
      <c r="B1364" s="29"/>
      <c r="C1364" s="29"/>
      <c r="D1364" s="29"/>
      <c r="E1364" s="29"/>
      <c r="F1364" s="30"/>
      <c r="G1364" s="30"/>
      <c r="H1364" s="30"/>
      <c r="I1364" s="30"/>
      <c r="J1364" s="30"/>
      <c r="K1364" s="30"/>
      <c r="L1364" s="29"/>
      <c r="M1364" s="29"/>
      <c r="N1364" s="29"/>
      <c r="O1364" s="29"/>
      <c r="P1364" s="29"/>
      <c r="Q1364" s="29"/>
      <c r="R1364" s="29"/>
      <c r="S1364" s="29"/>
      <c r="T1364" s="29"/>
      <c r="U1364" s="31"/>
      <c r="V1364" s="31"/>
      <c r="W1364" s="31"/>
      <c r="X1364" s="31"/>
      <c r="Y1364" s="31"/>
    </row>
    <row r="1365" spans="1:25" x14ac:dyDescent="0.2">
      <c r="A1365" s="29"/>
      <c r="B1365" s="29"/>
      <c r="C1365" s="29"/>
      <c r="D1365" s="29"/>
      <c r="E1365" s="29"/>
      <c r="F1365" s="30"/>
      <c r="G1365" s="30"/>
      <c r="H1365" s="30"/>
      <c r="I1365" s="30"/>
      <c r="J1365" s="30"/>
      <c r="K1365" s="30"/>
      <c r="L1365" s="29"/>
      <c r="M1365" s="29"/>
      <c r="N1365" s="29"/>
      <c r="O1365" s="29"/>
      <c r="P1365" s="29"/>
      <c r="Q1365" s="29"/>
      <c r="R1365" s="29"/>
      <c r="S1365" s="29"/>
      <c r="T1365" s="29"/>
      <c r="U1365" s="31"/>
      <c r="V1365" s="31"/>
      <c r="W1365" s="31"/>
      <c r="X1365" s="31"/>
      <c r="Y1365" s="31"/>
    </row>
    <row r="1366" spans="1:25" x14ac:dyDescent="0.2">
      <c r="A1366" s="29"/>
      <c r="B1366" s="29"/>
      <c r="C1366" s="29"/>
      <c r="D1366" s="29"/>
      <c r="E1366" s="29"/>
      <c r="F1366" s="30"/>
      <c r="G1366" s="30"/>
      <c r="H1366" s="30"/>
      <c r="I1366" s="30"/>
      <c r="J1366" s="30"/>
      <c r="K1366" s="30"/>
      <c r="L1366" s="29"/>
      <c r="M1366" s="29"/>
      <c r="N1366" s="29"/>
      <c r="O1366" s="29"/>
      <c r="P1366" s="29"/>
      <c r="Q1366" s="29"/>
      <c r="R1366" s="29"/>
      <c r="S1366" s="29"/>
      <c r="T1366" s="29"/>
      <c r="U1366" s="31"/>
      <c r="V1366" s="31"/>
      <c r="W1366" s="31"/>
      <c r="X1366" s="31"/>
      <c r="Y1366" s="31"/>
    </row>
    <row r="1367" spans="1:25" x14ac:dyDescent="0.2">
      <c r="A1367" s="29"/>
      <c r="B1367" s="29"/>
      <c r="C1367" s="29"/>
      <c r="D1367" s="29"/>
      <c r="E1367" s="29"/>
      <c r="F1367" s="30"/>
      <c r="G1367" s="30"/>
      <c r="H1367" s="30"/>
      <c r="I1367" s="30"/>
      <c r="J1367" s="30"/>
      <c r="K1367" s="30"/>
      <c r="L1367" s="29"/>
      <c r="M1367" s="29"/>
      <c r="N1367" s="29"/>
      <c r="O1367" s="29"/>
      <c r="P1367" s="29"/>
      <c r="Q1367" s="29"/>
      <c r="R1367" s="29"/>
      <c r="S1367" s="29"/>
      <c r="T1367" s="29"/>
      <c r="U1367" s="31"/>
      <c r="V1367" s="31"/>
      <c r="W1367" s="31"/>
      <c r="X1367" s="31"/>
      <c r="Y1367" s="31"/>
    </row>
    <row r="1368" spans="1:25" x14ac:dyDescent="0.2">
      <c r="A1368" s="29"/>
      <c r="B1368" s="29"/>
      <c r="C1368" s="29"/>
      <c r="D1368" s="29"/>
      <c r="E1368" s="29"/>
      <c r="F1368" s="30"/>
      <c r="G1368" s="30"/>
      <c r="H1368" s="30"/>
      <c r="I1368" s="30"/>
      <c r="J1368" s="30"/>
      <c r="K1368" s="30"/>
      <c r="L1368" s="29"/>
      <c r="M1368" s="29"/>
      <c r="N1368" s="29"/>
      <c r="O1368" s="29"/>
      <c r="P1368" s="29"/>
      <c r="Q1368" s="29"/>
      <c r="R1368" s="29"/>
      <c r="S1368" s="29"/>
      <c r="T1368" s="29"/>
      <c r="U1368" s="31"/>
      <c r="V1368" s="31"/>
      <c r="W1368" s="31"/>
      <c r="X1368" s="31"/>
      <c r="Y1368" s="31"/>
    </row>
    <row r="1369" spans="1:25" x14ac:dyDescent="0.2">
      <c r="A1369" s="29"/>
      <c r="B1369" s="29"/>
      <c r="C1369" s="29"/>
      <c r="D1369" s="29"/>
      <c r="E1369" s="29"/>
      <c r="F1369" s="30"/>
      <c r="G1369" s="30"/>
      <c r="H1369" s="30"/>
      <c r="I1369" s="30"/>
      <c r="J1369" s="30"/>
      <c r="K1369" s="30"/>
      <c r="L1369" s="29"/>
      <c r="M1369" s="29"/>
      <c r="N1369" s="29"/>
      <c r="O1369" s="29"/>
      <c r="P1369" s="29"/>
      <c r="Q1369" s="29"/>
      <c r="R1369" s="29"/>
      <c r="S1369" s="29"/>
      <c r="T1369" s="29"/>
      <c r="U1369" s="31"/>
      <c r="V1369" s="31"/>
      <c r="W1369" s="31"/>
      <c r="X1369" s="31"/>
      <c r="Y1369" s="31"/>
    </row>
    <row r="1370" spans="1:25" x14ac:dyDescent="0.2">
      <c r="A1370" s="29"/>
      <c r="B1370" s="29"/>
      <c r="C1370" s="29"/>
      <c r="D1370" s="29"/>
      <c r="E1370" s="29"/>
      <c r="F1370" s="30"/>
      <c r="G1370" s="30"/>
      <c r="H1370" s="30"/>
      <c r="I1370" s="30"/>
      <c r="J1370" s="30"/>
      <c r="K1370" s="30"/>
      <c r="L1370" s="29"/>
      <c r="M1370" s="29"/>
      <c r="N1370" s="29"/>
      <c r="O1370" s="29"/>
      <c r="P1370" s="29"/>
      <c r="Q1370" s="29"/>
      <c r="R1370" s="29"/>
      <c r="S1370" s="29"/>
      <c r="T1370" s="29"/>
      <c r="U1370" s="31"/>
      <c r="V1370" s="31"/>
      <c r="W1370" s="31"/>
      <c r="X1370" s="31"/>
      <c r="Y1370" s="31"/>
    </row>
    <row r="1371" spans="1:25" x14ac:dyDescent="0.2">
      <c r="A1371" s="29"/>
      <c r="B1371" s="29"/>
      <c r="C1371" s="29"/>
      <c r="D1371" s="29"/>
      <c r="E1371" s="29"/>
      <c r="F1371" s="30"/>
      <c r="G1371" s="30"/>
      <c r="H1371" s="30"/>
      <c r="I1371" s="30"/>
      <c r="J1371" s="30"/>
      <c r="K1371" s="30"/>
      <c r="L1371" s="29"/>
      <c r="M1371" s="29"/>
      <c r="N1371" s="29"/>
      <c r="O1371" s="29"/>
      <c r="P1371" s="29"/>
      <c r="Q1371" s="29"/>
      <c r="R1371" s="29"/>
      <c r="S1371" s="29"/>
      <c r="T1371" s="29"/>
      <c r="U1371" s="31"/>
      <c r="V1371" s="31"/>
      <c r="W1371" s="31"/>
      <c r="X1371" s="31"/>
      <c r="Y1371" s="31"/>
    </row>
    <row r="1372" spans="1:25" x14ac:dyDescent="0.2">
      <c r="A1372" s="29"/>
      <c r="B1372" s="29"/>
      <c r="C1372" s="29"/>
      <c r="D1372" s="29"/>
      <c r="E1372" s="29"/>
      <c r="F1372" s="30"/>
      <c r="G1372" s="30"/>
      <c r="H1372" s="30"/>
      <c r="I1372" s="30"/>
      <c r="J1372" s="30"/>
      <c r="K1372" s="30"/>
      <c r="L1372" s="29"/>
      <c r="M1372" s="29"/>
      <c r="N1372" s="29"/>
      <c r="O1372" s="29"/>
      <c r="P1372" s="29"/>
      <c r="Q1372" s="29"/>
      <c r="R1372" s="29"/>
      <c r="S1372" s="29"/>
      <c r="T1372" s="29"/>
      <c r="U1372" s="31"/>
      <c r="V1372" s="31"/>
      <c r="W1372" s="31"/>
      <c r="X1372" s="31"/>
      <c r="Y1372" s="31"/>
    </row>
    <row r="1373" spans="1:25" x14ac:dyDescent="0.2">
      <c r="A1373" s="29"/>
      <c r="B1373" s="29"/>
      <c r="C1373" s="29"/>
      <c r="D1373" s="29"/>
      <c r="E1373" s="29"/>
      <c r="F1373" s="30"/>
      <c r="G1373" s="30"/>
      <c r="H1373" s="30"/>
      <c r="I1373" s="30"/>
      <c r="J1373" s="30"/>
      <c r="K1373" s="30"/>
      <c r="L1373" s="29"/>
      <c r="M1373" s="29"/>
      <c r="N1373" s="29"/>
      <c r="O1373" s="29"/>
      <c r="P1373" s="29"/>
      <c r="Q1373" s="29"/>
      <c r="R1373" s="29"/>
      <c r="S1373" s="29"/>
      <c r="T1373" s="29"/>
      <c r="U1373" s="31"/>
      <c r="V1373" s="31"/>
      <c r="W1373" s="31"/>
      <c r="X1373" s="31"/>
      <c r="Y1373" s="31"/>
    </row>
    <row r="1374" spans="1:25" x14ac:dyDescent="0.2">
      <c r="A1374" s="29"/>
      <c r="B1374" s="29"/>
      <c r="C1374" s="29"/>
      <c r="D1374" s="29"/>
      <c r="E1374" s="29"/>
      <c r="F1374" s="30"/>
      <c r="G1374" s="30"/>
      <c r="H1374" s="30"/>
      <c r="I1374" s="30"/>
      <c r="J1374" s="30"/>
      <c r="K1374" s="30"/>
      <c r="L1374" s="29"/>
      <c r="M1374" s="29"/>
      <c r="N1374" s="29"/>
      <c r="O1374" s="29"/>
      <c r="P1374" s="29"/>
      <c r="Q1374" s="29"/>
      <c r="R1374" s="29"/>
      <c r="S1374" s="29"/>
      <c r="T1374" s="29"/>
      <c r="U1374" s="31"/>
      <c r="V1374" s="31"/>
      <c r="W1374" s="31"/>
      <c r="X1374" s="31"/>
      <c r="Y1374" s="31"/>
    </row>
    <row r="1375" spans="1:25" x14ac:dyDescent="0.2">
      <c r="A1375" s="29"/>
      <c r="B1375" s="29"/>
      <c r="C1375" s="29"/>
      <c r="D1375" s="29"/>
      <c r="E1375" s="29"/>
      <c r="F1375" s="30"/>
      <c r="G1375" s="30"/>
      <c r="H1375" s="30"/>
      <c r="I1375" s="30"/>
      <c r="J1375" s="30"/>
      <c r="K1375" s="30"/>
      <c r="L1375" s="29"/>
      <c r="M1375" s="29"/>
      <c r="N1375" s="29"/>
      <c r="O1375" s="29"/>
      <c r="P1375" s="29"/>
      <c r="Q1375" s="29"/>
      <c r="R1375" s="29"/>
      <c r="S1375" s="29"/>
      <c r="T1375" s="29"/>
      <c r="U1375" s="31"/>
      <c r="V1375" s="31"/>
      <c r="W1375" s="31"/>
      <c r="X1375" s="31"/>
      <c r="Y1375" s="31"/>
    </row>
    <row r="1376" spans="1:25" x14ac:dyDescent="0.2">
      <c r="A1376" s="29"/>
      <c r="B1376" s="29"/>
      <c r="C1376" s="29"/>
      <c r="D1376" s="29"/>
      <c r="E1376" s="29"/>
      <c r="F1376" s="30"/>
      <c r="G1376" s="30"/>
      <c r="H1376" s="30"/>
      <c r="I1376" s="30"/>
      <c r="J1376" s="30"/>
      <c r="K1376" s="30"/>
      <c r="L1376" s="29"/>
      <c r="M1376" s="29"/>
      <c r="N1376" s="29"/>
      <c r="O1376" s="29"/>
      <c r="P1376" s="29"/>
      <c r="Q1376" s="29"/>
      <c r="R1376" s="29"/>
      <c r="S1376" s="29"/>
      <c r="T1376" s="29"/>
      <c r="U1376" s="31"/>
      <c r="V1376" s="31"/>
      <c r="W1376" s="31"/>
      <c r="X1376" s="31"/>
      <c r="Y1376" s="31"/>
    </row>
    <row r="1377" spans="1:25" x14ac:dyDescent="0.2">
      <c r="A1377" s="29"/>
      <c r="B1377" s="29"/>
      <c r="C1377" s="29"/>
      <c r="D1377" s="29"/>
      <c r="E1377" s="29"/>
      <c r="F1377" s="30"/>
      <c r="G1377" s="30"/>
      <c r="H1377" s="30"/>
      <c r="I1377" s="30"/>
      <c r="J1377" s="30"/>
      <c r="K1377" s="30"/>
      <c r="L1377" s="29"/>
      <c r="M1377" s="29"/>
      <c r="N1377" s="29"/>
      <c r="O1377" s="29"/>
      <c r="P1377" s="29"/>
      <c r="Q1377" s="29"/>
      <c r="R1377" s="29"/>
      <c r="S1377" s="29"/>
      <c r="T1377" s="29"/>
      <c r="U1377" s="31"/>
      <c r="V1377" s="31"/>
      <c r="W1377" s="31"/>
      <c r="X1377" s="31"/>
      <c r="Y1377" s="31"/>
    </row>
    <row r="1378" spans="1:25" x14ac:dyDescent="0.2">
      <c r="A1378" s="29"/>
      <c r="B1378" s="29"/>
      <c r="C1378" s="29"/>
      <c r="D1378" s="29"/>
      <c r="E1378" s="29"/>
      <c r="F1378" s="30"/>
      <c r="G1378" s="30"/>
      <c r="H1378" s="30"/>
      <c r="I1378" s="30"/>
      <c r="J1378" s="30"/>
      <c r="K1378" s="30"/>
      <c r="L1378" s="29"/>
      <c r="M1378" s="29"/>
      <c r="N1378" s="29"/>
      <c r="O1378" s="29"/>
      <c r="P1378" s="29"/>
      <c r="Q1378" s="29"/>
      <c r="R1378" s="29"/>
      <c r="S1378" s="29"/>
      <c r="T1378" s="29"/>
      <c r="U1378" s="31"/>
      <c r="V1378" s="31"/>
      <c r="W1378" s="31"/>
      <c r="X1378" s="31"/>
      <c r="Y1378" s="31"/>
    </row>
    <row r="1379" spans="1:25" x14ac:dyDescent="0.2">
      <c r="A1379" s="29"/>
      <c r="B1379" s="29"/>
      <c r="C1379" s="29"/>
      <c r="D1379" s="29"/>
      <c r="E1379" s="29"/>
      <c r="F1379" s="30"/>
      <c r="G1379" s="30"/>
      <c r="H1379" s="30"/>
      <c r="I1379" s="30"/>
      <c r="J1379" s="30"/>
      <c r="K1379" s="30"/>
      <c r="L1379" s="29"/>
      <c r="M1379" s="29"/>
      <c r="N1379" s="29"/>
      <c r="O1379" s="29"/>
      <c r="P1379" s="29"/>
      <c r="Q1379" s="29"/>
      <c r="R1379" s="29"/>
      <c r="S1379" s="29"/>
      <c r="T1379" s="29"/>
      <c r="U1379" s="31"/>
      <c r="V1379" s="31"/>
      <c r="W1379" s="31"/>
      <c r="X1379" s="31"/>
      <c r="Y1379" s="31"/>
    </row>
    <row r="1380" spans="1:25" x14ac:dyDescent="0.2">
      <c r="A1380" s="29"/>
      <c r="B1380" s="29"/>
      <c r="C1380" s="29"/>
      <c r="D1380" s="29"/>
      <c r="E1380" s="29"/>
      <c r="F1380" s="30"/>
      <c r="G1380" s="30"/>
      <c r="H1380" s="30"/>
      <c r="I1380" s="30"/>
      <c r="J1380" s="30"/>
      <c r="K1380" s="30"/>
      <c r="L1380" s="29"/>
      <c r="M1380" s="29"/>
      <c r="N1380" s="29"/>
      <c r="O1380" s="29"/>
      <c r="P1380" s="29"/>
      <c r="Q1380" s="29"/>
      <c r="R1380" s="29"/>
      <c r="S1380" s="29"/>
      <c r="T1380" s="29"/>
      <c r="U1380" s="31"/>
      <c r="V1380" s="31"/>
      <c r="W1380" s="31"/>
      <c r="X1380" s="31"/>
      <c r="Y1380" s="31"/>
    </row>
    <row r="1381" spans="1:25" x14ac:dyDescent="0.2">
      <c r="A1381" s="29"/>
      <c r="B1381" s="29"/>
      <c r="C1381" s="29"/>
      <c r="D1381" s="29"/>
      <c r="E1381" s="29"/>
      <c r="F1381" s="30"/>
      <c r="G1381" s="30"/>
      <c r="H1381" s="30"/>
      <c r="I1381" s="30"/>
      <c r="J1381" s="30"/>
      <c r="K1381" s="30"/>
      <c r="L1381" s="29"/>
      <c r="M1381" s="29"/>
      <c r="N1381" s="29"/>
      <c r="O1381" s="29"/>
      <c r="P1381" s="29"/>
      <c r="Q1381" s="29"/>
      <c r="R1381" s="29"/>
      <c r="S1381" s="29"/>
      <c r="T1381" s="29"/>
      <c r="U1381" s="31"/>
      <c r="V1381" s="31"/>
      <c r="W1381" s="31"/>
      <c r="X1381" s="31"/>
      <c r="Y1381" s="31"/>
    </row>
    <row r="1382" spans="1:25" x14ac:dyDescent="0.2">
      <c r="A1382" s="29"/>
      <c r="B1382" s="29"/>
      <c r="C1382" s="29"/>
      <c r="D1382" s="29"/>
      <c r="E1382" s="29"/>
      <c r="F1382" s="30"/>
      <c r="G1382" s="30"/>
      <c r="H1382" s="30"/>
      <c r="I1382" s="30"/>
      <c r="J1382" s="30"/>
      <c r="K1382" s="30"/>
      <c r="L1382" s="29"/>
      <c r="M1382" s="29"/>
      <c r="N1382" s="29"/>
      <c r="O1382" s="29"/>
      <c r="P1382" s="29"/>
      <c r="Q1382" s="29"/>
      <c r="R1382" s="29"/>
      <c r="S1382" s="29"/>
      <c r="T1382" s="29"/>
      <c r="U1382" s="31"/>
      <c r="V1382" s="31"/>
      <c r="W1382" s="31"/>
      <c r="X1382" s="31"/>
      <c r="Y1382" s="31"/>
    </row>
    <row r="1383" spans="1:25" x14ac:dyDescent="0.2">
      <c r="A1383" s="29"/>
      <c r="B1383" s="29"/>
      <c r="C1383" s="29"/>
      <c r="D1383" s="29"/>
      <c r="E1383" s="29"/>
      <c r="F1383" s="30"/>
      <c r="G1383" s="30"/>
      <c r="H1383" s="30"/>
      <c r="I1383" s="30"/>
      <c r="J1383" s="30"/>
      <c r="K1383" s="30"/>
      <c r="L1383" s="29"/>
      <c r="M1383" s="29"/>
      <c r="N1383" s="29"/>
      <c r="O1383" s="29"/>
      <c r="P1383" s="29"/>
      <c r="Q1383" s="29"/>
      <c r="R1383" s="29"/>
      <c r="S1383" s="29"/>
      <c r="T1383" s="29"/>
      <c r="U1383" s="31"/>
      <c r="V1383" s="31"/>
      <c r="W1383" s="31"/>
      <c r="X1383" s="31"/>
      <c r="Y1383" s="31"/>
    </row>
    <row r="1384" spans="1:25" x14ac:dyDescent="0.2">
      <c r="A1384" s="29"/>
      <c r="B1384" s="29"/>
      <c r="C1384" s="29"/>
      <c r="D1384" s="29"/>
      <c r="E1384" s="29"/>
      <c r="F1384" s="30"/>
      <c r="G1384" s="30"/>
      <c r="H1384" s="30"/>
      <c r="I1384" s="30"/>
      <c r="J1384" s="30"/>
      <c r="K1384" s="30"/>
      <c r="L1384" s="29"/>
      <c r="M1384" s="29"/>
      <c r="N1384" s="29"/>
      <c r="O1384" s="29"/>
      <c r="P1384" s="29"/>
      <c r="Q1384" s="29"/>
      <c r="R1384" s="29"/>
      <c r="S1384" s="29"/>
      <c r="T1384" s="29"/>
      <c r="U1384" s="31"/>
      <c r="V1384" s="31"/>
      <c r="W1384" s="31"/>
      <c r="X1384" s="31"/>
      <c r="Y1384" s="31"/>
    </row>
    <row r="1385" spans="1:25" x14ac:dyDescent="0.2">
      <c r="A1385" s="29"/>
      <c r="B1385" s="29"/>
      <c r="C1385" s="29"/>
      <c r="D1385" s="29"/>
      <c r="E1385" s="29"/>
      <c r="F1385" s="30"/>
      <c r="G1385" s="30"/>
      <c r="H1385" s="30"/>
      <c r="I1385" s="30"/>
      <c r="J1385" s="30"/>
      <c r="K1385" s="30"/>
      <c r="L1385" s="29"/>
      <c r="M1385" s="29"/>
      <c r="N1385" s="29"/>
      <c r="O1385" s="29"/>
      <c r="P1385" s="29"/>
      <c r="Q1385" s="29"/>
      <c r="R1385" s="29"/>
      <c r="S1385" s="29"/>
      <c r="T1385" s="29"/>
      <c r="U1385" s="31"/>
      <c r="V1385" s="31"/>
      <c r="W1385" s="31"/>
      <c r="X1385" s="31"/>
      <c r="Y1385" s="31"/>
    </row>
    <row r="1386" spans="1:25" x14ac:dyDescent="0.2">
      <c r="A1386" s="29"/>
      <c r="B1386" s="29"/>
      <c r="C1386" s="29"/>
      <c r="D1386" s="29"/>
      <c r="E1386" s="29"/>
      <c r="F1386" s="30"/>
      <c r="G1386" s="30"/>
      <c r="H1386" s="30"/>
      <c r="I1386" s="30"/>
      <c r="J1386" s="30"/>
      <c r="K1386" s="30"/>
      <c r="L1386" s="29"/>
      <c r="M1386" s="29"/>
      <c r="N1386" s="29"/>
      <c r="O1386" s="29"/>
      <c r="P1386" s="29"/>
      <c r="Q1386" s="29"/>
      <c r="R1386" s="29"/>
      <c r="S1386" s="29"/>
      <c r="T1386" s="29"/>
      <c r="U1386" s="31"/>
      <c r="V1386" s="31"/>
      <c r="W1386" s="31"/>
      <c r="X1386" s="31"/>
      <c r="Y1386" s="31"/>
    </row>
    <row r="1387" spans="1:25" x14ac:dyDescent="0.2">
      <c r="A1387" s="29"/>
      <c r="B1387" s="29"/>
      <c r="C1387" s="29"/>
      <c r="D1387" s="29"/>
      <c r="E1387" s="29"/>
      <c r="F1387" s="30"/>
      <c r="G1387" s="30"/>
      <c r="H1387" s="30"/>
      <c r="I1387" s="30"/>
      <c r="J1387" s="30"/>
      <c r="K1387" s="30"/>
      <c r="L1387" s="29"/>
      <c r="M1387" s="29"/>
      <c r="N1387" s="29"/>
      <c r="O1387" s="29"/>
      <c r="P1387" s="29"/>
      <c r="Q1387" s="29"/>
      <c r="R1387" s="29"/>
      <c r="S1387" s="29"/>
      <c r="T1387" s="29"/>
      <c r="U1387" s="31"/>
      <c r="V1387" s="31"/>
      <c r="W1387" s="31"/>
      <c r="X1387" s="31"/>
      <c r="Y1387" s="31"/>
    </row>
    <row r="1388" spans="1:25" x14ac:dyDescent="0.2">
      <c r="A1388" s="29"/>
      <c r="B1388" s="29"/>
      <c r="C1388" s="29"/>
      <c r="D1388" s="29"/>
      <c r="E1388" s="29"/>
      <c r="F1388" s="30"/>
      <c r="G1388" s="30"/>
      <c r="H1388" s="30"/>
      <c r="I1388" s="30"/>
      <c r="J1388" s="30"/>
      <c r="K1388" s="30"/>
      <c r="L1388" s="29"/>
      <c r="M1388" s="29"/>
      <c r="N1388" s="29"/>
      <c r="O1388" s="29"/>
      <c r="P1388" s="29"/>
      <c r="Q1388" s="29"/>
      <c r="R1388" s="29"/>
      <c r="S1388" s="29"/>
      <c r="T1388" s="29"/>
      <c r="U1388" s="31"/>
      <c r="V1388" s="31"/>
      <c r="W1388" s="31"/>
      <c r="X1388" s="31"/>
      <c r="Y1388" s="31"/>
    </row>
    <row r="1389" spans="1:25" x14ac:dyDescent="0.2">
      <c r="A1389" s="29"/>
      <c r="B1389" s="29"/>
      <c r="C1389" s="29"/>
      <c r="D1389" s="29"/>
      <c r="E1389" s="29"/>
      <c r="F1389" s="30"/>
      <c r="G1389" s="30"/>
      <c r="H1389" s="30"/>
      <c r="I1389" s="30"/>
      <c r="J1389" s="30"/>
      <c r="K1389" s="30"/>
      <c r="L1389" s="29"/>
      <c r="M1389" s="29"/>
      <c r="N1389" s="29"/>
      <c r="O1389" s="29"/>
      <c r="P1389" s="29"/>
      <c r="Q1389" s="29"/>
      <c r="R1389" s="29"/>
      <c r="S1389" s="29"/>
      <c r="T1389" s="29"/>
      <c r="U1389" s="31"/>
      <c r="V1389" s="31"/>
      <c r="W1389" s="31"/>
      <c r="X1389" s="31"/>
      <c r="Y1389" s="31"/>
    </row>
    <row r="1390" spans="1:25" x14ac:dyDescent="0.2">
      <c r="A1390" s="29"/>
      <c r="B1390" s="29"/>
      <c r="C1390" s="29"/>
      <c r="D1390" s="29"/>
      <c r="E1390" s="29"/>
      <c r="F1390" s="30"/>
      <c r="G1390" s="30"/>
      <c r="H1390" s="30"/>
      <c r="I1390" s="30"/>
      <c r="J1390" s="30"/>
      <c r="K1390" s="30"/>
      <c r="L1390" s="29"/>
      <c r="M1390" s="29"/>
      <c r="N1390" s="29"/>
      <c r="O1390" s="29"/>
      <c r="P1390" s="29"/>
      <c r="Q1390" s="29"/>
      <c r="R1390" s="29"/>
      <c r="S1390" s="29"/>
      <c r="T1390" s="29"/>
      <c r="U1390" s="31"/>
      <c r="V1390" s="31"/>
      <c r="W1390" s="31"/>
      <c r="X1390" s="31"/>
      <c r="Y1390" s="31"/>
    </row>
    <row r="1391" spans="1:25" x14ac:dyDescent="0.2">
      <c r="A1391" s="29"/>
      <c r="B1391" s="29"/>
      <c r="C1391" s="29"/>
      <c r="D1391" s="29"/>
      <c r="E1391" s="29"/>
      <c r="F1391" s="30"/>
      <c r="G1391" s="30"/>
      <c r="H1391" s="30"/>
      <c r="I1391" s="30"/>
      <c r="J1391" s="30"/>
      <c r="K1391" s="30"/>
      <c r="L1391" s="29"/>
      <c r="M1391" s="29"/>
      <c r="N1391" s="29"/>
      <c r="O1391" s="29"/>
      <c r="P1391" s="29"/>
      <c r="Q1391" s="29"/>
      <c r="R1391" s="29"/>
      <c r="S1391" s="29"/>
      <c r="T1391" s="29"/>
      <c r="U1391" s="31"/>
      <c r="V1391" s="31"/>
      <c r="W1391" s="31"/>
      <c r="X1391" s="31"/>
      <c r="Y1391" s="31"/>
    </row>
    <row r="1392" spans="1:25" x14ac:dyDescent="0.2">
      <c r="A1392" s="29"/>
      <c r="B1392" s="29"/>
      <c r="C1392" s="29"/>
      <c r="D1392" s="29"/>
      <c r="E1392" s="29"/>
      <c r="F1392" s="30"/>
      <c r="G1392" s="30"/>
      <c r="H1392" s="30"/>
      <c r="I1392" s="30"/>
      <c r="J1392" s="30"/>
      <c r="K1392" s="30"/>
      <c r="L1392" s="29"/>
      <c r="M1392" s="29"/>
      <c r="N1392" s="29"/>
      <c r="O1392" s="29"/>
      <c r="P1392" s="29"/>
      <c r="Q1392" s="29"/>
      <c r="R1392" s="29"/>
      <c r="S1392" s="29"/>
      <c r="T1392" s="29"/>
      <c r="U1392" s="31"/>
      <c r="V1392" s="31"/>
      <c r="W1392" s="31"/>
      <c r="X1392" s="31"/>
      <c r="Y1392" s="31"/>
    </row>
    <row r="1393" spans="1:25" x14ac:dyDescent="0.2">
      <c r="A1393" s="29"/>
      <c r="B1393" s="29"/>
      <c r="C1393" s="29"/>
      <c r="D1393" s="29"/>
      <c r="E1393" s="29"/>
      <c r="F1393" s="30"/>
      <c r="G1393" s="30"/>
      <c r="H1393" s="30"/>
      <c r="I1393" s="30"/>
      <c r="J1393" s="30"/>
      <c r="K1393" s="30"/>
      <c r="L1393" s="29"/>
      <c r="M1393" s="29"/>
      <c r="N1393" s="29"/>
      <c r="O1393" s="29"/>
      <c r="P1393" s="29"/>
      <c r="Q1393" s="29"/>
      <c r="R1393" s="29"/>
      <c r="S1393" s="29"/>
      <c r="T1393" s="29"/>
      <c r="U1393" s="31"/>
      <c r="V1393" s="31"/>
      <c r="W1393" s="31"/>
      <c r="X1393" s="31"/>
      <c r="Y1393" s="31"/>
    </row>
    <row r="1394" spans="1:25" x14ac:dyDescent="0.2">
      <c r="A1394" s="29"/>
      <c r="B1394" s="29"/>
      <c r="C1394" s="29"/>
      <c r="D1394" s="29"/>
      <c r="E1394" s="29"/>
      <c r="F1394" s="30"/>
      <c r="G1394" s="30"/>
      <c r="H1394" s="30"/>
      <c r="I1394" s="30"/>
      <c r="J1394" s="30"/>
      <c r="K1394" s="30"/>
      <c r="L1394" s="29"/>
      <c r="M1394" s="29"/>
      <c r="N1394" s="29"/>
      <c r="O1394" s="29"/>
      <c r="P1394" s="29"/>
      <c r="Q1394" s="29"/>
      <c r="R1394" s="29"/>
      <c r="S1394" s="29"/>
      <c r="T1394" s="29"/>
      <c r="U1394" s="31"/>
      <c r="V1394" s="31"/>
      <c r="W1394" s="31"/>
      <c r="X1394" s="31"/>
      <c r="Y1394" s="31"/>
    </row>
    <row r="1395" spans="1:25" x14ac:dyDescent="0.2">
      <c r="A1395" s="29"/>
      <c r="B1395" s="29"/>
      <c r="C1395" s="29"/>
      <c r="D1395" s="29"/>
      <c r="E1395" s="29"/>
      <c r="F1395" s="30"/>
      <c r="G1395" s="30"/>
      <c r="H1395" s="30"/>
      <c r="I1395" s="30"/>
      <c r="J1395" s="30"/>
      <c r="K1395" s="30"/>
      <c r="L1395" s="29"/>
      <c r="M1395" s="29"/>
      <c r="N1395" s="29"/>
      <c r="O1395" s="29"/>
      <c r="P1395" s="29"/>
      <c r="Q1395" s="29"/>
      <c r="R1395" s="29"/>
      <c r="S1395" s="29"/>
      <c r="T1395" s="29"/>
      <c r="U1395" s="31"/>
      <c r="V1395" s="31"/>
      <c r="W1395" s="31"/>
      <c r="X1395" s="31"/>
      <c r="Y1395" s="31"/>
    </row>
    <row r="1396" spans="1:25" x14ac:dyDescent="0.2">
      <c r="A1396" s="29"/>
      <c r="B1396" s="29"/>
      <c r="C1396" s="29"/>
      <c r="D1396" s="29"/>
      <c r="E1396" s="29"/>
      <c r="F1396" s="30"/>
      <c r="G1396" s="30"/>
      <c r="H1396" s="30"/>
      <c r="I1396" s="30"/>
      <c r="J1396" s="30"/>
      <c r="K1396" s="30"/>
      <c r="L1396" s="29"/>
      <c r="M1396" s="29"/>
      <c r="N1396" s="29"/>
      <c r="O1396" s="29"/>
      <c r="P1396" s="29"/>
      <c r="Q1396" s="29"/>
      <c r="R1396" s="29"/>
      <c r="S1396" s="29"/>
      <c r="T1396" s="29"/>
      <c r="U1396" s="31"/>
      <c r="V1396" s="31"/>
      <c r="W1396" s="31"/>
      <c r="X1396" s="31"/>
      <c r="Y1396" s="31"/>
    </row>
    <row r="1397" spans="1:25" x14ac:dyDescent="0.2">
      <c r="A1397" s="29"/>
      <c r="B1397" s="29"/>
      <c r="C1397" s="29"/>
      <c r="D1397" s="29"/>
      <c r="E1397" s="29"/>
      <c r="F1397" s="30"/>
      <c r="G1397" s="30"/>
      <c r="H1397" s="30"/>
      <c r="I1397" s="30"/>
      <c r="J1397" s="30"/>
      <c r="K1397" s="30"/>
      <c r="L1397" s="29"/>
      <c r="M1397" s="29"/>
      <c r="N1397" s="29"/>
      <c r="O1397" s="29"/>
      <c r="P1397" s="29"/>
      <c r="Q1397" s="29"/>
      <c r="R1397" s="29"/>
      <c r="S1397" s="29"/>
      <c r="T1397" s="29"/>
      <c r="U1397" s="31"/>
      <c r="V1397" s="31"/>
      <c r="W1397" s="31"/>
      <c r="X1397" s="31"/>
      <c r="Y1397" s="31"/>
    </row>
    <row r="1398" spans="1:25" x14ac:dyDescent="0.2">
      <c r="A1398" s="29"/>
      <c r="B1398" s="29"/>
      <c r="C1398" s="29"/>
      <c r="D1398" s="29"/>
      <c r="E1398" s="29"/>
      <c r="F1398" s="30"/>
      <c r="G1398" s="30"/>
      <c r="H1398" s="30"/>
      <c r="I1398" s="30"/>
      <c r="J1398" s="30"/>
      <c r="K1398" s="30"/>
      <c r="L1398" s="29"/>
      <c r="M1398" s="29"/>
      <c r="N1398" s="29"/>
      <c r="O1398" s="29"/>
      <c r="P1398" s="29"/>
      <c r="Q1398" s="29"/>
      <c r="R1398" s="29"/>
      <c r="S1398" s="29"/>
      <c r="T1398" s="29"/>
      <c r="U1398" s="31"/>
      <c r="V1398" s="31"/>
      <c r="W1398" s="31"/>
      <c r="X1398" s="31"/>
      <c r="Y1398" s="31"/>
    </row>
    <row r="1399" spans="1:25" x14ac:dyDescent="0.2">
      <c r="A1399" s="29"/>
      <c r="B1399" s="29"/>
      <c r="C1399" s="29"/>
      <c r="D1399" s="29"/>
      <c r="E1399" s="29"/>
      <c r="F1399" s="30"/>
      <c r="G1399" s="30"/>
      <c r="H1399" s="30"/>
      <c r="I1399" s="30"/>
      <c r="J1399" s="30"/>
      <c r="K1399" s="30"/>
      <c r="L1399" s="29"/>
      <c r="M1399" s="29"/>
      <c r="N1399" s="29"/>
      <c r="O1399" s="29"/>
      <c r="P1399" s="29"/>
      <c r="Q1399" s="29"/>
      <c r="R1399" s="29"/>
      <c r="S1399" s="29"/>
      <c r="T1399" s="29"/>
      <c r="U1399" s="31"/>
      <c r="V1399" s="31"/>
      <c r="W1399" s="31"/>
      <c r="X1399" s="31"/>
      <c r="Y1399" s="31"/>
    </row>
    <row r="1400" spans="1:25" x14ac:dyDescent="0.2">
      <c r="A1400" s="29"/>
      <c r="B1400" s="29"/>
      <c r="C1400" s="29"/>
      <c r="D1400" s="29"/>
      <c r="E1400" s="29"/>
      <c r="F1400" s="30"/>
      <c r="G1400" s="30"/>
      <c r="H1400" s="30"/>
      <c r="I1400" s="30"/>
      <c r="J1400" s="30"/>
      <c r="K1400" s="30"/>
      <c r="L1400" s="29"/>
      <c r="M1400" s="29"/>
      <c r="N1400" s="29"/>
      <c r="O1400" s="29"/>
      <c r="P1400" s="29"/>
      <c r="Q1400" s="29"/>
      <c r="R1400" s="29"/>
      <c r="S1400" s="29"/>
      <c r="T1400" s="29"/>
      <c r="U1400" s="31"/>
      <c r="V1400" s="31"/>
      <c r="W1400" s="31"/>
      <c r="X1400" s="31"/>
      <c r="Y1400" s="31"/>
    </row>
    <row r="1401" spans="1:25" x14ac:dyDescent="0.2">
      <c r="A1401" s="29"/>
      <c r="B1401" s="29"/>
      <c r="C1401" s="29"/>
      <c r="D1401" s="29"/>
      <c r="E1401" s="29"/>
      <c r="F1401" s="30"/>
      <c r="G1401" s="30"/>
      <c r="H1401" s="30"/>
      <c r="I1401" s="30"/>
      <c r="J1401" s="30"/>
      <c r="K1401" s="30"/>
      <c r="L1401" s="29"/>
      <c r="M1401" s="29"/>
      <c r="N1401" s="29"/>
      <c r="O1401" s="29"/>
      <c r="P1401" s="29"/>
      <c r="Q1401" s="29"/>
      <c r="R1401" s="29"/>
      <c r="S1401" s="29"/>
      <c r="T1401" s="29"/>
      <c r="U1401" s="31"/>
      <c r="V1401" s="31"/>
      <c r="W1401" s="31"/>
      <c r="X1401" s="31"/>
      <c r="Y1401" s="31"/>
    </row>
    <row r="1402" spans="1:25" x14ac:dyDescent="0.2">
      <c r="A1402" s="29"/>
      <c r="B1402" s="29"/>
      <c r="C1402" s="29"/>
      <c r="D1402" s="29"/>
      <c r="E1402" s="29"/>
      <c r="F1402" s="30"/>
      <c r="G1402" s="30"/>
      <c r="H1402" s="30"/>
      <c r="I1402" s="30"/>
      <c r="J1402" s="30"/>
      <c r="K1402" s="30"/>
      <c r="L1402" s="29"/>
      <c r="M1402" s="29"/>
      <c r="N1402" s="29"/>
      <c r="O1402" s="29"/>
      <c r="P1402" s="29"/>
      <c r="Q1402" s="29"/>
      <c r="R1402" s="29"/>
      <c r="S1402" s="29"/>
      <c r="T1402" s="29"/>
      <c r="U1402" s="31"/>
      <c r="V1402" s="31"/>
      <c r="W1402" s="31"/>
      <c r="X1402" s="31"/>
      <c r="Y1402" s="31"/>
    </row>
    <row r="1403" spans="1:25" x14ac:dyDescent="0.2">
      <c r="A1403" s="29"/>
      <c r="B1403" s="29"/>
      <c r="C1403" s="29"/>
      <c r="D1403" s="29"/>
      <c r="E1403" s="29"/>
      <c r="F1403" s="30"/>
      <c r="G1403" s="30"/>
      <c r="H1403" s="30"/>
      <c r="I1403" s="30"/>
      <c r="J1403" s="30"/>
      <c r="K1403" s="30"/>
      <c r="L1403" s="29"/>
      <c r="M1403" s="29"/>
      <c r="N1403" s="29"/>
      <c r="O1403" s="29"/>
      <c r="P1403" s="29"/>
      <c r="Q1403" s="29"/>
      <c r="R1403" s="29"/>
      <c r="S1403" s="29"/>
      <c r="T1403" s="29"/>
      <c r="U1403" s="31"/>
      <c r="V1403" s="31"/>
      <c r="W1403" s="31"/>
      <c r="X1403" s="31"/>
      <c r="Y1403" s="31"/>
    </row>
    <row r="1404" spans="1:25" x14ac:dyDescent="0.2">
      <c r="A1404" s="29"/>
      <c r="B1404" s="29"/>
      <c r="C1404" s="29"/>
      <c r="D1404" s="29"/>
      <c r="E1404" s="29"/>
      <c r="F1404" s="30"/>
      <c r="G1404" s="30"/>
      <c r="H1404" s="30"/>
      <c r="I1404" s="30"/>
      <c r="J1404" s="30"/>
      <c r="K1404" s="30"/>
      <c r="L1404" s="29"/>
      <c r="M1404" s="29"/>
      <c r="N1404" s="29"/>
      <c r="O1404" s="29"/>
      <c r="P1404" s="29"/>
      <c r="Q1404" s="29"/>
      <c r="R1404" s="29"/>
      <c r="S1404" s="29"/>
      <c r="T1404" s="29"/>
      <c r="U1404" s="31"/>
      <c r="V1404" s="31"/>
      <c r="W1404" s="31"/>
      <c r="X1404" s="31"/>
      <c r="Y1404" s="31"/>
    </row>
    <row r="1405" spans="1:25" x14ac:dyDescent="0.2">
      <c r="A1405" s="29"/>
      <c r="B1405" s="29"/>
      <c r="C1405" s="29"/>
      <c r="D1405" s="29"/>
      <c r="E1405" s="29"/>
      <c r="F1405" s="30"/>
      <c r="G1405" s="30"/>
      <c r="H1405" s="30"/>
      <c r="I1405" s="30"/>
      <c r="J1405" s="30"/>
      <c r="K1405" s="30"/>
      <c r="L1405" s="29"/>
      <c r="M1405" s="29"/>
      <c r="N1405" s="29"/>
      <c r="O1405" s="29"/>
      <c r="P1405" s="29"/>
      <c r="Q1405" s="29"/>
      <c r="R1405" s="29"/>
      <c r="S1405" s="29"/>
      <c r="T1405" s="29"/>
      <c r="U1405" s="31"/>
      <c r="V1405" s="31"/>
      <c r="W1405" s="31"/>
      <c r="X1405" s="31"/>
      <c r="Y1405" s="31"/>
    </row>
    <row r="1406" spans="1:25" x14ac:dyDescent="0.2">
      <c r="A1406" s="29"/>
      <c r="B1406" s="29"/>
      <c r="C1406" s="29"/>
      <c r="D1406" s="29"/>
      <c r="E1406" s="29"/>
      <c r="F1406" s="30"/>
      <c r="G1406" s="30"/>
      <c r="H1406" s="30"/>
      <c r="I1406" s="30"/>
      <c r="J1406" s="30"/>
      <c r="K1406" s="30"/>
      <c r="L1406" s="29"/>
      <c r="M1406" s="29"/>
      <c r="N1406" s="29"/>
      <c r="O1406" s="29"/>
      <c r="P1406" s="29"/>
      <c r="Q1406" s="29"/>
      <c r="R1406" s="29"/>
      <c r="S1406" s="29"/>
      <c r="T1406" s="29"/>
      <c r="U1406" s="31"/>
      <c r="V1406" s="31"/>
      <c r="W1406" s="31"/>
      <c r="X1406" s="31"/>
      <c r="Y1406" s="31"/>
    </row>
    <row r="1407" spans="1:25" x14ac:dyDescent="0.2">
      <c r="A1407" s="29"/>
      <c r="B1407" s="29"/>
      <c r="C1407" s="29"/>
      <c r="D1407" s="29"/>
      <c r="E1407" s="29"/>
      <c r="F1407" s="30"/>
      <c r="G1407" s="30"/>
      <c r="H1407" s="30"/>
      <c r="I1407" s="30"/>
      <c r="J1407" s="30"/>
      <c r="K1407" s="30"/>
      <c r="L1407" s="29"/>
      <c r="M1407" s="29"/>
      <c r="N1407" s="29"/>
      <c r="O1407" s="29"/>
      <c r="P1407" s="29"/>
      <c r="Q1407" s="29"/>
      <c r="R1407" s="29"/>
      <c r="S1407" s="29"/>
      <c r="T1407" s="29"/>
      <c r="U1407" s="31"/>
      <c r="V1407" s="31"/>
      <c r="W1407" s="31"/>
      <c r="X1407" s="31"/>
      <c r="Y1407" s="31"/>
    </row>
    <row r="1408" spans="1:25" x14ac:dyDescent="0.2">
      <c r="A1408" s="29"/>
      <c r="B1408" s="29"/>
      <c r="C1408" s="29"/>
      <c r="D1408" s="29"/>
      <c r="E1408" s="29"/>
      <c r="F1408" s="30"/>
      <c r="G1408" s="30"/>
      <c r="H1408" s="30"/>
      <c r="I1408" s="30"/>
      <c r="J1408" s="30"/>
      <c r="K1408" s="30"/>
      <c r="L1408" s="29"/>
      <c r="M1408" s="29"/>
      <c r="N1408" s="29"/>
      <c r="O1408" s="29"/>
      <c r="P1408" s="29"/>
      <c r="Q1408" s="29"/>
      <c r="R1408" s="29"/>
      <c r="S1408" s="29"/>
      <c r="T1408" s="29"/>
      <c r="U1408" s="31"/>
      <c r="V1408" s="31"/>
      <c r="W1408" s="31"/>
      <c r="X1408" s="31"/>
      <c r="Y1408" s="31"/>
    </row>
    <row r="1409" spans="1:25" x14ac:dyDescent="0.2">
      <c r="A1409" s="29"/>
      <c r="B1409" s="29"/>
      <c r="C1409" s="29"/>
      <c r="D1409" s="29"/>
      <c r="E1409" s="29"/>
      <c r="F1409" s="30"/>
      <c r="G1409" s="30"/>
      <c r="H1409" s="30"/>
      <c r="I1409" s="30"/>
      <c r="J1409" s="30"/>
      <c r="K1409" s="30"/>
      <c r="L1409" s="29"/>
      <c r="M1409" s="29"/>
      <c r="N1409" s="29"/>
      <c r="O1409" s="29"/>
      <c r="P1409" s="29"/>
      <c r="Q1409" s="29"/>
      <c r="R1409" s="29"/>
      <c r="S1409" s="29"/>
      <c r="T1409" s="29"/>
      <c r="U1409" s="31"/>
      <c r="V1409" s="31"/>
      <c r="W1409" s="31"/>
      <c r="X1409" s="31"/>
      <c r="Y1409" s="31"/>
    </row>
    <row r="1410" spans="1:25" x14ac:dyDescent="0.2">
      <c r="A1410" s="29"/>
      <c r="B1410" s="29"/>
      <c r="C1410" s="29"/>
      <c r="D1410" s="29"/>
      <c r="E1410" s="29"/>
      <c r="F1410" s="30"/>
      <c r="G1410" s="30"/>
      <c r="H1410" s="30"/>
      <c r="I1410" s="30"/>
      <c r="J1410" s="30"/>
      <c r="K1410" s="30"/>
      <c r="L1410" s="29"/>
      <c r="M1410" s="29"/>
      <c r="N1410" s="29"/>
      <c r="O1410" s="29"/>
      <c r="P1410" s="29"/>
      <c r="Q1410" s="29"/>
      <c r="R1410" s="29"/>
      <c r="S1410" s="29"/>
      <c r="T1410" s="29"/>
      <c r="U1410" s="31"/>
      <c r="V1410" s="31"/>
      <c r="W1410" s="31"/>
      <c r="X1410" s="31"/>
      <c r="Y1410" s="31"/>
    </row>
    <row r="1411" spans="1:25" x14ac:dyDescent="0.2">
      <c r="A1411" s="29"/>
      <c r="B1411" s="29"/>
      <c r="C1411" s="29"/>
      <c r="D1411" s="29"/>
      <c r="E1411" s="29"/>
      <c r="F1411" s="30"/>
      <c r="G1411" s="30"/>
      <c r="H1411" s="30"/>
      <c r="I1411" s="30"/>
      <c r="J1411" s="30"/>
      <c r="K1411" s="30"/>
      <c r="L1411" s="29"/>
      <c r="M1411" s="29"/>
      <c r="N1411" s="29"/>
      <c r="O1411" s="29"/>
      <c r="P1411" s="29"/>
      <c r="Q1411" s="29"/>
      <c r="R1411" s="29"/>
      <c r="S1411" s="29"/>
      <c r="T1411" s="29"/>
      <c r="U1411" s="31"/>
      <c r="V1411" s="31"/>
      <c r="W1411" s="31"/>
      <c r="X1411" s="31"/>
      <c r="Y1411" s="31"/>
    </row>
    <row r="1412" spans="1:25" x14ac:dyDescent="0.2">
      <c r="A1412" s="29"/>
      <c r="B1412" s="29"/>
      <c r="C1412" s="29"/>
      <c r="D1412" s="29"/>
      <c r="E1412" s="29"/>
      <c r="F1412" s="30"/>
      <c r="G1412" s="30"/>
      <c r="H1412" s="30"/>
      <c r="I1412" s="30"/>
      <c r="J1412" s="30"/>
      <c r="K1412" s="30"/>
      <c r="L1412" s="29"/>
      <c r="M1412" s="29"/>
      <c r="N1412" s="29"/>
      <c r="O1412" s="29"/>
      <c r="P1412" s="29"/>
      <c r="Q1412" s="29"/>
      <c r="R1412" s="29"/>
      <c r="S1412" s="29"/>
      <c r="T1412" s="29"/>
      <c r="U1412" s="31"/>
      <c r="V1412" s="31"/>
      <c r="W1412" s="31"/>
      <c r="X1412" s="31"/>
      <c r="Y1412" s="31"/>
    </row>
    <row r="1413" spans="1:25" x14ac:dyDescent="0.2">
      <c r="A1413" s="29"/>
      <c r="B1413" s="29"/>
      <c r="C1413" s="29"/>
      <c r="D1413" s="29"/>
      <c r="E1413" s="29"/>
      <c r="F1413" s="30"/>
      <c r="G1413" s="30"/>
      <c r="H1413" s="30"/>
      <c r="I1413" s="30"/>
      <c r="J1413" s="30"/>
      <c r="K1413" s="30"/>
      <c r="L1413" s="29"/>
      <c r="M1413" s="29"/>
      <c r="N1413" s="29"/>
      <c r="O1413" s="29"/>
      <c r="P1413" s="29"/>
      <c r="Q1413" s="29"/>
      <c r="R1413" s="29"/>
      <c r="S1413" s="29"/>
      <c r="T1413" s="29"/>
      <c r="U1413" s="31"/>
      <c r="V1413" s="31"/>
      <c r="W1413" s="31"/>
      <c r="X1413" s="31"/>
      <c r="Y1413" s="31"/>
    </row>
    <row r="1414" spans="1:25" x14ac:dyDescent="0.2">
      <c r="A1414" s="29"/>
      <c r="B1414" s="29"/>
      <c r="C1414" s="29"/>
      <c r="D1414" s="29"/>
      <c r="E1414" s="29"/>
      <c r="F1414" s="30"/>
      <c r="G1414" s="30"/>
      <c r="H1414" s="30"/>
      <c r="I1414" s="30"/>
      <c r="J1414" s="30"/>
      <c r="K1414" s="30"/>
      <c r="L1414" s="29"/>
      <c r="M1414" s="29"/>
      <c r="N1414" s="29"/>
      <c r="O1414" s="29"/>
      <c r="P1414" s="29"/>
      <c r="Q1414" s="29"/>
      <c r="R1414" s="29"/>
      <c r="S1414" s="29"/>
      <c r="T1414" s="29"/>
      <c r="U1414" s="31"/>
      <c r="V1414" s="31"/>
      <c r="W1414" s="31"/>
      <c r="X1414" s="31"/>
      <c r="Y1414" s="31"/>
    </row>
    <row r="1415" spans="1:25" x14ac:dyDescent="0.2">
      <c r="A1415" s="29"/>
      <c r="B1415" s="29"/>
      <c r="C1415" s="29"/>
      <c r="D1415" s="29"/>
      <c r="E1415" s="29"/>
      <c r="F1415" s="30"/>
      <c r="G1415" s="30"/>
      <c r="H1415" s="30"/>
      <c r="I1415" s="30"/>
      <c r="J1415" s="30"/>
      <c r="K1415" s="30"/>
      <c r="L1415" s="29"/>
      <c r="M1415" s="29"/>
      <c r="N1415" s="29"/>
      <c r="O1415" s="29"/>
      <c r="P1415" s="29"/>
      <c r="Q1415" s="29"/>
      <c r="R1415" s="29"/>
      <c r="S1415" s="29"/>
      <c r="T1415" s="29"/>
      <c r="U1415" s="31"/>
      <c r="V1415" s="31"/>
      <c r="W1415" s="31"/>
      <c r="X1415" s="31"/>
      <c r="Y1415" s="31"/>
    </row>
    <row r="1416" spans="1:25" x14ac:dyDescent="0.2">
      <c r="A1416" s="29"/>
      <c r="B1416" s="29"/>
      <c r="C1416" s="29"/>
      <c r="D1416" s="29"/>
      <c r="E1416" s="29"/>
      <c r="F1416" s="30"/>
      <c r="G1416" s="30"/>
      <c r="H1416" s="30"/>
      <c r="I1416" s="30"/>
      <c r="J1416" s="30"/>
      <c r="K1416" s="30"/>
      <c r="L1416" s="29"/>
      <c r="M1416" s="29"/>
      <c r="N1416" s="29"/>
      <c r="O1416" s="29"/>
      <c r="P1416" s="29"/>
      <c r="Q1416" s="29"/>
      <c r="R1416" s="29"/>
      <c r="S1416" s="29"/>
      <c r="T1416" s="29"/>
      <c r="U1416" s="31"/>
      <c r="V1416" s="31"/>
      <c r="W1416" s="31"/>
      <c r="X1416" s="31"/>
      <c r="Y1416" s="31"/>
    </row>
    <row r="1417" spans="1:25" x14ac:dyDescent="0.2">
      <c r="A1417" s="29"/>
      <c r="B1417" s="29"/>
      <c r="C1417" s="29"/>
      <c r="D1417" s="29"/>
      <c r="E1417" s="29"/>
      <c r="F1417" s="30"/>
      <c r="G1417" s="30"/>
      <c r="H1417" s="30"/>
      <c r="I1417" s="30"/>
      <c r="J1417" s="30"/>
      <c r="K1417" s="30"/>
      <c r="L1417" s="29"/>
      <c r="M1417" s="29"/>
      <c r="N1417" s="29"/>
      <c r="O1417" s="29"/>
      <c r="P1417" s="29"/>
      <c r="Q1417" s="29"/>
      <c r="R1417" s="29"/>
      <c r="S1417" s="29"/>
      <c r="T1417" s="29"/>
      <c r="U1417" s="31"/>
      <c r="V1417" s="31"/>
      <c r="W1417" s="31"/>
      <c r="X1417" s="31"/>
      <c r="Y1417" s="31"/>
    </row>
    <row r="1418" spans="1:25" x14ac:dyDescent="0.2">
      <c r="A1418" s="29"/>
      <c r="B1418" s="29"/>
      <c r="C1418" s="29"/>
      <c r="D1418" s="29"/>
      <c r="E1418" s="29"/>
      <c r="F1418" s="30"/>
      <c r="G1418" s="30"/>
      <c r="H1418" s="30"/>
      <c r="I1418" s="30"/>
      <c r="J1418" s="30"/>
      <c r="K1418" s="30"/>
      <c r="L1418" s="29"/>
      <c r="M1418" s="29"/>
      <c r="N1418" s="29"/>
      <c r="O1418" s="29"/>
      <c r="P1418" s="29"/>
      <c r="Q1418" s="29"/>
      <c r="R1418" s="29"/>
      <c r="S1418" s="29"/>
      <c r="T1418" s="29"/>
      <c r="U1418" s="31"/>
      <c r="V1418" s="31"/>
      <c r="W1418" s="31"/>
      <c r="X1418" s="31"/>
      <c r="Y1418" s="31"/>
    </row>
    <row r="1419" spans="1:25" x14ac:dyDescent="0.2">
      <c r="A1419" s="29"/>
      <c r="B1419" s="29"/>
      <c r="C1419" s="29"/>
      <c r="D1419" s="29"/>
      <c r="E1419" s="29"/>
      <c r="F1419" s="30"/>
      <c r="G1419" s="30"/>
      <c r="H1419" s="30"/>
      <c r="I1419" s="30"/>
      <c r="J1419" s="30"/>
      <c r="K1419" s="30"/>
      <c r="L1419" s="29"/>
      <c r="M1419" s="29"/>
      <c r="N1419" s="29"/>
      <c r="O1419" s="29"/>
      <c r="P1419" s="29"/>
      <c r="Q1419" s="29"/>
      <c r="R1419" s="29"/>
      <c r="S1419" s="29"/>
      <c r="T1419" s="29"/>
      <c r="U1419" s="31"/>
      <c r="V1419" s="31"/>
      <c r="W1419" s="31"/>
      <c r="X1419" s="31"/>
      <c r="Y1419" s="31"/>
    </row>
    <row r="1420" spans="1:25" x14ac:dyDescent="0.2">
      <c r="A1420" s="29"/>
      <c r="B1420" s="29"/>
      <c r="C1420" s="29"/>
      <c r="D1420" s="29"/>
      <c r="E1420" s="29"/>
      <c r="F1420" s="30"/>
      <c r="G1420" s="30"/>
      <c r="H1420" s="30"/>
      <c r="I1420" s="30"/>
      <c r="J1420" s="30"/>
      <c r="K1420" s="30"/>
      <c r="L1420" s="29"/>
      <c r="M1420" s="29"/>
      <c r="N1420" s="29"/>
      <c r="O1420" s="29"/>
      <c r="P1420" s="29"/>
      <c r="Q1420" s="29"/>
      <c r="R1420" s="29"/>
      <c r="S1420" s="29"/>
      <c r="T1420" s="29"/>
      <c r="U1420" s="31"/>
      <c r="V1420" s="31"/>
      <c r="W1420" s="31"/>
      <c r="X1420" s="31"/>
      <c r="Y1420" s="31"/>
    </row>
    <row r="1421" spans="1:25" x14ac:dyDescent="0.2">
      <c r="A1421" s="29"/>
      <c r="B1421" s="29"/>
      <c r="C1421" s="29"/>
      <c r="D1421" s="29"/>
      <c r="E1421" s="29"/>
      <c r="F1421" s="30"/>
      <c r="G1421" s="30"/>
      <c r="H1421" s="30"/>
      <c r="I1421" s="30"/>
      <c r="J1421" s="30"/>
      <c r="K1421" s="30"/>
      <c r="L1421" s="29"/>
      <c r="M1421" s="29"/>
      <c r="N1421" s="29"/>
      <c r="O1421" s="29"/>
      <c r="P1421" s="29"/>
      <c r="Q1421" s="29"/>
      <c r="R1421" s="29"/>
      <c r="S1421" s="29"/>
      <c r="T1421" s="29"/>
      <c r="U1421" s="31"/>
      <c r="V1421" s="31"/>
      <c r="W1421" s="31"/>
      <c r="X1421" s="31"/>
      <c r="Y1421" s="31"/>
    </row>
    <row r="1422" spans="1:25" x14ac:dyDescent="0.2">
      <c r="A1422" s="29"/>
      <c r="B1422" s="29"/>
      <c r="C1422" s="29"/>
      <c r="D1422" s="29"/>
      <c r="E1422" s="29"/>
      <c r="F1422" s="30"/>
      <c r="G1422" s="30"/>
      <c r="H1422" s="30"/>
      <c r="I1422" s="30"/>
      <c r="J1422" s="30"/>
      <c r="K1422" s="30"/>
      <c r="L1422" s="29"/>
      <c r="M1422" s="29"/>
      <c r="N1422" s="29"/>
      <c r="O1422" s="29"/>
      <c r="P1422" s="29"/>
      <c r="Q1422" s="29"/>
      <c r="R1422" s="29"/>
      <c r="S1422" s="29"/>
      <c r="T1422" s="29"/>
      <c r="U1422" s="31"/>
      <c r="V1422" s="31"/>
      <c r="W1422" s="31"/>
      <c r="X1422" s="31"/>
      <c r="Y1422" s="31"/>
    </row>
    <row r="1423" spans="1:25" x14ac:dyDescent="0.2">
      <c r="A1423" s="29"/>
      <c r="B1423" s="29"/>
      <c r="C1423" s="29"/>
      <c r="D1423" s="29"/>
      <c r="E1423" s="29"/>
      <c r="F1423" s="30"/>
      <c r="G1423" s="30"/>
      <c r="H1423" s="30"/>
      <c r="I1423" s="30"/>
      <c r="J1423" s="30"/>
      <c r="K1423" s="30"/>
      <c r="L1423" s="29"/>
      <c r="M1423" s="29"/>
      <c r="N1423" s="29"/>
      <c r="O1423" s="29"/>
      <c r="P1423" s="29"/>
      <c r="Q1423" s="29"/>
      <c r="R1423" s="29"/>
      <c r="S1423" s="29"/>
      <c r="T1423" s="29"/>
      <c r="U1423" s="31"/>
      <c r="V1423" s="31"/>
      <c r="W1423" s="31"/>
      <c r="X1423" s="31"/>
      <c r="Y1423" s="31"/>
    </row>
    <row r="1424" spans="1:25" x14ac:dyDescent="0.2">
      <c r="A1424" s="29"/>
      <c r="B1424" s="29"/>
      <c r="C1424" s="29"/>
      <c r="D1424" s="29"/>
      <c r="E1424" s="29"/>
      <c r="F1424" s="30"/>
      <c r="G1424" s="30"/>
      <c r="H1424" s="30"/>
      <c r="I1424" s="30"/>
      <c r="J1424" s="30"/>
      <c r="K1424" s="30"/>
      <c r="L1424" s="29"/>
      <c r="M1424" s="29"/>
      <c r="N1424" s="29"/>
      <c r="O1424" s="29"/>
      <c r="P1424" s="29"/>
      <c r="Q1424" s="29"/>
      <c r="R1424" s="29"/>
      <c r="S1424" s="29"/>
      <c r="T1424" s="29"/>
      <c r="U1424" s="31"/>
      <c r="V1424" s="31"/>
      <c r="W1424" s="31"/>
      <c r="X1424" s="31"/>
      <c r="Y1424" s="31"/>
    </row>
    <row r="1425" spans="1:25" x14ac:dyDescent="0.2">
      <c r="A1425" s="29"/>
      <c r="B1425" s="29"/>
      <c r="C1425" s="29"/>
      <c r="D1425" s="29"/>
      <c r="E1425" s="29"/>
      <c r="F1425" s="30"/>
      <c r="G1425" s="30"/>
      <c r="H1425" s="30"/>
      <c r="I1425" s="30"/>
      <c r="J1425" s="30"/>
      <c r="K1425" s="30"/>
      <c r="L1425" s="29"/>
      <c r="M1425" s="29"/>
      <c r="N1425" s="29"/>
      <c r="O1425" s="29"/>
      <c r="P1425" s="29"/>
      <c r="Q1425" s="29"/>
      <c r="R1425" s="29"/>
      <c r="S1425" s="29"/>
      <c r="T1425" s="29"/>
      <c r="U1425" s="31"/>
      <c r="V1425" s="31"/>
      <c r="W1425" s="31"/>
      <c r="X1425" s="31"/>
      <c r="Y1425" s="31"/>
    </row>
    <row r="1426" spans="1:25" x14ac:dyDescent="0.2">
      <c r="A1426" s="29"/>
      <c r="B1426" s="29"/>
      <c r="C1426" s="29"/>
      <c r="D1426" s="29"/>
      <c r="E1426" s="29"/>
      <c r="F1426" s="30"/>
      <c r="G1426" s="30"/>
      <c r="H1426" s="30"/>
      <c r="I1426" s="30"/>
      <c r="J1426" s="30"/>
      <c r="K1426" s="30"/>
      <c r="L1426" s="29"/>
      <c r="M1426" s="29"/>
      <c r="N1426" s="29"/>
      <c r="O1426" s="29"/>
      <c r="P1426" s="29"/>
      <c r="Q1426" s="29"/>
      <c r="R1426" s="29"/>
      <c r="S1426" s="29"/>
      <c r="T1426" s="29"/>
      <c r="U1426" s="31"/>
      <c r="V1426" s="31"/>
      <c r="W1426" s="31"/>
      <c r="X1426" s="31"/>
      <c r="Y1426" s="31"/>
    </row>
    <row r="1427" spans="1:25" x14ac:dyDescent="0.2">
      <c r="A1427" s="29"/>
      <c r="B1427" s="29"/>
      <c r="C1427" s="29"/>
      <c r="D1427" s="29"/>
      <c r="E1427" s="29"/>
      <c r="F1427" s="30"/>
      <c r="G1427" s="30"/>
      <c r="H1427" s="30"/>
      <c r="I1427" s="30"/>
      <c r="J1427" s="30"/>
      <c r="K1427" s="30"/>
      <c r="L1427" s="29"/>
      <c r="M1427" s="29"/>
      <c r="N1427" s="29"/>
      <c r="O1427" s="29"/>
      <c r="P1427" s="29"/>
      <c r="Q1427" s="29"/>
      <c r="R1427" s="29"/>
      <c r="S1427" s="29"/>
      <c r="T1427" s="29"/>
      <c r="U1427" s="31"/>
      <c r="V1427" s="31"/>
      <c r="W1427" s="31"/>
      <c r="X1427" s="31"/>
      <c r="Y1427" s="31"/>
    </row>
    <row r="1428" spans="1:25" x14ac:dyDescent="0.2">
      <c r="A1428" s="29"/>
      <c r="B1428" s="29"/>
      <c r="C1428" s="29"/>
      <c r="D1428" s="29"/>
      <c r="E1428" s="29"/>
      <c r="F1428" s="30"/>
      <c r="G1428" s="30"/>
      <c r="H1428" s="30"/>
      <c r="I1428" s="30"/>
      <c r="J1428" s="30"/>
      <c r="K1428" s="30"/>
      <c r="L1428" s="29"/>
      <c r="M1428" s="29"/>
      <c r="N1428" s="29"/>
      <c r="O1428" s="29"/>
      <c r="P1428" s="29"/>
      <c r="Q1428" s="29"/>
      <c r="R1428" s="29"/>
      <c r="S1428" s="29"/>
      <c r="T1428" s="29"/>
      <c r="U1428" s="31"/>
      <c r="V1428" s="31"/>
      <c r="W1428" s="31"/>
      <c r="X1428" s="31"/>
      <c r="Y1428" s="31"/>
    </row>
    <row r="1429" spans="1:25" x14ac:dyDescent="0.2">
      <c r="A1429" s="29"/>
      <c r="B1429" s="29"/>
      <c r="C1429" s="29"/>
      <c r="D1429" s="29"/>
      <c r="E1429" s="29"/>
      <c r="F1429" s="30"/>
      <c r="G1429" s="30"/>
      <c r="H1429" s="30"/>
      <c r="I1429" s="30"/>
      <c r="J1429" s="30"/>
      <c r="K1429" s="30"/>
      <c r="L1429" s="29"/>
      <c r="M1429" s="29"/>
      <c r="N1429" s="29"/>
      <c r="O1429" s="29"/>
      <c r="P1429" s="29"/>
      <c r="Q1429" s="29"/>
      <c r="R1429" s="29"/>
      <c r="S1429" s="29"/>
      <c r="T1429" s="29"/>
      <c r="U1429" s="31"/>
      <c r="V1429" s="31"/>
      <c r="W1429" s="31"/>
      <c r="X1429" s="31"/>
      <c r="Y1429" s="31"/>
    </row>
    <row r="1430" spans="1:25" x14ac:dyDescent="0.2">
      <c r="A1430" s="29"/>
      <c r="B1430" s="29"/>
      <c r="C1430" s="29"/>
      <c r="D1430" s="29"/>
      <c r="E1430" s="29"/>
      <c r="F1430" s="30"/>
      <c r="G1430" s="30"/>
      <c r="H1430" s="30"/>
      <c r="I1430" s="30"/>
      <c r="J1430" s="30"/>
      <c r="K1430" s="30"/>
      <c r="L1430" s="29"/>
      <c r="M1430" s="29"/>
      <c r="N1430" s="29"/>
      <c r="O1430" s="29"/>
      <c r="P1430" s="29"/>
      <c r="Q1430" s="29"/>
      <c r="R1430" s="29"/>
      <c r="S1430" s="29"/>
      <c r="T1430" s="29"/>
      <c r="U1430" s="31"/>
      <c r="V1430" s="31"/>
      <c r="W1430" s="31"/>
      <c r="X1430" s="31"/>
      <c r="Y1430" s="31"/>
    </row>
    <row r="1431" spans="1:25" x14ac:dyDescent="0.2">
      <c r="A1431" s="29"/>
      <c r="B1431" s="29"/>
      <c r="C1431" s="29"/>
      <c r="D1431" s="29"/>
      <c r="E1431" s="29"/>
      <c r="F1431" s="30"/>
      <c r="G1431" s="30"/>
      <c r="H1431" s="30"/>
      <c r="I1431" s="30"/>
      <c r="J1431" s="30"/>
      <c r="K1431" s="30"/>
      <c r="L1431" s="29"/>
      <c r="M1431" s="29"/>
      <c r="N1431" s="29"/>
      <c r="O1431" s="29"/>
      <c r="P1431" s="29"/>
      <c r="Q1431" s="29"/>
      <c r="R1431" s="29"/>
      <c r="S1431" s="29"/>
      <c r="T1431" s="29"/>
      <c r="U1431" s="31"/>
      <c r="V1431" s="31"/>
      <c r="W1431" s="31"/>
      <c r="X1431" s="31"/>
      <c r="Y1431" s="31"/>
    </row>
    <row r="1432" spans="1:25" x14ac:dyDescent="0.2">
      <c r="A1432" s="29"/>
      <c r="B1432" s="29"/>
      <c r="C1432" s="29"/>
      <c r="D1432" s="29"/>
      <c r="E1432" s="29"/>
      <c r="F1432" s="30"/>
      <c r="G1432" s="30"/>
      <c r="H1432" s="30"/>
      <c r="I1432" s="30"/>
      <c r="J1432" s="30"/>
      <c r="K1432" s="30"/>
      <c r="L1432" s="29"/>
      <c r="M1432" s="29"/>
      <c r="N1432" s="29"/>
      <c r="O1432" s="29"/>
      <c r="P1432" s="29"/>
      <c r="Q1432" s="29"/>
      <c r="R1432" s="29"/>
      <c r="S1432" s="29"/>
      <c r="T1432" s="29"/>
      <c r="U1432" s="31"/>
      <c r="V1432" s="31"/>
      <c r="W1432" s="31"/>
      <c r="X1432" s="31"/>
      <c r="Y1432" s="31"/>
    </row>
    <row r="1433" spans="1:25" x14ac:dyDescent="0.2">
      <c r="A1433" s="29"/>
      <c r="B1433" s="29"/>
      <c r="C1433" s="29"/>
      <c r="D1433" s="29"/>
      <c r="E1433" s="29"/>
      <c r="F1433" s="30"/>
      <c r="G1433" s="30"/>
      <c r="H1433" s="30"/>
      <c r="I1433" s="30"/>
      <c r="J1433" s="30"/>
      <c r="K1433" s="30"/>
      <c r="L1433" s="29"/>
      <c r="M1433" s="29"/>
      <c r="N1433" s="29"/>
      <c r="O1433" s="29"/>
      <c r="P1433" s="29"/>
      <c r="Q1433" s="29"/>
      <c r="R1433" s="29"/>
      <c r="S1433" s="29"/>
      <c r="T1433" s="29"/>
      <c r="U1433" s="31"/>
      <c r="V1433" s="31"/>
      <c r="W1433" s="31"/>
      <c r="X1433" s="31"/>
      <c r="Y1433" s="31"/>
    </row>
    <row r="1434" spans="1:25" x14ac:dyDescent="0.2">
      <c r="A1434" s="29"/>
      <c r="B1434" s="29"/>
      <c r="C1434" s="29"/>
      <c r="D1434" s="29"/>
      <c r="E1434" s="29"/>
      <c r="F1434" s="30"/>
      <c r="G1434" s="30"/>
      <c r="H1434" s="30"/>
      <c r="I1434" s="30"/>
      <c r="J1434" s="30"/>
      <c r="K1434" s="30"/>
      <c r="L1434" s="29"/>
      <c r="M1434" s="29"/>
      <c r="N1434" s="29"/>
      <c r="O1434" s="29"/>
      <c r="P1434" s="29"/>
      <c r="Q1434" s="29"/>
      <c r="R1434" s="29"/>
      <c r="S1434" s="29"/>
      <c r="T1434" s="29"/>
      <c r="U1434" s="31"/>
      <c r="V1434" s="31"/>
      <c r="W1434" s="31"/>
      <c r="X1434" s="31"/>
      <c r="Y1434" s="31"/>
    </row>
    <row r="1435" spans="1:25" x14ac:dyDescent="0.2">
      <c r="A1435" s="29"/>
      <c r="B1435" s="29"/>
      <c r="C1435" s="29"/>
      <c r="D1435" s="29"/>
      <c r="E1435" s="29"/>
      <c r="F1435" s="30"/>
      <c r="G1435" s="30"/>
      <c r="H1435" s="30"/>
      <c r="I1435" s="30"/>
      <c r="J1435" s="30"/>
      <c r="K1435" s="30"/>
      <c r="L1435" s="29"/>
      <c r="M1435" s="29"/>
      <c r="N1435" s="29"/>
      <c r="O1435" s="29"/>
      <c r="P1435" s="29"/>
      <c r="Q1435" s="29"/>
      <c r="R1435" s="29"/>
      <c r="S1435" s="29"/>
      <c r="T1435" s="29"/>
      <c r="U1435" s="31"/>
      <c r="V1435" s="31"/>
      <c r="W1435" s="31"/>
      <c r="X1435" s="31"/>
      <c r="Y1435" s="31"/>
    </row>
    <row r="1436" spans="1:25" x14ac:dyDescent="0.2">
      <c r="A1436" s="29"/>
      <c r="B1436" s="29"/>
      <c r="C1436" s="29"/>
      <c r="D1436" s="29"/>
      <c r="E1436" s="29"/>
      <c r="F1436" s="30"/>
      <c r="G1436" s="30"/>
      <c r="H1436" s="30"/>
      <c r="I1436" s="30"/>
      <c r="J1436" s="30"/>
      <c r="K1436" s="30"/>
      <c r="L1436" s="29"/>
      <c r="M1436" s="29"/>
      <c r="N1436" s="29"/>
      <c r="O1436" s="29"/>
      <c r="P1436" s="29"/>
      <c r="Q1436" s="29"/>
      <c r="R1436" s="29"/>
      <c r="S1436" s="29"/>
      <c r="T1436" s="29"/>
      <c r="U1436" s="31"/>
      <c r="V1436" s="31"/>
      <c r="W1436" s="31"/>
      <c r="X1436" s="31"/>
      <c r="Y1436" s="31"/>
    </row>
    <row r="1437" spans="1:25" x14ac:dyDescent="0.2">
      <c r="A1437" s="29"/>
      <c r="B1437" s="29"/>
      <c r="C1437" s="29"/>
      <c r="D1437" s="29"/>
      <c r="E1437" s="29"/>
      <c r="F1437" s="30"/>
      <c r="G1437" s="30"/>
      <c r="H1437" s="30"/>
      <c r="I1437" s="30"/>
      <c r="J1437" s="30"/>
      <c r="K1437" s="30"/>
      <c r="L1437" s="29"/>
      <c r="M1437" s="29"/>
      <c r="N1437" s="29"/>
      <c r="O1437" s="29"/>
      <c r="P1437" s="29"/>
      <c r="Q1437" s="29"/>
      <c r="R1437" s="29"/>
      <c r="S1437" s="29"/>
      <c r="T1437" s="29"/>
      <c r="U1437" s="31"/>
      <c r="V1437" s="31"/>
      <c r="W1437" s="31"/>
      <c r="X1437" s="31"/>
      <c r="Y1437" s="31"/>
    </row>
    <row r="1438" spans="1:25" x14ac:dyDescent="0.2">
      <c r="A1438" s="29"/>
      <c r="B1438" s="29"/>
      <c r="C1438" s="29"/>
      <c r="D1438" s="29"/>
      <c r="E1438" s="29"/>
      <c r="F1438" s="30"/>
      <c r="G1438" s="30"/>
      <c r="H1438" s="30"/>
      <c r="I1438" s="30"/>
      <c r="J1438" s="30"/>
      <c r="K1438" s="30"/>
      <c r="L1438" s="29"/>
      <c r="M1438" s="29"/>
      <c r="N1438" s="29"/>
      <c r="O1438" s="29"/>
      <c r="P1438" s="29"/>
      <c r="Q1438" s="29"/>
      <c r="R1438" s="29"/>
      <c r="S1438" s="29"/>
      <c r="T1438" s="29"/>
      <c r="U1438" s="31"/>
      <c r="V1438" s="31"/>
      <c r="W1438" s="31"/>
      <c r="X1438" s="31"/>
      <c r="Y1438" s="31"/>
    </row>
    <row r="1439" spans="1:25" x14ac:dyDescent="0.2">
      <c r="A1439" s="29"/>
      <c r="B1439" s="29"/>
      <c r="C1439" s="29"/>
      <c r="D1439" s="29"/>
      <c r="E1439" s="29"/>
      <c r="F1439" s="30"/>
      <c r="G1439" s="30"/>
      <c r="H1439" s="30"/>
      <c r="I1439" s="30"/>
      <c r="J1439" s="30"/>
      <c r="K1439" s="30"/>
      <c r="L1439" s="29"/>
      <c r="M1439" s="29"/>
      <c r="N1439" s="29"/>
      <c r="O1439" s="29"/>
      <c r="P1439" s="29"/>
      <c r="Q1439" s="29"/>
      <c r="R1439" s="29"/>
      <c r="S1439" s="29"/>
      <c r="T1439" s="29"/>
      <c r="U1439" s="31"/>
      <c r="V1439" s="31"/>
      <c r="W1439" s="31"/>
      <c r="X1439" s="31"/>
      <c r="Y1439" s="31"/>
    </row>
    <row r="1440" spans="1:25" x14ac:dyDescent="0.2">
      <c r="A1440" s="29"/>
      <c r="B1440" s="29"/>
      <c r="C1440" s="29"/>
      <c r="D1440" s="29"/>
      <c r="E1440" s="29"/>
      <c r="F1440" s="30"/>
      <c r="G1440" s="30"/>
      <c r="H1440" s="30"/>
      <c r="I1440" s="30"/>
      <c r="J1440" s="30"/>
      <c r="K1440" s="30"/>
      <c r="L1440" s="29"/>
      <c r="M1440" s="29"/>
      <c r="N1440" s="29"/>
      <c r="O1440" s="29"/>
      <c r="P1440" s="29"/>
      <c r="Q1440" s="29"/>
      <c r="R1440" s="29"/>
      <c r="S1440" s="29"/>
      <c r="T1440" s="29"/>
      <c r="U1440" s="31"/>
      <c r="V1440" s="31"/>
      <c r="W1440" s="31"/>
      <c r="X1440" s="31"/>
      <c r="Y1440" s="31"/>
    </row>
    <row r="1441" spans="1:25" x14ac:dyDescent="0.2">
      <c r="A1441" s="29"/>
      <c r="B1441" s="29"/>
      <c r="C1441" s="29"/>
      <c r="D1441" s="29"/>
      <c r="E1441" s="29"/>
      <c r="F1441" s="30"/>
      <c r="G1441" s="30"/>
      <c r="H1441" s="30"/>
      <c r="I1441" s="30"/>
      <c r="J1441" s="30"/>
      <c r="K1441" s="30"/>
      <c r="L1441" s="29"/>
      <c r="M1441" s="29"/>
      <c r="N1441" s="29"/>
      <c r="O1441" s="29"/>
      <c r="P1441" s="29"/>
      <c r="Q1441" s="29"/>
      <c r="R1441" s="29"/>
      <c r="S1441" s="29"/>
      <c r="T1441" s="29"/>
      <c r="U1441" s="31"/>
      <c r="V1441" s="31"/>
      <c r="W1441" s="31"/>
      <c r="X1441" s="31"/>
      <c r="Y1441" s="31"/>
    </row>
    <row r="1442" spans="1:25" x14ac:dyDescent="0.2">
      <c r="A1442" s="29"/>
      <c r="B1442" s="29"/>
      <c r="C1442" s="29"/>
      <c r="D1442" s="29"/>
      <c r="E1442" s="29"/>
      <c r="F1442" s="30"/>
      <c r="G1442" s="30"/>
      <c r="H1442" s="30"/>
      <c r="I1442" s="30"/>
      <c r="J1442" s="30"/>
      <c r="K1442" s="30"/>
      <c r="L1442" s="29"/>
      <c r="M1442" s="29"/>
      <c r="N1442" s="29"/>
      <c r="O1442" s="29"/>
      <c r="P1442" s="29"/>
      <c r="Q1442" s="29"/>
      <c r="R1442" s="29"/>
      <c r="S1442" s="29"/>
      <c r="T1442" s="29"/>
      <c r="U1442" s="31"/>
      <c r="V1442" s="31"/>
      <c r="W1442" s="31"/>
      <c r="X1442" s="31"/>
      <c r="Y1442" s="31"/>
    </row>
    <row r="1443" spans="1:25" x14ac:dyDescent="0.2">
      <c r="A1443" s="29"/>
      <c r="B1443" s="29"/>
      <c r="C1443" s="29"/>
      <c r="D1443" s="29"/>
      <c r="E1443" s="29"/>
      <c r="F1443" s="30"/>
      <c r="G1443" s="30"/>
      <c r="H1443" s="30"/>
      <c r="I1443" s="30"/>
      <c r="J1443" s="30"/>
      <c r="K1443" s="30"/>
      <c r="L1443" s="29"/>
      <c r="M1443" s="29"/>
      <c r="N1443" s="29"/>
      <c r="O1443" s="29"/>
      <c r="P1443" s="29"/>
      <c r="Q1443" s="29"/>
      <c r="R1443" s="29"/>
      <c r="S1443" s="29"/>
      <c r="T1443" s="29"/>
      <c r="U1443" s="31"/>
      <c r="V1443" s="31"/>
      <c r="W1443" s="31"/>
      <c r="X1443" s="31"/>
      <c r="Y1443" s="31"/>
    </row>
    <row r="1444" spans="1:25" x14ac:dyDescent="0.2">
      <c r="A1444" s="29"/>
      <c r="B1444" s="29"/>
      <c r="C1444" s="29"/>
      <c r="D1444" s="29"/>
      <c r="E1444" s="29"/>
      <c r="F1444" s="30"/>
      <c r="G1444" s="30"/>
      <c r="H1444" s="30"/>
      <c r="I1444" s="30"/>
      <c r="J1444" s="30"/>
      <c r="K1444" s="30"/>
      <c r="L1444" s="29"/>
      <c r="M1444" s="29"/>
      <c r="N1444" s="29"/>
      <c r="O1444" s="29"/>
      <c r="P1444" s="29"/>
      <c r="Q1444" s="29"/>
      <c r="R1444" s="29"/>
      <c r="S1444" s="29"/>
      <c r="T1444" s="29"/>
      <c r="U1444" s="31"/>
      <c r="V1444" s="31"/>
      <c r="W1444" s="31"/>
      <c r="X1444" s="31"/>
      <c r="Y1444" s="31"/>
    </row>
    <row r="1445" spans="1:25" x14ac:dyDescent="0.2">
      <c r="A1445" s="29"/>
      <c r="B1445" s="29"/>
      <c r="C1445" s="29"/>
      <c r="D1445" s="29"/>
      <c r="E1445" s="29"/>
      <c r="F1445" s="30"/>
      <c r="G1445" s="30"/>
      <c r="H1445" s="30"/>
      <c r="I1445" s="30"/>
      <c r="J1445" s="30"/>
      <c r="K1445" s="30"/>
      <c r="L1445" s="29"/>
      <c r="M1445" s="29"/>
      <c r="N1445" s="29"/>
      <c r="O1445" s="29"/>
      <c r="P1445" s="29"/>
      <c r="Q1445" s="29"/>
      <c r="R1445" s="29"/>
      <c r="S1445" s="29"/>
      <c r="T1445" s="29"/>
      <c r="U1445" s="31"/>
      <c r="V1445" s="31"/>
      <c r="W1445" s="31"/>
      <c r="X1445" s="31"/>
      <c r="Y1445" s="31"/>
    </row>
    <row r="1446" spans="1:25" x14ac:dyDescent="0.2">
      <c r="A1446" s="29"/>
      <c r="B1446" s="29"/>
      <c r="C1446" s="29"/>
      <c r="D1446" s="29"/>
      <c r="E1446" s="29"/>
      <c r="F1446" s="30"/>
      <c r="G1446" s="30"/>
      <c r="H1446" s="30"/>
      <c r="I1446" s="30"/>
      <c r="J1446" s="30"/>
      <c r="K1446" s="30"/>
      <c r="L1446" s="29"/>
      <c r="M1446" s="29"/>
      <c r="N1446" s="29"/>
      <c r="O1446" s="29"/>
      <c r="P1446" s="29"/>
      <c r="Q1446" s="29"/>
      <c r="R1446" s="29"/>
      <c r="S1446" s="29"/>
      <c r="T1446" s="29"/>
      <c r="U1446" s="31"/>
      <c r="V1446" s="31"/>
      <c r="W1446" s="31"/>
      <c r="X1446" s="31"/>
      <c r="Y1446" s="31"/>
    </row>
    <row r="1447" spans="1:25" x14ac:dyDescent="0.2">
      <c r="A1447" s="29"/>
      <c r="B1447" s="29"/>
      <c r="C1447" s="29"/>
      <c r="D1447" s="29"/>
      <c r="E1447" s="29"/>
      <c r="F1447" s="30"/>
      <c r="G1447" s="30"/>
      <c r="H1447" s="30"/>
      <c r="I1447" s="30"/>
      <c r="J1447" s="30"/>
      <c r="K1447" s="30"/>
      <c r="L1447" s="29"/>
      <c r="M1447" s="29"/>
      <c r="N1447" s="29"/>
      <c r="O1447" s="29"/>
      <c r="P1447" s="29"/>
      <c r="Q1447" s="29"/>
      <c r="R1447" s="29"/>
      <c r="S1447" s="29"/>
      <c r="T1447" s="29"/>
      <c r="U1447" s="31"/>
      <c r="V1447" s="31"/>
      <c r="W1447" s="31"/>
      <c r="X1447" s="31"/>
      <c r="Y1447" s="31"/>
    </row>
    <row r="1448" spans="1:25" x14ac:dyDescent="0.2">
      <c r="A1448" s="29"/>
      <c r="B1448" s="29"/>
      <c r="C1448" s="29"/>
      <c r="D1448" s="29"/>
      <c r="E1448" s="29"/>
      <c r="F1448" s="30"/>
      <c r="G1448" s="30"/>
      <c r="H1448" s="30"/>
      <c r="I1448" s="30"/>
      <c r="J1448" s="30"/>
      <c r="K1448" s="30"/>
      <c r="L1448" s="29"/>
      <c r="M1448" s="29"/>
      <c r="N1448" s="29"/>
      <c r="O1448" s="29"/>
      <c r="P1448" s="29"/>
      <c r="Q1448" s="29"/>
      <c r="R1448" s="29"/>
      <c r="S1448" s="29"/>
      <c r="T1448" s="29"/>
      <c r="U1448" s="31"/>
      <c r="V1448" s="31"/>
      <c r="W1448" s="31"/>
      <c r="X1448" s="31"/>
      <c r="Y1448" s="31"/>
    </row>
    <row r="1449" spans="1:25" x14ac:dyDescent="0.2">
      <c r="A1449" s="29"/>
      <c r="B1449" s="29"/>
      <c r="C1449" s="29"/>
      <c r="D1449" s="29"/>
      <c r="E1449" s="29"/>
      <c r="F1449" s="30"/>
      <c r="G1449" s="30"/>
      <c r="H1449" s="30"/>
      <c r="I1449" s="30"/>
      <c r="J1449" s="30"/>
      <c r="K1449" s="30"/>
      <c r="L1449" s="29"/>
      <c r="M1449" s="29"/>
      <c r="N1449" s="29"/>
      <c r="O1449" s="29"/>
      <c r="P1449" s="29"/>
      <c r="Q1449" s="29"/>
      <c r="R1449" s="29"/>
      <c r="S1449" s="29"/>
      <c r="T1449" s="29"/>
      <c r="U1449" s="31"/>
      <c r="V1449" s="31"/>
      <c r="W1449" s="31"/>
      <c r="X1449" s="31"/>
      <c r="Y1449" s="31"/>
    </row>
    <row r="1450" spans="1:25" x14ac:dyDescent="0.2">
      <c r="A1450" s="29"/>
      <c r="B1450" s="29"/>
      <c r="C1450" s="29"/>
      <c r="D1450" s="29"/>
      <c r="E1450" s="29"/>
      <c r="F1450" s="30"/>
      <c r="G1450" s="30"/>
      <c r="H1450" s="30"/>
      <c r="I1450" s="30"/>
      <c r="J1450" s="30"/>
      <c r="K1450" s="30"/>
      <c r="L1450" s="29"/>
      <c r="M1450" s="29"/>
      <c r="N1450" s="29"/>
      <c r="O1450" s="29"/>
      <c r="P1450" s="29"/>
      <c r="Q1450" s="29"/>
      <c r="R1450" s="29"/>
      <c r="S1450" s="29"/>
      <c r="T1450" s="29"/>
      <c r="U1450" s="31"/>
      <c r="V1450" s="31"/>
      <c r="W1450" s="31"/>
      <c r="X1450" s="31"/>
      <c r="Y1450" s="31"/>
    </row>
    <row r="1451" spans="1:25" x14ac:dyDescent="0.2">
      <c r="A1451" s="29"/>
      <c r="B1451" s="29"/>
      <c r="C1451" s="29"/>
      <c r="D1451" s="29"/>
      <c r="E1451" s="29"/>
      <c r="F1451" s="30"/>
      <c r="G1451" s="30"/>
      <c r="H1451" s="30"/>
      <c r="I1451" s="30"/>
      <c r="J1451" s="30"/>
      <c r="K1451" s="30"/>
      <c r="L1451" s="29"/>
      <c r="M1451" s="29"/>
      <c r="N1451" s="29"/>
      <c r="O1451" s="29"/>
      <c r="P1451" s="29"/>
      <c r="Q1451" s="29"/>
      <c r="R1451" s="29"/>
      <c r="S1451" s="29"/>
      <c r="T1451" s="29"/>
      <c r="U1451" s="31"/>
      <c r="V1451" s="31"/>
      <c r="W1451" s="31"/>
      <c r="X1451" s="31"/>
      <c r="Y1451" s="31"/>
    </row>
    <row r="1452" spans="1:25" x14ac:dyDescent="0.2">
      <c r="A1452" s="29"/>
      <c r="B1452" s="29"/>
      <c r="C1452" s="29"/>
      <c r="D1452" s="29"/>
      <c r="E1452" s="29"/>
      <c r="F1452" s="30"/>
      <c r="G1452" s="30"/>
      <c r="H1452" s="30"/>
      <c r="I1452" s="30"/>
      <c r="J1452" s="30"/>
      <c r="K1452" s="30"/>
      <c r="L1452" s="29"/>
      <c r="M1452" s="29"/>
      <c r="N1452" s="29"/>
      <c r="O1452" s="29"/>
      <c r="P1452" s="29"/>
      <c r="Q1452" s="29"/>
      <c r="R1452" s="29"/>
      <c r="S1452" s="29"/>
      <c r="T1452" s="29"/>
      <c r="U1452" s="31"/>
      <c r="V1452" s="31"/>
      <c r="W1452" s="31"/>
      <c r="X1452" s="31"/>
      <c r="Y1452" s="31"/>
    </row>
    <row r="1453" spans="1:25" x14ac:dyDescent="0.2">
      <c r="A1453" s="29"/>
      <c r="B1453" s="29"/>
      <c r="C1453" s="29"/>
      <c r="D1453" s="29"/>
      <c r="E1453" s="29"/>
      <c r="F1453" s="30"/>
      <c r="G1453" s="30"/>
      <c r="H1453" s="30"/>
      <c r="I1453" s="30"/>
      <c r="J1453" s="30"/>
      <c r="K1453" s="30"/>
      <c r="L1453" s="29"/>
      <c r="M1453" s="29"/>
      <c r="N1453" s="29"/>
      <c r="O1453" s="29"/>
      <c r="P1453" s="29"/>
      <c r="Q1453" s="29"/>
      <c r="R1453" s="29"/>
      <c r="S1453" s="29"/>
      <c r="T1453" s="29"/>
      <c r="U1453" s="31"/>
      <c r="V1453" s="31"/>
      <c r="W1453" s="31"/>
      <c r="X1453" s="31"/>
      <c r="Y1453" s="31"/>
    </row>
    <row r="1454" spans="1:25" x14ac:dyDescent="0.2">
      <c r="A1454" s="29"/>
      <c r="B1454" s="29"/>
      <c r="C1454" s="29"/>
      <c r="D1454" s="29"/>
      <c r="E1454" s="29"/>
      <c r="F1454" s="30"/>
      <c r="G1454" s="30"/>
      <c r="H1454" s="30"/>
      <c r="I1454" s="30"/>
      <c r="J1454" s="30"/>
      <c r="K1454" s="30"/>
      <c r="L1454" s="29"/>
      <c r="M1454" s="29"/>
      <c r="N1454" s="29"/>
      <c r="O1454" s="29"/>
      <c r="P1454" s="29"/>
      <c r="Q1454" s="29"/>
      <c r="R1454" s="29"/>
      <c r="S1454" s="29"/>
      <c r="T1454" s="29"/>
      <c r="U1454" s="31"/>
      <c r="V1454" s="31"/>
      <c r="W1454" s="31"/>
      <c r="X1454" s="31"/>
      <c r="Y1454" s="31"/>
    </row>
    <row r="1455" spans="1:25" x14ac:dyDescent="0.2">
      <c r="A1455" s="29"/>
      <c r="B1455" s="29"/>
      <c r="C1455" s="29"/>
      <c r="D1455" s="29"/>
      <c r="E1455" s="29"/>
      <c r="F1455" s="30"/>
      <c r="G1455" s="30"/>
      <c r="H1455" s="30"/>
      <c r="I1455" s="30"/>
      <c r="J1455" s="30"/>
      <c r="K1455" s="30"/>
      <c r="L1455" s="29"/>
      <c r="M1455" s="29"/>
      <c r="N1455" s="29"/>
      <c r="O1455" s="29"/>
      <c r="P1455" s="29"/>
      <c r="Q1455" s="29"/>
      <c r="R1455" s="29"/>
      <c r="S1455" s="29"/>
      <c r="T1455" s="29"/>
      <c r="U1455" s="31"/>
      <c r="V1455" s="31"/>
      <c r="W1455" s="31"/>
      <c r="X1455" s="31"/>
      <c r="Y1455" s="31"/>
    </row>
    <row r="1456" spans="1:25" x14ac:dyDescent="0.2">
      <c r="A1456" s="29"/>
      <c r="B1456" s="29"/>
      <c r="C1456" s="29"/>
      <c r="D1456" s="29"/>
      <c r="E1456" s="29"/>
      <c r="F1456" s="30"/>
      <c r="G1456" s="30"/>
      <c r="H1456" s="30"/>
      <c r="I1456" s="30"/>
      <c r="J1456" s="30"/>
      <c r="K1456" s="30"/>
      <c r="L1456" s="29"/>
      <c r="M1456" s="29"/>
      <c r="N1456" s="29"/>
      <c r="O1456" s="29"/>
      <c r="P1456" s="29"/>
      <c r="Q1456" s="29"/>
      <c r="R1456" s="29"/>
      <c r="S1456" s="29"/>
      <c r="T1456" s="29"/>
      <c r="U1456" s="31"/>
      <c r="V1456" s="31"/>
      <c r="W1456" s="31"/>
      <c r="X1456" s="31"/>
      <c r="Y1456" s="31"/>
    </row>
    <row r="1457" spans="1:25" x14ac:dyDescent="0.2">
      <c r="A1457" s="29"/>
      <c r="B1457" s="29"/>
      <c r="C1457" s="29"/>
      <c r="D1457" s="29"/>
      <c r="E1457" s="29"/>
      <c r="F1457" s="30"/>
      <c r="G1457" s="30"/>
      <c r="H1457" s="30"/>
      <c r="I1457" s="30"/>
      <c r="J1457" s="30"/>
      <c r="K1457" s="30"/>
      <c r="L1457" s="29"/>
      <c r="M1457" s="29"/>
      <c r="N1457" s="29"/>
      <c r="O1457" s="29"/>
      <c r="P1457" s="29"/>
      <c r="Q1457" s="29"/>
      <c r="R1457" s="29"/>
      <c r="S1457" s="29"/>
      <c r="T1457" s="29"/>
      <c r="U1457" s="31"/>
      <c r="V1457" s="31"/>
      <c r="W1457" s="31"/>
      <c r="X1457" s="31"/>
      <c r="Y1457" s="31"/>
    </row>
    <row r="1458" spans="1:25" x14ac:dyDescent="0.2">
      <c r="A1458" s="29"/>
      <c r="B1458" s="29"/>
      <c r="C1458" s="29"/>
      <c r="D1458" s="29"/>
      <c r="E1458" s="29"/>
      <c r="F1458" s="30"/>
      <c r="G1458" s="30"/>
      <c r="H1458" s="30"/>
      <c r="I1458" s="30"/>
      <c r="J1458" s="30"/>
      <c r="K1458" s="30"/>
      <c r="L1458" s="29"/>
      <c r="M1458" s="29"/>
      <c r="N1458" s="29"/>
      <c r="O1458" s="29"/>
      <c r="P1458" s="29"/>
      <c r="Q1458" s="29"/>
      <c r="R1458" s="29"/>
      <c r="S1458" s="29"/>
      <c r="T1458" s="29"/>
      <c r="U1458" s="31"/>
      <c r="V1458" s="31"/>
      <c r="W1458" s="31"/>
      <c r="X1458" s="31"/>
      <c r="Y1458" s="31"/>
    </row>
    <row r="1459" spans="1:25" x14ac:dyDescent="0.2">
      <c r="A1459" s="29"/>
      <c r="B1459" s="29"/>
      <c r="C1459" s="29"/>
      <c r="D1459" s="29"/>
      <c r="E1459" s="29"/>
      <c r="F1459" s="30"/>
      <c r="G1459" s="30"/>
      <c r="H1459" s="30"/>
      <c r="I1459" s="30"/>
      <c r="J1459" s="30"/>
      <c r="K1459" s="30"/>
      <c r="L1459" s="29"/>
      <c r="M1459" s="29"/>
      <c r="N1459" s="29"/>
      <c r="O1459" s="29"/>
      <c r="P1459" s="29"/>
      <c r="Q1459" s="29"/>
      <c r="R1459" s="29"/>
      <c r="S1459" s="29"/>
      <c r="T1459" s="29"/>
      <c r="U1459" s="31"/>
      <c r="V1459" s="31"/>
      <c r="W1459" s="31"/>
      <c r="X1459" s="31"/>
      <c r="Y1459" s="31"/>
    </row>
    <row r="1460" spans="1:25" x14ac:dyDescent="0.2">
      <c r="A1460" s="29"/>
      <c r="B1460" s="29"/>
      <c r="C1460" s="29"/>
      <c r="D1460" s="29"/>
      <c r="E1460" s="29"/>
      <c r="F1460" s="30"/>
      <c r="G1460" s="30"/>
      <c r="H1460" s="30"/>
      <c r="I1460" s="30"/>
      <c r="J1460" s="30"/>
      <c r="K1460" s="30"/>
      <c r="L1460" s="29"/>
      <c r="M1460" s="29"/>
      <c r="N1460" s="29"/>
      <c r="O1460" s="29"/>
      <c r="P1460" s="29"/>
      <c r="Q1460" s="29"/>
      <c r="R1460" s="29"/>
      <c r="S1460" s="29"/>
      <c r="T1460" s="29"/>
      <c r="U1460" s="31"/>
      <c r="V1460" s="31"/>
      <c r="W1460" s="31"/>
      <c r="X1460" s="31"/>
      <c r="Y1460" s="31"/>
    </row>
    <row r="1461" spans="1:25" x14ac:dyDescent="0.2">
      <c r="A1461" s="29"/>
      <c r="B1461" s="29"/>
      <c r="C1461" s="29"/>
      <c r="D1461" s="29"/>
      <c r="E1461" s="29"/>
      <c r="F1461" s="30"/>
      <c r="G1461" s="30"/>
      <c r="H1461" s="30"/>
      <c r="I1461" s="30"/>
      <c r="J1461" s="30"/>
      <c r="K1461" s="30"/>
      <c r="L1461" s="29"/>
      <c r="M1461" s="29"/>
      <c r="N1461" s="29"/>
      <c r="O1461" s="29"/>
      <c r="P1461" s="29"/>
      <c r="Q1461" s="29"/>
      <c r="R1461" s="29"/>
      <c r="S1461" s="29"/>
      <c r="T1461" s="29"/>
      <c r="U1461" s="31"/>
      <c r="V1461" s="31"/>
      <c r="W1461" s="31"/>
      <c r="X1461" s="31"/>
      <c r="Y1461" s="31"/>
    </row>
    <row r="1462" spans="1:25" x14ac:dyDescent="0.2">
      <c r="A1462" s="29"/>
      <c r="B1462" s="29"/>
      <c r="C1462" s="29"/>
      <c r="D1462" s="29"/>
      <c r="E1462" s="29"/>
      <c r="F1462" s="30"/>
      <c r="G1462" s="30"/>
      <c r="H1462" s="30"/>
      <c r="I1462" s="30"/>
      <c r="J1462" s="30"/>
      <c r="K1462" s="30"/>
      <c r="L1462" s="29"/>
      <c r="M1462" s="29"/>
      <c r="N1462" s="29"/>
      <c r="O1462" s="29"/>
      <c r="P1462" s="29"/>
      <c r="Q1462" s="29"/>
      <c r="R1462" s="29"/>
      <c r="S1462" s="29"/>
      <c r="T1462" s="29"/>
      <c r="U1462" s="31"/>
      <c r="V1462" s="31"/>
      <c r="W1462" s="31"/>
      <c r="X1462" s="31"/>
      <c r="Y1462" s="31"/>
    </row>
    <row r="1463" spans="1:25" x14ac:dyDescent="0.2">
      <c r="A1463" s="29"/>
      <c r="B1463" s="29"/>
      <c r="C1463" s="29"/>
      <c r="D1463" s="29"/>
      <c r="E1463" s="29"/>
      <c r="F1463" s="30"/>
      <c r="G1463" s="30"/>
      <c r="H1463" s="30"/>
      <c r="I1463" s="30"/>
      <c r="J1463" s="30"/>
      <c r="K1463" s="30"/>
      <c r="L1463" s="29"/>
      <c r="M1463" s="29"/>
      <c r="N1463" s="29"/>
      <c r="O1463" s="29"/>
      <c r="P1463" s="29"/>
      <c r="Q1463" s="29"/>
      <c r="R1463" s="29"/>
      <c r="S1463" s="29"/>
      <c r="T1463" s="29"/>
      <c r="U1463" s="31"/>
      <c r="V1463" s="31"/>
      <c r="W1463" s="31"/>
      <c r="X1463" s="31"/>
      <c r="Y1463" s="31"/>
    </row>
    <row r="1464" spans="1:25" x14ac:dyDescent="0.2">
      <c r="A1464" s="29"/>
      <c r="B1464" s="29"/>
      <c r="C1464" s="29"/>
      <c r="D1464" s="29"/>
      <c r="E1464" s="29"/>
      <c r="F1464" s="30"/>
      <c r="G1464" s="30"/>
      <c r="H1464" s="30"/>
      <c r="I1464" s="30"/>
      <c r="J1464" s="30"/>
      <c r="K1464" s="30"/>
      <c r="L1464" s="29"/>
      <c r="M1464" s="29"/>
      <c r="N1464" s="29"/>
      <c r="O1464" s="29"/>
      <c r="P1464" s="29"/>
      <c r="Q1464" s="29"/>
      <c r="R1464" s="29"/>
      <c r="S1464" s="29"/>
      <c r="T1464" s="29"/>
      <c r="U1464" s="31"/>
      <c r="V1464" s="31"/>
      <c r="W1464" s="31"/>
      <c r="X1464" s="31"/>
      <c r="Y1464" s="31"/>
    </row>
    <row r="1465" spans="1:25" x14ac:dyDescent="0.2">
      <c r="A1465" s="29"/>
      <c r="B1465" s="29"/>
      <c r="C1465" s="29"/>
      <c r="D1465" s="29"/>
      <c r="E1465" s="29"/>
      <c r="F1465" s="30"/>
      <c r="G1465" s="30"/>
      <c r="H1465" s="30"/>
      <c r="I1465" s="30"/>
      <c r="J1465" s="30"/>
      <c r="K1465" s="30"/>
      <c r="L1465" s="29"/>
      <c r="M1465" s="29"/>
      <c r="N1465" s="29"/>
      <c r="O1465" s="29"/>
      <c r="P1465" s="29"/>
      <c r="Q1465" s="29"/>
      <c r="R1465" s="29"/>
      <c r="S1465" s="29"/>
      <c r="T1465" s="29"/>
      <c r="U1465" s="31"/>
      <c r="V1465" s="31"/>
      <c r="W1465" s="31"/>
      <c r="X1465" s="31"/>
      <c r="Y1465" s="31"/>
    </row>
    <row r="1466" spans="1:25" x14ac:dyDescent="0.2">
      <c r="A1466" s="29"/>
      <c r="B1466" s="29"/>
      <c r="C1466" s="29"/>
      <c r="D1466" s="29"/>
      <c r="E1466" s="29"/>
      <c r="F1466" s="30"/>
      <c r="G1466" s="30"/>
      <c r="H1466" s="30"/>
      <c r="I1466" s="30"/>
      <c r="J1466" s="30"/>
      <c r="K1466" s="30"/>
      <c r="L1466" s="29"/>
      <c r="M1466" s="29"/>
      <c r="N1466" s="29"/>
      <c r="O1466" s="29"/>
      <c r="P1466" s="29"/>
      <c r="Q1466" s="29"/>
      <c r="R1466" s="29"/>
      <c r="S1466" s="29"/>
      <c r="T1466" s="29"/>
      <c r="U1466" s="31"/>
      <c r="V1466" s="31"/>
      <c r="W1466" s="31"/>
      <c r="X1466" s="31"/>
      <c r="Y1466" s="31"/>
    </row>
    <row r="1467" spans="1:25" x14ac:dyDescent="0.2">
      <c r="A1467" s="29"/>
      <c r="B1467" s="29"/>
      <c r="C1467" s="29"/>
      <c r="D1467" s="29"/>
      <c r="E1467" s="29"/>
      <c r="F1467" s="30"/>
      <c r="G1467" s="30"/>
      <c r="H1467" s="30"/>
      <c r="I1467" s="30"/>
      <c r="J1467" s="30"/>
      <c r="K1467" s="30"/>
      <c r="L1467" s="29"/>
      <c r="M1467" s="29"/>
      <c r="N1467" s="29"/>
      <c r="O1467" s="29"/>
      <c r="P1467" s="29"/>
      <c r="Q1467" s="29"/>
      <c r="R1467" s="29"/>
      <c r="S1467" s="29"/>
      <c r="T1467" s="29"/>
      <c r="U1467" s="31"/>
      <c r="V1467" s="31"/>
      <c r="W1467" s="31"/>
      <c r="X1467" s="31"/>
      <c r="Y1467" s="31"/>
    </row>
    <row r="1468" spans="1:25" x14ac:dyDescent="0.2">
      <c r="A1468" s="29"/>
      <c r="B1468" s="29"/>
      <c r="C1468" s="29"/>
      <c r="D1468" s="29"/>
      <c r="E1468" s="29"/>
      <c r="F1468" s="30"/>
      <c r="G1468" s="30"/>
      <c r="H1468" s="30"/>
      <c r="I1468" s="30"/>
      <c r="J1468" s="30"/>
      <c r="K1468" s="30"/>
      <c r="L1468" s="29"/>
      <c r="M1468" s="29"/>
      <c r="N1468" s="29"/>
      <c r="O1468" s="29"/>
      <c r="P1468" s="29"/>
      <c r="Q1468" s="29"/>
      <c r="R1468" s="29"/>
      <c r="S1468" s="29"/>
      <c r="T1468" s="29"/>
      <c r="U1468" s="31"/>
      <c r="V1468" s="31"/>
      <c r="W1468" s="31"/>
      <c r="X1468" s="31"/>
      <c r="Y1468" s="31"/>
    </row>
    <row r="1469" spans="1:25" x14ac:dyDescent="0.2">
      <c r="A1469" s="29"/>
      <c r="B1469" s="29"/>
      <c r="C1469" s="29"/>
      <c r="D1469" s="29"/>
      <c r="E1469" s="29"/>
      <c r="F1469" s="30"/>
      <c r="G1469" s="30"/>
      <c r="H1469" s="30"/>
      <c r="I1469" s="30"/>
      <c r="J1469" s="30"/>
      <c r="K1469" s="30"/>
      <c r="L1469" s="29"/>
      <c r="M1469" s="29"/>
      <c r="N1469" s="29"/>
      <c r="O1469" s="29"/>
      <c r="P1469" s="29"/>
      <c r="Q1469" s="29"/>
      <c r="R1469" s="29"/>
      <c r="S1469" s="29"/>
      <c r="T1469" s="29"/>
      <c r="U1469" s="31"/>
      <c r="V1469" s="31"/>
      <c r="W1469" s="31"/>
      <c r="X1469" s="31"/>
      <c r="Y1469" s="31"/>
    </row>
    <row r="1470" spans="1:25" x14ac:dyDescent="0.2">
      <c r="A1470" s="29"/>
      <c r="B1470" s="29"/>
      <c r="C1470" s="29"/>
      <c r="D1470" s="29"/>
      <c r="E1470" s="29"/>
      <c r="F1470" s="30"/>
      <c r="G1470" s="30"/>
      <c r="H1470" s="30"/>
      <c r="I1470" s="30"/>
      <c r="J1470" s="30"/>
      <c r="K1470" s="30"/>
      <c r="L1470" s="29"/>
      <c r="M1470" s="29"/>
      <c r="N1470" s="29"/>
      <c r="O1470" s="29"/>
      <c r="P1470" s="29"/>
      <c r="Q1470" s="29"/>
      <c r="R1470" s="29"/>
      <c r="S1470" s="29"/>
      <c r="T1470" s="29"/>
      <c r="U1470" s="31"/>
      <c r="V1470" s="31"/>
      <c r="W1470" s="31"/>
      <c r="X1470" s="31"/>
      <c r="Y1470" s="31"/>
    </row>
    <row r="1471" spans="1:25" x14ac:dyDescent="0.2">
      <c r="A1471" s="29"/>
      <c r="B1471" s="29"/>
      <c r="C1471" s="29"/>
      <c r="D1471" s="29"/>
      <c r="E1471" s="29"/>
      <c r="F1471" s="30"/>
      <c r="G1471" s="30"/>
      <c r="H1471" s="30"/>
      <c r="I1471" s="30"/>
      <c r="J1471" s="30"/>
      <c r="K1471" s="30"/>
      <c r="L1471" s="29"/>
      <c r="M1471" s="29"/>
      <c r="N1471" s="29"/>
      <c r="O1471" s="29"/>
      <c r="P1471" s="29"/>
      <c r="Q1471" s="29"/>
      <c r="R1471" s="29"/>
      <c r="S1471" s="29"/>
      <c r="T1471" s="29"/>
      <c r="U1471" s="31"/>
      <c r="V1471" s="31"/>
      <c r="W1471" s="31"/>
      <c r="X1471" s="31"/>
      <c r="Y1471" s="31"/>
    </row>
    <row r="1472" spans="1:25" x14ac:dyDescent="0.2">
      <c r="A1472" s="29"/>
      <c r="B1472" s="29"/>
      <c r="C1472" s="29"/>
      <c r="D1472" s="29"/>
      <c r="E1472" s="29"/>
      <c r="F1472" s="30"/>
      <c r="G1472" s="30"/>
      <c r="H1472" s="30"/>
      <c r="I1472" s="30"/>
      <c r="J1472" s="30"/>
      <c r="K1472" s="30"/>
      <c r="L1472" s="29"/>
      <c r="M1472" s="29"/>
      <c r="N1472" s="29"/>
      <c r="O1472" s="29"/>
      <c r="P1472" s="29"/>
      <c r="Q1472" s="29"/>
      <c r="R1472" s="29"/>
      <c r="S1472" s="29"/>
      <c r="T1472" s="29"/>
      <c r="U1472" s="31"/>
      <c r="V1472" s="31"/>
      <c r="W1472" s="31"/>
      <c r="X1472" s="31"/>
      <c r="Y1472" s="31"/>
    </row>
    <row r="1473" spans="1:25" x14ac:dyDescent="0.2">
      <c r="A1473" s="29"/>
      <c r="B1473" s="29"/>
      <c r="C1473" s="29"/>
      <c r="D1473" s="29"/>
      <c r="E1473" s="29"/>
      <c r="F1473" s="30"/>
      <c r="G1473" s="30"/>
      <c r="H1473" s="30"/>
      <c r="I1473" s="30"/>
      <c r="J1473" s="30"/>
      <c r="K1473" s="30"/>
      <c r="L1473" s="29"/>
      <c r="M1473" s="29"/>
      <c r="N1473" s="29"/>
      <c r="O1473" s="29"/>
      <c r="P1473" s="29"/>
      <c r="Q1473" s="29"/>
      <c r="R1473" s="29"/>
      <c r="S1473" s="29"/>
      <c r="T1473" s="29"/>
      <c r="U1473" s="31"/>
      <c r="V1473" s="31"/>
      <c r="W1473" s="31"/>
      <c r="X1473" s="31"/>
      <c r="Y1473" s="31"/>
    </row>
    <row r="1474" spans="1:25" x14ac:dyDescent="0.2">
      <c r="A1474" s="29"/>
      <c r="B1474" s="29"/>
      <c r="C1474" s="29"/>
      <c r="D1474" s="29"/>
      <c r="E1474" s="29"/>
      <c r="F1474" s="30"/>
      <c r="G1474" s="30"/>
      <c r="H1474" s="30"/>
      <c r="I1474" s="30"/>
      <c r="J1474" s="30"/>
      <c r="K1474" s="30"/>
      <c r="L1474" s="29"/>
      <c r="M1474" s="29"/>
      <c r="N1474" s="29"/>
      <c r="O1474" s="29"/>
      <c r="P1474" s="29"/>
      <c r="Q1474" s="29"/>
      <c r="R1474" s="29"/>
      <c r="S1474" s="29"/>
      <c r="T1474" s="29"/>
      <c r="U1474" s="31"/>
      <c r="V1474" s="31"/>
      <c r="W1474" s="31"/>
      <c r="X1474" s="31"/>
      <c r="Y1474" s="31"/>
    </row>
    <row r="1475" spans="1:25" x14ac:dyDescent="0.2">
      <c r="A1475" s="29"/>
      <c r="B1475" s="29"/>
      <c r="C1475" s="29"/>
      <c r="D1475" s="29"/>
      <c r="E1475" s="29"/>
      <c r="F1475" s="30"/>
      <c r="G1475" s="30"/>
      <c r="H1475" s="30"/>
      <c r="I1475" s="30"/>
      <c r="J1475" s="30"/>
      <c r="K1475" s="30"/>
      <c r="L1475" s="29"/>
      <c r="M1475" s="29"/>
      <c r="N1475" s="29"/>
      <c r="O1475" s="29"/>
      <c r="P1475" s="29"/>
      <c r="Q1475" s="29"/>
      <c r="R1475" s="29"/>
      <c r="S1475" s="29"/>
      <c r="T1475" s="29"/>
      <c r="U1475" s="31"/>
      <c r="V1475" s="31"/>
      <c r="W1475" s="31"/>
      <c r="X1475" s="31"/>
      <c r="Y1475" s="31"/>
    </row>
    <row r="1476" spans="1:25" x14ac:dyDescent="0.2">
      <c r="A1476" s="29"/>
      <c r="B1476" s="29"/>
      <c r="C1476" s="29"/>
      <c r="D1476" s="29"/>
      <c r="E1476" s="29"/>
      <c r="F1476" s="30"/>
      <c r="G1476" s="30"/>
      <c r="H1476" s="30"/>
      <c r="I1476" s="30"/>
      <c r="J1476" s="30"/>
      <c r="K1476" s="30"/>
      <c r="L1476" s="29"/>
      <c r="M1476" s="29"/>
      <c r="N1476" s="29"/>
      <c r="O1476" s="29"/>
      <c r="P1476" s="29"/>
      <c r="Q1476" s="29"/>
      <c r="R1476" s="29"/>
      <c r="S1476" s="29"/>
      <c r="T1476" s="29"/>
      <c r="U1476" s="31"/>
      <c r="V1476" s="31"/>
      <c r="W1476" s="31"/>
      <c r="X1476" s="31"/>
      <c r="Y1476" s="31"/>
    </row>
    <row r="1477" spans="1:25" x14ac:dyDescent="0.2">
      <c r="A1477" s="29"/>
      <c r="B1477" s="29"/>
      <c r="C1477" s="29"/>
      <c r="D1477" s="29"/>
      <c r="E1477" s="29"/>
      <c r="F1477" s="30"/>
      <c r="G1477" s="30"/>
      <c r="H1477" s="30"/>
      <c r="I1477" s="30"/>
      <c r="J1477" s="30"/>
      <c r="K1477" s="30"/>
      <c r="L1477" s="29"/>
      <c r="M1477" s="29"/>
      <c r="N1477" s="29"/>
      <c r="O1477" s="29"/>
      <c r="P1477" s="29"/>
      <c r="Q1477" s="29"/>
      <c r="R1477" s="29"/>
      <c r="S1477" s="29"/>
      <c r="T1477" s="29"/>
      <c r="U1477" s="31"/>
      <c r="V1477" s="31"/>
      <c r="W1477" s="31"/>
      <c r="X1477" s="31"/>
      <c r="Y1477" s="31"/>
    </row>
    <row r="1478" spans="1:25" x14ac:dyDescent="0.2">
      <c r="A1478" s="29"/>
      <c r="B1478" s="29"/>
      <c r="C1478" s="29"/>
      <c r="D1478" s="29"/>
      <c r="E1478" s="29"/>
      <c r="F1478" s="30"/>
      <c r="G1478" s="30"/>
      <c r="H1478" s="30"/>
      <c r="I1478" s="30"/>
      <c r="J1478" s="30"/>
      <c r="K1478" s="30"/>
      <c r="L1478" s="29"/>
      <c r="M1478" s="29"/>
      <c r="N1478" s="29"/>
      <c r="O1478" s="29"/>
      <c r="P1478" s="29"/>
      <c r="Q1478" s="29"/>
      <c r="R1478" s="29"/>
      <c r="S1478" s="29"/>
      <c r="T1478" s="29"/>
      <c r="U1478" s="31"/>
      <c r="V1478" s="31"/>
      <c r="W1478" s="31"/>
      <c r="X1478" s="31"/>
      <c r="Y1478" s="31"/>
    </row>
    <row r="1479" spans="1:25" x14ac:dyDescent="0.2">
      <c r="A1479" s="29"/>
      <c r="B1479" s="29"/>
      <c r="C1479" s="29"/>
      <c r="D1479" s="29"/>
      <c r="E1479" s="29"/>
      <c r="F1479" s="30"/>
      <c r="G1479" s="30"/>
      <c r="H1479" s="30"/>
      <c r="I1479" s="30"/>
      <c r="J1479" s="30"/>
      <c r="K1479" s="30"/>
      <c r="L1479" s="29"/>
      <c r="M1479" s="29"/>
      <c r="N1479" s="29"/>
      <c r="O1479" s="29"/>
      <c r="P1479" s="29"/>
      <c r="Q1479" s="29"/>
      <c r="R1479" s="29"/>
      <c r="S1479" s="29"/>
      <c r="T1479" s="29"/>
      <c r="U1479" s="31"/>
      <c r="V1479" s="31"/>
      <c r="W1479" s="31"/>
      <c r="X1479" s="31"/>
      <c r="Y1479" s="31"/>
    </row>
    <row r="1480" spans="1:25" x14ac:dyDescent="0.2">
      <c r="A1480" s="29"/>
      <c r="B1480" s="29"/>
      <c r="C1480" s="29"/>
      <c r="D1480" s="29"/>
      <c r="E1480" s="29"/>
      <c r="F1480" s="30"/>
      <c r="G1480" s="30"/>
      <c r="H1480" s="30"/>
      <c r="I1480" s="30"/>
      <c r="J1480" s="30"/>
      <c r="K1480" s="30"/>
      <c r="L1480" s="29"/>
      <c r="M1480" s="29"/>
      <c r="N1480" s="29"/>
      <c r="O1480" s="29"/>
      <c r="P1480" s="29"/>
      <c r="Q1480" s="29"/>
      <c r="R1480" s="29"/>
      <c r="S1480" s="29"/>
      <c r="T1480" s="29"/>
      <c r="U1480" s="31"/>
      <c r="V1480" s="31"/>
      <c r="W1480" s="31"/>
      <c r="X1480" s="31"/>
      <c r="Y1480" s="31"/>
    </row>
    <row r="1481" spans="1:25" x14ac:dyDescent="0.2">
      <c r="A1481" s="29"/>
      <c r="B1481" s="29"/>
      <c r="C1481" s="29"/>
      <c r="D1481" s="29"/>
      <c r="E1481" s="29"/>
      <c r="F1481" s="30"/>
      <c r="G1481" s="30"/>
      <c r="H1481" s="30"/>
      <c r="I1481" s="30"/>
      <c r="J1481" s="30"/>
      <c r="K1481" s="30"/>
      <c r="L1481" s="29"/>
      <c r="M1481" s="29"/>
      <c r="N1481" s="29"/>
      <c r="O1481" s="29"/>
      <c r="P1481" s="29"/>
      <c r="Q1481" s="29"/>
      <c r="R1481" s="29"/>
      <c r="S1481" s="29"/>
      <c r="T1481" s="29"/>
      <c r="U1481" s="31"/>
      <c r="V1481" s="31"/>
      <c r="W1481" s="31"/>
      <c r="X1481" s="31"/>
      <c r="Y1481" s="31"/>
    </row>
    <row r="1482" spans="1:25" x14ac:dyDescent="0.2">
      <c r="A1482" s="29"/>
      <c r="B1482" s="29"/>
      <c r="C1482" s="29"/>
      <c r="D1482" s="29"/>
      <c r="E1482" s="29"/>
      <c r="F1482" s="30"/>
      <c r="G1482" s="30"/>
      <c r="H1482" s="30"/>
      <c r="I1482" s="30"/>
      <c r="J1482" s="30"/>
      <c r="K1482" s="30"/>
      <c r="L1482" s="29"/>
      <c r="M1482" s="29"/>
      <c r="N1482" s="29"/>
      <c r="O1482" s="29"/>
      <c r="P1482" s="29"/>
      <c r="Q1482" s="29"/>
      <c r="R1482" s="29"/>
      <c r="S1482" s="29"/>
      <c r="T1482" s="29"/>
      <c r="U1482" s="31"/>
      <c r="V1482" s="31"/>
      <c r="W1482" s="31"/>
      <c r="X1482" s="31"/>
      <c r="Y1482" s="31"/>
    </row>
    <row r="1483" spans="1:25" x14ac:dyDescent="0.2">
      <c r="A1483" s="29"/>
      <c r="B1483" s="29"/>
      <c r="C1483" s="29"/>
      <c r="D1483" s="29"/>
      <c r="E1483" s="29"/>
      <c r="F1483" s="30"/>
      <c r="G1483" s="30"/>
      <c r="H1483" s="30"/>
      <c r="I1483" s="30"/>
      <c r="J1483" s="30"/>
      <c r="K1483" s="30"/>
      <c r="L1483" s="29"/>
      <c r="M1483" s="29"/>
      <c r="N1483" s="29"/>
      <c r="O1483" s="29"/>
      <c r="P1483" s="29"/>
      <c r="Q1483" s="29"/>
      <c r="R1483" s="29"/>
      <c r="S1483" s="29"/>
      <c r="T1483" s="29"/>
      <c r="U1483" s="31"/>
      <c r="V1483" s="31"/>
      <c r="W1483" s="31"/>
      <c r="X1483" s="31"/>
      <c r="Y1483" s="31"/>
    </row>
    <row r="1484" spans="1:25" x14ac:dyDescent="0.2">
      <c r="A1484" s="29"/>
      <c r="B1484" s="29"/>
      <c r="C1484" s="29"/>
      <c r="D1484" s="29"/>
      <c r="E1484" s="29"/>
      <c r="F1484" s="30"/>
      <c r="G1484" s="30"/>
      <c r="H1484" s="30"/>
      <c r="I1484" s="30"/>
      <c r="J1484" s="30"/>
      <c r="K1484" s="30"/>
      <c r="L1484" s="29"/>
      <c r="M1484" s="29"/>
      <c r="N1484" s="29"/>
      <c r="O1484" s="29"/>
      <c r="P1484" s="29"/>
      <c r="Q1484" s="29"/>
      <c r="R1484" s="29"/>
      <c r="S1484" s="29"/>
      <c r="T1484" s="29"/>
      <c r="U1484" s="31"/>
      <c r="V1484" s="31"/>
      <c r="W1484" s="31"/>
      <c r="X1484" s="31"/>
      <c r="Y1484" s="31"/>
    </row>
    <row r="1485" spans="1:25" x14ac:dyDescent="0.2">
      <c r="A1485" s="29"/>
      <c r="B1485" s="29"/>
      <c r="C1485" s="29"/>
      <c r="D1485" s="29"/>
      <c r="E1485" s="29"/>
      <c r="F1485" s="30"/>
      <c r="G1485" s="30"/>
      <c r="H1485" s="30"/>
      <c r="I1485" s="30"/>
      <c r="J1485" s="30"/>
      <c r="K1485" s="30"/>
      <c r="L1485" s="29"/>
      <c r="M1485" s="29"/>
      <c r="N1485" s="29"/>
      <c r="O1485" s="29"/>
      <c r="P1485" s="29"/>
      <c r="Q1485" s="29"/>
      <c r="R1485" s="29"/>
      <c r="S1485" s="29"/>
      <c r="T1485" s="29"/>
      <c r="U1485" s="31"/>
      <c r="V1485" s="31"/>
      <c r="W1485" s="31"/>
      <c r="X1485" s="31"/>
      <c r="Y1485" s="31"/>
    </row>
    <row r="1486" spans="1:25" x14ac:dyDescent="0.2">
      <c r="A1486" s="29"/>
      <c r="B1486" s="29"/>
      <c r="C1486" s="29"/>
      <c r="D1486" s="29"/>
      <c r="E1486" s="29"/>
      <c r="F1486" s="30"/>
      <c r="G1486" s="30"/>
      <c r="H1486" s="30"/>
      <c r="I1486" s="30"/>
      <c r="J1486" s="30"/>
      <c r="K1486" s="30"/>
      <c r="L1486" s="29"/>
      <c r="M1486" s="29"/>
      <c r="N1486" s="29"/>
      <c r="O1486" s="29"/>
      <c r="P1486" s="29"/>
      <c r="Q1486" s="29"/>
      <c r="R1486" s="29"/>
      <c r="S1486" s="29"/>
      <c r="T1486" s="29"/>
      <c r="U1486" s="31"/>
      <c r="V1486" s="31"/>
      <c r="W1486" s="31"/>
      <c r="X1486" s="31"/>
      <c r="Y1486" s="31"/>
    </row>
    <row r="1487" spans="1:25" x14ac:dyDescent="0.2">
      <c r="A1487" s="29"/>
      <c r="B1487" s="29"/>
      <c r="C1487" s="29"/>
      <c r="D1487" s="29"/>
      <c r="E1487" s="29"/>
      <c r="F1487" s="30"/>
      <c r="G1487" s="30"/>
      <c r="H1487" s="30"/>
      <c r="I1487" s="30"/>
      <c r="J1487" s="30"/>
      <c r="K1487" s="30"/>
      <c r="L1487" s="29"/>
      <c r="M1487" s="29"/>
      <c r="N1487" s="29"/>
      <c r="O1487" s="29"/>
      <c r="P1487" s="29"/>
      <c r="Q1487" s="29"/>
      <c r="R1487" s="29"/>
      <c r="S1487" s="29"/>
      <c r="T1487" s="29"/>
      <c r="U1487" s="31"/>
      <c r="V1487" s="31"/>
      <c r="W1487" s="31"/>
      <c r="X1487" s="31"/>
      <c r="Y1487" s="31"/>
    </row>
    <row r="1488" spans="1:25" x14ac:dyDescent="0.2">
      <c r="A1488" s="29"/>
      <c r="B1488" s="29"/>
      <c r="C1488" s="29"/>
      <c r="D1488" s="29"/>
      <c r="E1488" s="29"/>
      <c r="F1488" s="30"/>
      <c r="G1488" s="30"/>
      <c r="H1488" s="30"/>
      <c r="I1488" s="30"/>
      <c r="J1488" s="30"/>
      <c r="K1488" s="30"/>
      <c r="L1488" s="29"/>
      <c r="M1488" s="29"/>
      <c r="N1488" s="29"/>
      <c r="O1488" s="29"/>
      <c r="P1488" s="29"/>
      <c r="Q1488" s="29"/>
      <c r="R1488" s="29"/>
      <c r="S1488" s="29"/>
      <c r="T1488" s="29"/>
      <c r="U1488" s="31"/>
      <c r="V1488" s="31"/>
      <c r="W1488" s="31"/>
      <c r="X1488" s="31"/>
      <c r="Y1488" s="31"/>
    </row>
    <row r="1489" spans="1:25" x14ac:dyDescent="0.2">
      <c r="A1489" s="29"/>
      <c r="B1489" s="29"/>
      <c r="C1489" s="29"/>
      <c r="D1489" s="29"/>
      <c r="E1489" s="29"/>
      <c r="F1489" s="30"/>
      <c r="G1489" s="30"/>
      <c r="H1489" s="30"/>
      <c r="I1489" s="30"/>
      <c r="J1489" s="30"/>
      <c r="K1489" s="30"/>
      <c r="L1489" s="29"/>
      <c r="M1489" s="29"/>
      <c r="N1489" s="29"/>
      <c r="O1489" s="29"/>
      <c r="P1489" s="29"/>
      <c r="Q1489" s="29"/>
      <c r="R1489" s="29"/>
      <c r="S1489" s="29"/>
      <c r="T1489" s="29"/>
      <c r="U1489" s="31"/>
      <c r="V1489" s="31"/>
      <c r="W1489" s="31"/>
      <c r="X1489" s="31"/>
      <c r="Y1489" s="31"/>
    </row>
    <row r="1490" spans="1:25" x14ac:dyDescent="0.2">
      <c r="A1490" s="29"/>
      <c r="B1490" s="29"/>
      <c r="C1490" s="29"/>
      <c r="D1490" s="29"/>
      <c r="E1490" s="29"/>
      <c r="F1490" s="30"/>
      <c r="G1490" s="30"/>
      <c r="H1490" s="30"/>
      <c r="I1490" s="30"/>
      <c r="J1490" s="30"/>
      <c r="K1490" s="30"/>
      <c r="L1490" s="29"/>
      <c r="M1490" s="29"/>
      <c r="N1490" s="29"/>
      <c r="O1490" s="29"/>
      <c r="P1490" s="29"/>
      <c r="Q1490" s="29"/>
      <c r="R1490" s="29"/>
      <c r="S1490" s="29"/>
      <c r="T1490" s="29"/>
      <c r="U1490" s="31"/>
      <c r="V1490" s="31"/>
      <c r="W1490" s="31"/>
      <c r="X1490" s="31"/>
      <c r="Y1490" s="31"/>
    </row>
    <row r="1491" spans="1:25" x14ac:dyDescent="0.2">
      <c r="A1491" s="29"/>
      <c r="B1491" s="29"/>
      <c r="C1491" s="29"/>
      <c r="D1491" s="29"/>
      <c r="E1491" s="29"/>
      <c r="F1491" s="30"/>
      <c r="G1491" s="30"/>
      <c r="H1491" s="30"/>
      <c r="I1491" s="30"/>
      <c r="J1491" s="30"/>
      <c r="K1491" s="30"/>
      <c r="L1491" s="29"/>
      <c r="M1491" s="29"/>
      <c r="N1491" s="29"/>
      <c r="O1491" s="29"/>
      <c r="P1491" s="29"/>
      <c r="Q1491" s="29"/>
      <c r="R1491" s="29"/>
      <c r="S1491" s="29"/>
      <c r="T1491" s="29"/>
      <c r="U1491" s="31"/>
      <c r="V1491" s="31"/>
      <c r="W1491" s="31"/>
      <c r="X1491" s="31"/>
      <c r="Y1491" s="31"/>
    </row>
    <row r="1492" spans="1:25" x14ac:dyDescent="0.2">
      <c r="A1492" s="29"/>
      <c r="B1492" s="29"/>
      <c r="C1492" s="29"/>
      <c r="D1492" s="29"/>
      <c r="E1492" s="29"/>
      <c r="F1492" s="30"/>
      <c r="G1492" s="30"/>
      <c r="H1492" s="30"/>
      <c r="I1492" s="30"/>
      <c r="J1492" s="30"/>
      <c r="K1492" s="30"/>
      <c r="L1492" s="29"/>
      <c r="M1492" s="29"/>
      <c r="N1492" s="29"/>
      <c r="O1492" s="29"/>
      <c r="P1492" s="29"/>
      <c r="Q1492" s="29"/>
      <c r="R1492" s="29"/>
      <c r="S1492" s="29"/>
      <c r="T1492" s="29"/>
      <c r="U1492" s="31"/>
      <c r="V1492" s="31"/>
      <c r="W1492" s="31"/>
      <c r="X1492" s="31"/>
      <c r="Y1492" s="31"/>
    </row>
    <row r="1493" spans="1:25" x14ac:dyDescent="0.2">
      <c r="A1493" s="29"/>
      <c r="B1493" s="29"/>
      <c r="C1493" s="29"/>
      <c r="D1493" s="29"/>
      <c r="E1493" s="29"/>
      <c r="F1493" s="30"/>
      <c r="G1493" s="30"/>
      <c r="H1493" s="30"/>
      <c r="I1493" s="30"/>
      <c r="J1493" s="30"/>
      <c r="K1493" s="30"/>
      <c r="L1493" s="29"/>
      <c r="M1493" s="29"/>
      <c r="N1493" s="29"/>
      <c r="O1493" s="29"/>
      <c r="P1493" s="29"/>
      <c r="Q1493" s="29"/>
      <c r="R1493" s="29"/>
      <c r="S1493" s="29"/>
      <c r="T1493" s="29"/>
      <c r="U1493" s="31"/>
      <c r="V1493" s="31"/>
      <c r="W1493" s="31"/>
      <c r="X1493" s="31"/>
      <c r="Y1493" s="31"/>
    </row>
    <row r="1494" spans="1:25" x14ac:dyDescent="0.2">
      <c r="A1494" s="29"/>
      <c r="B1494" s="29"/>
      <c r="C1494" s="29"/>
      <c r="D1494" s="29"/>
      <c r="E1494" s="29"/>
      <c r="F1494" s="30"/>
      <c r="G1494" s="30"/>
      <c r="H1494" s="30"/>
      <c r="I1494" s="30"/>
      <c r="J1494" s="30"/>
      <c r="K1494" s="30"/>
      <c r="L1494" s="29"/>
      <c r="M1494" s="29"/>
      <c r="N1494" s="29"/>
      <c r="O1494" s="29"/>
      <c r="P1494" s="29"/>
      <c r="Q1494" s="29"/>
      <c r="R1494" s="29"/>
      <c r="S1494" s="29"/>
      <c r="T1494" s="29"/>
      <c r="U1494" s="31"/>
      <c r="V1494" s="31"/>
      <c r="W1494" s="31"/>
      <c r="X1494" s="31"/>
      <c r="Y1494" s="31"/>
    </row>
    <row r="1495" spans="1:25" x14ac:dyDescent="0.2">
      <c r="A1495" s="29"/>
      <c r="B1495" s="29"/>
      <c r="C1495" s="29"/>
      <c r="D1495" s="29"/>
      <c r="E1495" s="29"/>
      <c r="F1495" s="30"/>
      <c r="G1495" s="30"/>
      <c r="H1495" s="30"/>
      <c r="I1495" s="30"/>
      <c r="J1495" s="30"/>
      <c r="K1495" s="30"/>
      <c r="L1495" s="29"/>
      <c r="M1495" s="29"/>
      <c r="N1495" s="29"/>
      <c r="O1495" s="29"/>
      <c r="P1495" s="29"/>
      <c r="Q1495" s="29"/>
      <c r="R1495" s="29"/>
      <c r="S1495" s="29"/>
      <c r="T1495" s="29"/>
      <c r="U1495" s="31"/>
      <c r="V1495" s="31"/>
      <c r="W1495" s="31"/>
      <c r="X1495" s="31"/>
      <c r="Y1495" s="31"/>
    </row>
    <row r="1496" spans="1:25" x14ac:dyDescent="0.2">
      <c r="A1496" s="29"/>
      <c r="B1496" s="29"/>
      <c r="C1496" s="29"/>
      <c r="D1496" s="29"/>
      <c r="E1496" s="29"/>
      <c r="F1496" s="30"/>
      <c r="G1496" s="30"/>
      <c r="H1496" s="30"/>
      <c r="I1496" s="30"/>
      <c r="J1496" s="30"/>
      <c r="K1496" s="30"/>
      <c r="L1496" s="29"/>
      <c r="M1496" s="29"/>
      <c r="N1496" s="29"/>
      <c r="O1496" s="29"/>
      <c r="P1496" s="29"/>
      <c r="Q1496" s="29"/>
      <c r="R1496" s="29"/>
      <c r="S1496" s="29"/>
      <c r="T1496" s="29"/>
      <c r="U1496" s="31"/>
      <c r="V1496" s="31"/>
      <c r="W1496" s="31"/>
      <c r="X1496" s="31"/>
      <c r="Y1496" s="31"/>
    </row>
    <row r="1497" spans="1:25" x14ac:dyDescent="0.2">
      <c r="A1497" s="29"/>
      <c r="B1497" s="29"/>
      <c r="C1497" s="29"/>
      <c r="D1497" s="29"/>
      <c r="E1497" s="29"/>
      <c r="F1497" s="30"/>
      <c r="G1497" s="30"/>
      <c r="H1497" s="30"/>
      <c r="I1497" s="30"/>
      <c r="J1497" s="30"/>
      <c r="K1497" s="30"/>
      <c r="L1497" s="29"/>
      <c r="M1497" s="29"/>
      <c r="N1497" s="29"/>
      <c r="O1497" s="29"/>
      <c r="P1497" s="29"/>
      <c r="Q1497" s="29"/>
      <c r="R1497" s="29"/>
      <c r="S1497" s="29"/>
      <c r="T1497" s="29"/>
      <c r="U1497" s="31"/>
      <c r="V1497" s="31"/>
      <c r="W1497" s="31"/>
      <c r="X1497" s="31"/>
      <c r="Y1497" s="31"/>
    </row>
    <row r="1498" spans="1:25" x14ac:dyDescent="0.2">
      <c r="A1498" s="29"/>
      <c r="B1498" s="29"/>
      <c r="C1498" s="29"/>
      <c r="D1498" s="29"/>
      <c r="E1498" s="29"/>
      <c r="F1498" s="30"/>
      <c r="G1498" s="30"/>
      <c r="H1498" s="30"/>
      <c r="I1498" s="30"/>
      <c r="J1498" s="30"/>
      <c r="K1498" s="30"/>
      <c r="L1498" s="29"/>
      <c r="M1498" s="29"/>
      <c r="N1498" s="29"/>
      <c r="O1498" s="29"/>
      <c r="P1498" s="29"/>
      <c r="Q1498" s="29"/>
      <c r="R1498" s="29"/>
      <c r="S1498" s="29"/>
      <c r="T1498" s="29"/>
      <c r="U1498" s="31"/>
      <c r="V1498" s="31"/>
      <c r="W1498" s="31"/>
      <c r="X1498" s="31"/>
      <c r="Y1498" s="31"/>
    </row>
    <row r="1499" spans="1:25" x14ac:dyDescent="0.2">
      <c r="A1499" s="29"/>
      <c r="B1499" s="29"/>
      <c r="C1499" s="29"/>
      <c r="D1499" s="29"/>
      <c r="E1499" s="29"/>
      <c r="F1499" s="30"/>
      <c r="G1499" s="30"/>
      <c r="H1499" s="30"/>
      <c r="I1499" s="30"/>
      <c r="J1499" s="30"/>
      <c r="K1499" s="30"/>
      <c r="L1499" s="29"/>
      <c r="M1499" s="29"/>
      <c r="N1499" s="29"/>
      <c r="O1499" s="29"/>
      <c r="P1499" s="29"/>
      <c r="Q1499" s="29"/>
      <c r="R1499" s="29"/>
      <c r="S1499" s="29"/>
      <c r="T1499" s="29"/>
      <c r="U1499" s="31"/>
      <c r="V1499" s="31"/>
      <c r="W1499" s="31"/>
      <c r="X1499" s="31"/>
      <c r="Y1499" s="31"/>
    </row>
    <row r="1500" spans="1:25" x14ac:dyDescent="0.2">
      <c r="A1500" s="29"/>
      <c r="B1500" s="29"/>
      <c r="C1500" s="29"/>
      <c r="D1500" s="29"/>
      <c r="E1500" s="29"/>
      <c r="F1500" s="30"/>
      <c r="G1500" s="30"/>
      <c r="H1500" s="30"/>
      <c r="I1500" s="30"/>
      <c r="J1500" s="30"/>
      <c r="K1500" s="30"/>
      <c r="L1500" s="29"/>
      <c r="M1500" s="29"/>
      <c r="N1500" s="29"/>
      <c r="O1500" s="29"/>
      <c r="P1500" s="29"/>
      <c r="Q1500" s="29"/>
      <c r="R1500" s="29"/>
      <c r="S1500" s="29"/>
      <c r="T1500" s="29"/>
      <c r="U1500" s="31"/>
      <c r="V1500" s="31"/>
      <c r="W1500" s="31"/>
      <c r="X1500" s="31"/>
      <c r="Y1500" s="31"/>
    </row>
    <row r="1501" spans="1:25" x14ac:dyDescent="0.2">
      <c r="A1501" s="29"/>
      <c r="B1501" s="29"/>
      <c r="C1501" s="29"/>
      <c r="D1501" s="29"/>
      <c r="E1501" s="29"/>
      <c r="F1501" s="30"/>
      <c r="G1501" s="30"/>
      <c r="H1501" s="30"/>
      <c r="I1501" s="30"/>
      <c r="J1501" s="30"/>
      <c r="K1501" s="30"/>
      <c r="L1501" s="29"/>
      <c r="M1501" s="29"/>
      <c r="N1501" s="29"/>
      <c r="O1501" s="29"/>
      <c r="P1501" s="29"/>
      <c r="Q1501" s="29"/>
      <c r="R1501" s="29"/>
      <c r="S1501" s="29"/>
      <c r="T1501" s="29"/>
      <c r="U1501" s="31"/>
      <c r="V1501" s="31"/>
      <c r="W1501" s="31"/>
      <c r="X1501" s="31"/>
      <c r="Y1501" s="31"/>
    </row>
    <row r="1502" spans="1:25" x14ac:dyDescent="0.2">
      <c r="A1502" s="29"/>
      <c r="B1502" s="29"/>
      <c r="C1502" s="29"/>
      <c r="D1502" s="29"/>
      <c r="E1502" s="29"/>
      <c r="F1502" s="30"/>
      <c r="G1502" s="30"/>
      <c r="H1502" s="30"/>
      <c r="I1502" s="30"/>
      <c r="J1502" s="30"/>
      <c r="K1502" s="30"/>
      <c r="L1502" s="29"/>
      <c r="M1502" s="29"/>
      <c r="N1502" s="29"/>
      <c r="O1502" s="29"/>
      <c r="P1502" s="29"/>
      <c r="Q1502" s="29"/>
      <c r="R1502" s="29"/>
      <c r="S1502" s="29"/>
      <c r="T1502" s="29"/>
      <c r="U1502" s="31"/>
      <c r="V1502" s="31"/>
      <c r="W1502" s="31"/>
      <c r="X1502" s="31"/>
      <c r="Y1502" s="31"/>
    </row>
    <row r="1503" spans="1:25" x14ac:dyDescent="0.2">
      <c r="A1503" s="29"/>
      <c r="B1503" s="29"/>
      <c r="C1503" s="29"/>
      <c r="D1503" s="29"/>
      <c r="E1503" s="29"/>
      <c r="F1503" s="30"/>
      <c r="G1503" s="30"/>
      <c r="H1503" s="30"/>
      <c r="I1503" s="30"/>
      <c r="J1503" s="30"/>
      <c r="K1503" s="30"/>
      <c r="L1503" s="29"/>
      <c r="M1503" s="29"/>
      <c r="N1503" s="29"/>
      <c r="O1503" s="29"/>
      <c r="P1503" s="29"/>
      <c r="Q1503" s="29"/>
      <c r="R1503" s="29"/>
      <c r="S1503" s="29"/>
      <c r="T1503" s="29"/>
      <c r="U1503" s="31"/>
      <c r="V1503" s="31"/>
      <c r="W1503" s="31"/>
      <c r="X1503" s="31"/>
      <c r="Y1503" s="31"/>
    </row>
    <row r="1504" spans="1:25" x14ac:dyDescent="0.2">
      <c r="A1504" s="29"/>
      <c r="B1504" s="29"/>
      <c r="C1504" s="29"/>
      <c r="D1504" s="29"/>
      <c r="E1504" s="29"/>
      <c r="F1504" s="30"/>
      <c r="G1504" s="30"/>
      <c r="H1504" s="30"/>
      <c r="I1504" s="30"/>
      <c r="J1504" s="30"/>
      <c r="K1504" s="30"/>
      <c r="L1504" s="29"/>
      <c r="M1504" s="29"/>
      <c r="N1504" s="29"/>
      <c r="O1504" s="29"/>
      <c r="P1504" s="29"/>
      <c r="Q1504" s="29"/>
      <c r="R1504" s="29"/>
      <c r="S1504" s="29"/>
      <c r="T1504" s="29"/>
      <c r="U1504" s="31"/>
      <c r="V1504" s="31"/>
      <c r="W1504" s="31"/>
      <c r="X1504" s="31"/>
      <c r="Y1504" s="31"/>
    </row>
    <row r="1505" spans="1:25" x14ac:dyDescent="0.2">
      <c r="A1505" s="29"/>
      <c r="B1505" s="29"/>
      <c r="C1505" s="29"/>
      <c r="D1505" s="29"/>
      <c r="E1505" s="29"/>
      <c r="F1505" s="30"/>
      <c r="G1505" s="30"/>
      <c r="H1505" s="30"/>
      <c r="I1505" s="30"/>
      <c r="J1505" s="30"/>
      <c r="K1505" s="30"/>
      <c r="L1505" s="29"/>
      <c r="M1505" s="29"/>
      <c r="N1505" s="29"/>
      <c r="O1505" s="29"/>
      <c r="P1505" s="29"/>
      <c r="Q1505" s="29"/>
      <c r="R1505" s="29"/>
      <c r="S1505" s="29"/>
      <c r="T1505" s="29"/>
      <c r="U1505" s="31"/>
      <c r="V1505" s="31"/>
      <c r="W1505" s="31"/>
      <c r="X1505" s="31"/>
      <c r="Y1505" s="31"/>
    </row>
    <row r="1506" spans="1:25" x14ac:dyDescent="0.2">
      <c r="A1506" s="29"/>
      <c r="B1506" s="29"/>
      <c r="C1506" s="29"/>
      <c r="D1506" s="29"/>
      <c r="E1506" s="29"/>
      <c r="F1506" s="30"/>
      <c r="G1506" s="30"/>
      <c r="H1506" s="30"/>
      <c r="I1506" s="30"/>
      <c r="J1506" s="30"/>
      <c r="K1506" s="30"/>
      <c r="L1506" s="29"/>
      <c r="M1506" s="29"/>
      <c r="N1506" s="29"/>
      <c r="O1506" s="29"/>
      <c r="P1506" s="29"/>
      <c r="Q1506" s="29"/>
      <c r="R1506" s="29"/>
      <c r="S1506" s="29"/>
      <c r="T1506" s="29"/>
      <c r="U1506" s="31"/>
      <c r="V1506" s="31"/>
      <c r="W1506" s="31"/>
      <c r="X1506" s="31"/>
      <c r="Y1506" s="31"/>
    </row>
    <row r="1507" spans="1:25" x14ac:dyDescent="0.2">
      <c r="A1507" s="29"/>
      <c r="B1507" s="29"/>
      <c r="C1507" s="29"/>
      <c r="D1507" s="29"/>
      <c r="E1507" s="29"/>
      <c r="F1507" s="30"/>
      <c r="G1507" s="30"/>
      <c r="H1507" s="30"/>
      <c r="I1507" s="30"/>
      <c r="J1507" s="30"/>
      <c r="K1507" s="30"/>
      <c r="L1507" s="29"/>
      <c r="M1507" s="29"/>
      <c r="N1507" s="29"/>
      <c r="O1507" s="29"/>
      <c r="P1507" s="29"/>
      <c r="Q1507" s="29"/>
      <c r="R1507" s="29"/>
      <c r="S1507" s="29"/>
      <c r="T1507" s="29"/>
      <c r="U1507" s="31"/>
      <c r="V1507" s="31"/>
      <c r="W1507" s="31"/>
      <c r="X1507" s="31"/>
      <c r="Y1507" s="31"/>
    </row>
    <row r="1508" spans="1:25" x14ac:dyDescent="0.2">
      <c r="A1508" s="29"/>
      <c r="B1508" s="29"/>
      <c r="C1508" s="29"/>
      <c r="D1508" s="29"/>
      <c r="E1508" s="29"/>
      <c r="F1508" s="30"/>
      <c r="G1508" s="30"/>
      <c r="H1508" s="30"/>
      <c r="I1508" s="30"/>
      <c r="J1508" s="30"/>
      <c r="K1508" s="30"/>
      <c r="L1508" s="29"/>
      <c r="M1508" s="29"/>
      <c r="N1508" s="29"/>
      <c r="O1508" s="29"/>
      <c r="P1508" s="29"/>
      <c r="Q1508" s="29"/>
      <c r="R1508" s="29"/>
      <c r="S1508" s="29"/>
      <c r="T1508" s="29"/>
      <c r="U1508" s="31"/>
      <c r="V1508" s="31"/>
      <c r="W1508" s="31"/>
      <c r="X1508" s="31"/>
      <c r="Y1508" s="31"/>
    </row>
    <row r="1509" spans="1:25" x14ac:dyDescent="0.2">
      <c r="A1509" s="29"/>
      <c r="B1509" s="29"/>
      <c r="C1509" s="29"/>
      <c r="D1509" s="29"/>
      <c r="E1509" s="29"/>
      <c r="F1509" s="30"/>
      <c r="G1509" s="30"/>
      <c r="H1509" s="30"/>
      <c r="I1509" s="30"/>
      <c r="J1509" s="30"/>
      <c r="K1509" s="30"/>
      <c r="L1509" s="29"/>
      <c r="M1509" s="29"/>
      <c r="N1509" s="29"/>
      <c r="O1509" s="29"/>
      <c r="P1509" s="29"/>
      <c r="Q1509" s="29"/>
      <c r="R1509" s="29"/>
      <c r="S1509" s="29"/>
      <c r="T1509" s="29"/>
      <c r="U1509" s="31"/>
      <c r="V1509" s="31"/>
      <c r="W1509" s="31"/>
      <c r="X1509" s="31"/>
      <c r="Y1509" s="31"/>
    </row>
    <row r="1510" spans="1:25" x14ac:dyDescent="0.2">
      <c r="A1510" s="29"/>
      <c r="B1510" s="29"/>
      <c r="C1510" s="29"/>
      <c r="D1510" s="29"/>
      <c r="E1510" s="29"/>
      <c r="F1510" s="30"/>
      <c r="G1510" s="30"/>
      <c r="H1510" s="30"/>
      <c r="I1510" s="30"/>
      <c r="J1510" s="30"/>
      <c r="K1510" s="30"/>
      <c r="L1510" s="29"/>
      <c r="M1510" s="29"/>
      <c r="N1510" s="29"/>
      <c r="O1510" s="29"/>
      <c r="P1510" s="29"/>
      <c r="Q1510" s="29"/>
      <c r="R1510" s="29"/>
      <c r="S1510" s="29"/>
      <c r="T1510" s="29"/>
      <c r="U1510" s="31"/>
      <c r="V1510" s="31"/>
      <c r="W1510" s="31"/>
      <c r="X1510" s="31"/>
      <c r="Y1510" s="31"/>
    </row>
    <row r="1511" spans="1:25" x14ac:dyDescent="0.2">
      <c r="A1511" s="29"/>
      <c r="B1511" s="29"/>
      <c r="C1511" s="29"/>
      <c r="D1511" s="29"/>
      <c r="E1511" s="29"/>
      <c r="F1511" s="30"/>
      <c r="G1511" s="30"/>
      <c r="H1511" s="30"/>
      <c r="I1511" s="30"/>
      <c r="J1511" s="30"/>
      <c r="K1511" s="30"/>
      <c r="L1511" s="29"/>
      <c r="M1511" s="29"/>
      <c r="N1511" s="29"/>
      <c r="O1511" s="29"/>
      <c r="P1511" s="29"/>
      <c r="Q1511" s="29"/>
      <c r="R1511" s="29"/>
      <c r="S1511" s="29"/>
      <c r="T1511" s="29"/>
      <c r="U1511" s="31"/>
      <c r="V1511" s="31"/>
      <c r="W1511" s="31"/>
      <c r="X1511" s="31"/>
      <c r="Y1511" s="31"/>
    </row>
    <row r="1512" spans="1:25" x14ac:dyDescent="0.2">
      <c r="A1512" s="29"/>
      <c r="B1512" s="29"/>
      <c r="C1512" s="29"/>
      <c r="D1512" s="29"/>
      <c r="E1512" s="29"/>
      <c r="F1512" s="30"/>
      <c r="G1512" s="30"/>
      <c r="H1512" s="30"/>
      <c r="I1512" s="30"/>
      <c r="J1512" s="30"/>
      <c r="K1512" s="30"/>
      <c r="L1512" s="29"/>
      <c r="M1512" s="29"/>
      <c r="N1512" s="29"/>
      <c r="O1512" s="29"/>
      <c r="P1512" s="29"/>
      <c r="Q1512" s="29"/>
      <c r="R1512" s="29"/>
      <c r="S1512" s="29"/>
      <c r="T1512" s="29"/>
      <c r="U1512" s="31"/>
      <c r="V1512" s="31"/>
      <c r="W1512" s="31"/>
      <c r="X1512" s="31"/>
      <c r="Y1512" s="31"/>
    </row>
    <row r="1513" spans="1:25" x14ac:dyDescent="0.2">
      <c r="A1513" s="29"/>
      <c r="B1513" s="29"/>
      <c r="C1513" s="29"/>
      <c r="D1513" s="29"/>
      <c r="E1513" s="29"/>
      <c r="F1513" s="30"/>
      <c r="G1513" s="30"/>
      <c r="H1513" s="30"/>
      <c r="I1513" s="30"/>
      <c r="J1513" s="30"/>
      <c r="K1513" s="30"/>
      <c r="L1513" s="29"/>
      <c r="M1513" s="29"/>
      <c r="N1513" s="29"/>
      <c r="O1513" s="29"/>
      <c r="P1513" s="29"/>
      <c r="Q1513" s="29"/>
      <c r="R1513" s="29"/>
      <c r="S1513" s="29"/>
      <c r="T1513" s="29"/>
      <c r="U1513" s="31"/>
      <c r="V1513" s="31"/>
      <c r="W1513" s="31"/>
      <c r="X1513" s="31"/>
      <c r="Y1513" s="31"/>
    </row>
    <row r="1514" spans="1:25" x14ac:dyDescent="0.2">
      <c r="A1514" s="29"/>
      <c r="B1514" s="29"/>
      <c r="C1514" s="29"/>
      <c r="D1514" s="29"/>
      <c r="E1514" s="29"/>
      <c r="F1514" s="30"/>
      <c r="G1514" s="30"/>
      <c r="H1514" s="30"/>
      <c r="I1514" s="30"/>
      <c r="J1514" s="30"/>
      <c r="K1514" s="30"/>
      <c r="L1514" s="29"/>
      <c r="M1514" s="29"/>
      <c r="N1514" s="29"/>
      <c r="O1514" s="29"/>
      <c r="P1514" s="29"/>
      <c r="Q1514" s="29"/>
      <c r="R1514" s="29"/>
      <c r="S1514" s="29"/>
      <c r="T1514" s="29"/>
      <c r="U1514" s="31"/>
      <c r="V1514" s="31"/>
      <c r="W1514" s="31"/>
      <c r="X1514" s="31"/>
      <c r="Y1514" s="31"/>
    </row>
    <row r="1515" spans="1:25" x14ac:dyDescent="0.2">
      <c r="A1515" s="29"/>
      <c r="B1515" s="29"/>
      <c r="C1515" s="29"/>
      <c r="D1515" s="29"/>
      <c r="E1515" s="29"/>
      <c r="F1515" s="30"/>
      <c r="G1515" s="30"/>
      <c r="H1515" s="30"/>
      <c r="I1515" s="30"/>
      <c r="J1515" s="30"/>
      <c r="K1515" s="30"/>
      <c r="L1515" s="29"/>
      <c r="M1515" s="29"/>
      <c r="N1515" s="29"/>
      <c r="O1515" s="29"/>
      <c r="P1515" s="29"/>
      <c r="Q1515" s="29"/>
      <c r="R1515" s="29"/>
      <c r="S1515" s="29"/>
      <c r="T1515" s="29"/>
      <c r="U1515" s="31"/>
      <c r="V1515" s="31"/>
      <c r="W1515" s="31"/>
      <c r="X1515" s="31"/>
      <c r="Y1515" s="31"/>
    </row>
    <row r="1516" spans="1:25" x14ac:dyDescent="0.2">
      <c r="A1516" s="29"/>
      <c r="B1516" s="29"/>
      <c r="C1516" s="29"/>
      <c r="D1516" s="29"/>
      <c r="E1516" s="29"/>
      <c r="F1516" s="30"/>
      <c r="G1516" s="30"/>
      <c r="H1516" s="30"/>
      <c r="I1516" s="30"/>
      <c r="J1516" s="30"/>
      <c r="K1516" s="30"/>
      <c r="L1516" s="29"/>
      <c r="M1516" s="29"/>
      <c r="N1516" s="29"/>
      <c r="O1516" s="29"/>
      <c r="P1516" s="29"/>
      <c r="Q1516" s="29"/>
      <c r="R1516" s="29"/>
      <c r="S1516" s="29"/>
      <c r="T1516" s="29"/>
      <c r="U1516" s="31"/>
      <c r="V1516" s="31"/>
      <c r="W1516" s="31"/>
      <c r="X1516" s="31"/>
      <c r="Y1516" s="31"/>
    </row>
    <row r="1517" spans="1:25" x14ac:dyDescent="0.2">
      <c r="A1517" s="29"/>
      <c r="B1517" s="29"/>
      <c r="C1517" s="29"/>
      <c r="D1517" s="29"/>
      <c r="E1517" s="29"/>
      <c r="F1517" s="30"/>
      <c r="G1517" s="30"/>
      <c r="H1517" s="30"/>
      <c r="I1517" s="30"/>
      <c r="J1517" s="30"/>
      <c r="K1517" s="30"/>
      <c r="L1517" s="29"/>
      <c r="M1517" s="29"/>
      <c r="N1517" s="29"/>
      <c r="O1517" s="29"/>
      <c r="P1517" s="29"/>
      <c r="Q1517" s="29"/>
      <c r="R1517" s="29"/>
      <c r="S1517" s="29"/>
      <c r="T1517" s="29"/>
      <c r="U1517" s="31"/>
      <c r="V1517" s="31"/>
      <c r="W1517" s="31"/>
      <c r="X1517" s="31"/>
      <c r="Y1517" s="31"/>
    </row>
    <row r="1518" spans="1:25" x14ac:dyDescent="0.2">
      <c r="A1518" s="29"/>
      <c r="B1518" s="29"/>
      <c r="C1518" s="29"/>
      <c r="D1518" s="29"/>
      <c r="E1518" s="29"/>
      <c r="F1518" s="30"/>
      <c r="G1518" s="30"/>
      <c r="H1518" s="30"/>
      <c r="I1518" s="30"/>
      <c r="J1518" s="30"/>
      <c r="K1518" s="30"/>
      <c r="L1518" s="29"/>
      <c r="M1518" s="29"/>
      <c r="N1518" s="29"/>
      <c r="O1518" s="29"/>
      <c r="P1518" s="29"/>
      <c r="Q1518" s="29"/>
      <c r="R1518" s="29"/>
      <c r="S1518" s="29"/>
      <c r="T1518" s="29"/>
      <c r="U1518" s="31"/>
      <c r="V1518" s="31"/>
      <c r="W1518" s="31"/>
      <c r="X1518" s="31"/>
      <c r="Y1518" s="31"/>
    </row>
    <row r="1519" spans="1:25" x14ac:dyDescent="0.2">
      <c r="A1519" s="29"/>
      <c r="B1519" s="29"/>
      <c r="C1519" s="29"/>
      <c r="D1519" s="29"/>
      <c r="E1519" s="29"/>
      <c r="F1519" s="30"/>
      <c r="G1519" s="30"/>
      <c r="H1519" s="30"/>
      <c r="I1519" s="30"/>
      <c r="J1519" s="30"/>
      <c r="K1519" s="30"/>
      <c r="L1519" s="29"/>
      <c r="M1519" s="29"/>
      <c r="N1519" s="29"/>
      <c r="O1519" s="29"/>
      <c r="P1519" s="29"/>
      <c r="Q1519" s="29"/>
      <c r="R1519" s="29"/>
      <c r="S1519" s="29"/>
      <c r="T1519" s="29"/>
      <c r="U1519" s="31"/>
      <c r="V1519" s="31"/>
      <c r="W1519" s="31"/>
      <c r="X1519" s="31"/>
      <c r="Y1519" s="31"/>
    </row>
    <row r="1520" spans="1:25" x14ac:dyDescent="0.2">
      <c r="A1520" s="29"/>
      <c r="B1520" s="29"/>
      <c r="C1520" s="29"/>
      <c r="D1520" s="29"/>
      <c r="E1520" s="29"/>
      <c r="F1520" s="30"/>
      <c r="G1520" s="30"/>
      <c r="H1520" s="30"/>
      <c r="I1520" s="30"/>
      <c r="J1520" s="30"/>
      <c r="K1520" s="30"/>
      <c r="L1520" s="29"/>
      <c r="M1520" s="29"/>
      <c r="N1520" s="29"/>
      <c r="O1520" s="29"/>
      <c r="P1520" s="29"/>
      <c r="Q1520" s="29"/>
      <c r="R1520" s="29"/>
      <c r="S1520" s="29"/>
      <c r="T1520" s="29"/>
      <c r="U1520" s="31"/>
      <c r="V1520" s="31"/>
      <c r="W1520" s="31"/>
      <c r="X1520" s="31"/>
      <c r="Y1520" s="31"/>
    </row>
    <row r="1521" spans="1:25" x14ac:dyDescent="0.2">
      <c r="A1521" s="29"/>
      <c r="B1521" s="29"/>
      <c r="C1521" s="29"/>
      <c r="D1521" s="29"/>
      <c r="E1521" s="29"/>
      <c r="F1521" s="30"/>
      <c r="G1521" s="30"/>
      <c r="H1521" s="30"/>
      <c r="I1521" s="30"/>
      <c r="J1521" s="30"/>
      <c r="K1521" s="30"/>
      <c r="L1521" s="29"/>
      <c r="M1521" s="29"/>
      <c r="N1521" s="29"/>
      <c r="O1521" s="29"/>
      <c r="P1521" s="29"/>
      <c r="Q1521" s="29"/>
      <c r="R1521" s="29"/>
      <c r="S1521" s="29"/>
      <c r="T1521" s="29"/>
      <c r="U1521" s="31"/>
      <c r="V1521" s="31"/>
      <c r="W1521" s="31"/>
      <c r="X1521" s="31"/>
      <c r="Y1521" s="31"/>
    </row>
    <row r="1522" spans="1:25" x14ac:dyDescent="0.2">
      <c r="A1522" s="29"/>
      <c r="B1522" s="29"/>
      <c r="C1522" s="29"/>
      <c r="D1522" s="29"/>
      <c r="E1522" s="29"/>
      <c r="F1522" s="30"/>
      <c r="G1522" s="30"/>
      <c r="H1522" s="30"/>
      <c r="I1522" s="30"/>
      <c r="J1522" s="30"/>
      <c r="K1522" s="30"/>
      <c r="L1522" s="29"/>
      <c r="M1522" s="29"/>
      <c r="N1522" s="29"/>
      <c r="O1522" s="29"/>
      <c r="P1522" s="29"/>
      <c r="Q1522" s="29"/>
      <c r="R1522" s="29"/>
      <c r="S1522" s="29"/>
      <c r="T1522" s="29"/>
      <c r="U1522" s="31"/>
      <c r="V1522" s="31"/>
      <c r="W1522" s="31"/>
      <c r="X1522" s="31"/>
      <c r="Y1522" s="31"/>
    </row>
    <row r="1523" spans="1:25" x14ac:dyDescent="0.2">
      <c r="A1523" s="29"/>
      <c r="B1523" s="29"/>
      <c r="C1523" s="29"/>
      <c r="D1523" s="29"/>
      <c r="E1523" s="29"/>
      <c r="F1523" s="30"/>
      <c r="G1523" s="30"/>
      <c r="H1523" s="30"/>
      <c r="I1523" s="30"/>
      <c r="J1523" s="30"/>
      <c r="K1523" s="30"/>
      <c r="L1523" s="29"/>
      <c r="M1523" s="29"/>
      <c r="N1523" s="29"/>
      <c r="O1523" s="29"/>
      <c r="P1523" s="29"/>
      <c r="Q1523" s="29"/>
      <c r="R1523" s="29"/>
      <c r="S1523" s="29"/>
      <c r="T1523" s="29"/>
      <c r="U1523" s="31"/>
      <c r="V1523" s="31"/>
      <c r="W1523" s="31"/>
      <c r="X1523" s="31"/>
      <c r="Y1523" s="31"/>
    </row>
    <row r="1524" spans="1:25" x14ac:dyDescent="0.2">
      <c r="A1524" s="29"/>
      <c r="B1524" s="29"/>
      <c r="C1524" s="29"/>
      <c r="D1524" s="29"/>
      <c r="E1524" s="29"/>
      <c r="F1524" s="30"/>
      <c r="G1524" s="30"/>
      <c r="H1524" s="30"/>
      <c r="I1524" s="30"/>
      <c r="J1524" s="30"/>
      <c r="K1524" s="30"/>
      <c r="L1524" s="29"/>
      <c r="M1524" s="29"/>
      <c r="N1524" s="29"/>
      <c r="O1524" s="29"/>
      <c r="P1524" s="29"/>
      <c r="Q1524" s="29"/>
      <c r="R1524" s="29"/>
      <c r="S1524" s="29"/>
      <c r="T1524" s="29"/>
      <c r="U1524" s="31"/>
      <c r="V1524" s="31"/>
      <c r="W1524" s="31"/>
      <c r="X1524" s="31"/>
      <c r="Y1524" s="31"/>
    </row>
    <row r="1525" spans="1:25" x14ac:dyDescent="0.2">
      <c r="A1525" s="29"/>
      <c r="B1525" s="29"/>
      <c r="C1525" s="29"/>
      <c r="D1525" s="29"/>
      <c r="E1525" s="29"/>
      <c r="F1525" s="30"/>
      <c r="G1525" s="30"/>
      <c r="H1525" s="30"/>
      <c r="I1525" s="30"/>
      <c r="J1525" s="30"/>
      <c r="K1525" s="30"/>
      <c r="L1525" s="29"/>
      <c r="M1525" s="29"/>
      <c r="N1525" s="29"/>
      <c r="O1525" s="29"/>
      <c r="P1525" s="29"/>
      <c r="Q1525" s="29"/>
      <c r="R1525" s="29"/>
      <c r="S1525" s="29"/>
      <c r="T1525" s="29"/>
      <c r="U1525" s="31"/>
      <c r="V1525" s="31"/>
      <c r="W1525" s="31"/>
      <c r="X1525" s="31"/>
      <c r="Y1525" s="31"/>
    </row>
    <row r="1526" spans="1:25" x14ac:dyDescent="0.2">
      <c r="A1526" s="29"/>
      <c r="B1526" s="29"/>
      <c r="C1526" s="29"/>
      <c r="D1526" s="29"/>
      <c r="E1526" s="29"/>
      <c r="F1526" s="30"/>
      <c r="G1526" s="30"/>
      <c r="H1526" s="30"/>
      <c r="I1526" s="30"/>
      <c r="J1526" s="30"/>
      <c r="K1526" s="30"/>
      <c r="L1526" s="29"/>
      <c r="M1526" s="29"/>
      <c r="N1526" s="29"/>
      <c r="O1526" s="29"/>
      <c r="P1526" s="29"/>
      <c r="Q1526" s="29"/>
      <c r="R1526" s="29"/>
      <c r="S1526" s="29"/>
      <c r="T1526" s="29"/>
      <c r="U1526" s="31"/>
      <c r="V1526" s="31"/>
      <c r="W1526" s="31"/>
      <c r="X1526" s="31"/>
      <c r="Y1526" s="31"/>
    </row>
    <row r="1527" spans="1:25" x14ac:dyDescent="0.2">
      <c r="A1527" s="29"/>
      <c r="B1527" s="29"/>
      <c r="C1527" s="29"/>
      <c r="D1527" s="29"/>
      <c r="E1527" s="29"/>
      <c r="F1527" s="30"/>
      <c r="G1527" s="30"/>
      <c r="H1527" s="30"/>
      <c r="I1527" s="30"/>
      <c r="J1527" s="30"/>
      <c r="K1527" s="30"/>
      <c r="L1527" s="29"/>
      <c r="M1527" s="29"/>
      <c r="N1527" s="29"/>
      <c r="O1527" s="29"/>
      <c r="P1527" s="29"/>
      <c r="Q1527" s="29"/>
      <c r="R1527" s="29"/>
      <c r="S1527" s="29"/>
      <c r="T1527" s="29"/>
      <c r="U1527" s="31"/>
      <c r="V1527" s="31"/>
      <c r="W1527" s="31"/>
      <c r="X1527" s="31"/>
      <c r="Y1527" s="31"/>
    </row>
    <row r="1528" spans="1:25" x14ac:dyDescent="0.2">
      <c r="A1528" s="29"/>
      <c r="B1528" s="29"/>
      <c r="C1528" s="29"/>
      <c r="D1528" s="29"/>
      <c r="E1528" s="29"/>
      <c r="F1528" s="30"/>
      <c r="G1528" s="30"/>
      <c r="H1528" s="30"/>
      <c r="I1528" s="30"/>
      <c r="J1528" s="30"/>
      <c r="K1528" s="30"/>
      <c r="L1528" s="29"/>
      <c r="M1528" s="29"/>
      <c r="N1528" s="29"/>
      <c r="O1528" s="29"/>
      <c r="P1528" s="29"/>
      <c r="Q1528" s="29"/>
      <c r="R1528" s="29"/>
      <c r="S1528" s="29"/>
      <c r="T1528" s="29"/>
      <c r="U1528" s="31"/>
      <c r="V1528" s="31"/>
      <c r="W1528" s="31"/>
      <c r="X1528" s="31"/>
      <c r="Y1528" s="31"/>
    </row>
    <row r="1529" spans="1:25" x14ac:dyDescent="0.2">
      <c r="A1529" s="29"/>
      <c r="B1529" s="29"/>
      <c r="C1529" s="29"/>
      <c r="D1529" s="29"/>
      <c r="E1529" s="29"/>
      <c r="F1529" s="30"/>
      <c r="G1529" s="30"/>
      <c r="H1529" s="30"/>
      <c r="I1529" s="30"/>
      <c r="J1529" s="30"/>
      <c r="K1529" s="30"/>
      <c r="L1529" s="29"/>
      <c r="M1529" s="29"/>
      <c r="N1529" s="29"/>
      <c r="O1529" s="29"/>
      <c r="P1529" s="29"/>
      <c r="Q1529" s="29"/>
      <c r="R1529" s="29"/>
      <c r="S1529" s="29"/>
      <c r="T1529" s="29"/>
      <c r="U1529" s="31"/>
      <c r="V1529" s="31"/>
      <c r="W1529" s="31"/>
      <c r="X1529" s="31"/>
      <c r="Y1529" s="31"/>
    </row>
    <row r="1530" spans="1:25" x14ac:dyDescent="0.2">
      <c r="A1530" s="29"/>
      <c r="B1530" s="29"/>
      <c r="C1530" s="29"/>
      <c r="D1530" s="29"/>
      <c r="E1530" s="29"/>
      <c r="F1530" s="30"/>
      <c r="G1530" s="30"/>
      <c r="H1530" s="30"/>
      <c r="I1530" s="30"/>
      <c r="J1530" s="30"/>
      <c r="K1530" s="30"/>
      <c r="L1530" s="29"/>
      <c r="M1530" s="29"/>
      <c r="N1530" s="29"/>
      <c r="O1530" s="29"/>
      <c r="P1530" s="29"/>
      <c r="Q1530" s="29"/>
      <c r="R1530" s="29"/>
      <c r="S1530" s="29"/>
      <c r="T1530" s="29"/>
      <c r="U1530" s="31"/>
      <c r="V1530" s="31"/>
      <c r="W1530" s="31"/>
      <c r="X1530" s="31"/>
      <c r="Y1530" s="31"/>
    </row>
    <row r="1531" spans="1:25" x14ac:dyDescent="0.2">
      <c r="A1531" s="29"/>
      <c r="B1531" s="29"/>
      <c r="C1531" s="29"/>
      <c r="D1531" s="29"/>
      <c r="E1531" s="29"/>
      <c r="F1531" s="30"/>
      <c r="G1531" s="30"/>
      <c r="H1531" s="30"/>
      <c r="I1531" s="30"/>
      <c r="J1531" s="30"/>
      <c r="K1531" s="30"/>
      <c r="L1531" s="29"/>
      <c r="M1531" s="29"/>
      <c r="N1531" s="29"/>
      <c r="O1531" s="29"/>
      <c r="P1531" s="29"/>
      <c r="Q1531" s="29"/>
      <c r="R1531" s="29"/>
      <c r="S1531" s="29"/>
      <c r="T1531" s="29"/>
      <c r="U1531" s="31"/>
      <c r="V1531" s="31"/>
      <c r="W1531" s="31"/>
      <c r="X1531" s="31"/>
      <c r="Y1531" s="31"/>
    </row>
    <row r="1532" spans="1:25" x14ac:dyDescent="0.2">
      <c r="A1532" s="29"/>
      <c r="B1532" s="29"/>
      <c r="C1532" s="29"/>
      <c r="D1532" s="29"/>
      <c r="E1532" s="29"/>
      <c r="F1532" s="30"/>
      <c r="G1532" s="30"/>
      <c r="H1532" s="30"/>
      <c r="I1532" s="30"/>
      <c r="J1532" s="30"/>
      <c r="K1532" s="30"/>
      <c r="L1532" s="29"/>
      <c r="M1532" s="29"/>
      <c r="N1532" s="29"/>
      <c r="O1532" s="29"/>
      <c r="P1532" s="29"/>
      <c r="Q1532" s="29"/>
      <c r="R1532" s="29"/>
      <c r="S1532" s="29"/>
      <c r="T1532" s="29"/>
      <c r="U1532" s="31"/>
      <c r="V1532" s="31"/>
      <c r="W1532" s="31"/>
      <c r="X1532" s="31"/>
      <c r="Y1532" s="31"/>
    </row>
    <row r="1533" spans="1:25" x14ac:dyDescent="0.2">
      <c r="A1533" s="29"/>
      <c r="B1533" s="29"/>
      <c r="C1533" s="29"/>
      <c r="D1533" s="29"/>
      <c r="E1533" s="29"/>
      <c r="F1533" s="30"/>
      <c r="G1533" s="30"/>
      <c r="H1533" s="30"/>
      <c r="I1533" s="30"/>
      <c r="J1533" s="30"/>
      <c r="K1533" s="30"/>
      <c r="L1533" s="29"/>
      <c r="M1533" s="29"/>
      <c r="N1533" s="29"/>
      <c r="O1533" s="29"/>
      <c r="P1533" s="29"/>
      <c r="Q1533" s="29"/>
      <c r="R1533" s="29"/>
      <c r="S1533" s="29"/>
      <c r="T1533" s="29"/>
      <c r="U1533" s="31"/>
      <c r="V1533" s="31"/>
      <c r="W1533" s="31"/>
      <c r="X1533" s="31"/>
      <c r="Y1533" s="31"/>
    </row>
    <row r="1534" spans="1:25" x14ac:dyDescent="0.2">
      <c r="A1534" s="29"/>
      <c r="B1534" s="29"/>
      <c r="C1534" s="29"/>
      <c r="D1534" s="29"/>
      <c r="E1534" s="29"/>
      <c r="F1534" s="30"/>
      <c r="G1534" s="30"/>
      <c r="H1534" s="30"/>
      <c r="I1534" s="30"/>
      <c r="J1534" s="30"/>
      <c r="K1534" s="30"/>
      <c r="L1534" s="29"/>
      <c r="M1534" s="29"/>
      <c r="N1534" s="29"/>
      <c r="O1534" s="29"/>
      <c r="P1534" s="29"/>
      <c r="Q1534" s="29"/>
      <c r="R1534" s="29"/>
      <c r="S1534" s="29"/>
      <c r="T1534" s="29"/>
      <c r="U1534" s="31"/>
      <c r="V1534" s="31"/>
      <c r="W1534" s="31"/>
      <c r="X1534" s="31"/>
      <c r="Y1534" s="31"/>
    </row>
    <row r="1535" spans="1:25" x14ac:dyDescent="0.2">
      <c r="A1535" s="29"/>
      <c r="B1535" s="29"/>
      <c r="C1535" s="29"/>
      <c r="D1535" s="29"/>
      <c r="E1535" s="29"/>
      <c r="F1535" s="30"/>
      <c r="G1535" s="30"/>
      <c r="H1535" s="30"/>
      <c r="I1535" s="30"/>
      <c r="J1535" s="30"/>
      <c r="K1535" s="30"/>
      <c r="L1535" s="29"/>
      <c r="M1535" s="29"/>
      <c r="N1535" s="29"/>
      <c r="O1535" s="29"/>
      <c r="P1535" s="29"/>
      <c r="Q1535" s="29"/>
      <c r="R1535" s="29"/>
      <c r="S1535" s="29"/>
      <c r="T1535" s="29"/>
      <c r="U1535" s="31"/>
      <c r="V1535" s="31"/>
      <c r="W1535" s="31"/>
      <c r="X1535" s="31"/>
      <c r="Y1535" s="31"/>
    </row>
    <row r="1536" spans="1:25" x14ac:dyDescent="0.2">
      <c r="A1536" s="29"/>
      <c r="B1536" s="29"/>
      <c r="C1536" s="29"/>
      <c r="D1536" s="29"/>
      <c r="E1536" s="29"/>
      <c r="F1536" s="30"/>
      <c r="G1536" s="30"/>
      <c r="H1536" s="30"/>
      <c r="I1536" s="30"/>
      <c r="J1536" s="30"/>
      <c r="K1536" s="30"/>
      <c r="L1536" s="29"/>
      <c r="M1536" s="29"/>
      <c r="N1536" s="29"/>
      <c r="O1536" s="29"/>
      <c r="P1536" s="29"/>
      <c r="Q1536" s="29"/>
      <c r="R1536" s="29"/>
      <c r="S1536" s="29"/>
      <c r="T1536" s="29"/>
      <c r="U1536" s="31"/>
      <c r="V1536" s="31"/>
      <c r="W1536" s="31"/>
      <c r="X1536" s="31"/>
      <c r="Y1536" s="31"/>
    </row>
    <row r="1537" spans="1:25" x14ac:dyDescent="0.2">
      <c r="A1537" s="29"/>
      <c r="B1537" s="29"/>
      <c r="C1537" s="29"/>
      <c r="D1537" s="29"/>
      <c r="E1537" s="29"/>
      <c r="F1537" s="30"/>
      <c r="G1537" s="30"/>
      <c r="H1537" s="30"/>
      <c r="I1537" s="30"/>
      <c r="J1537" s="30"/>
      <c r="K1537" s="30"/>
      <c r="L1537" s="29"/>
      <c r="M1537" s="29"/>
      <c r="N1537" s="29"/>
      <c r="O1537" s="29"/>
      <c r="P1537" s="29"/>
      <c r="Q1537" s="29"/>
      <c r="R1537" s="29"/>
      <c r="S1537" s="29"/>
      <c r="T1537" s="29"/>
      <c r="U1537" s="31"/>
      <c r="V1537" s="31"/>
      <c r="W1537" s="31"/>
      <c r="X1537" s="31"/>
      <c r="Y1537" s="31"/>
    </row>
    <row r="1538" spans="1:25" x14ac:dyDescent="0.2">
      <c r="A1538" s="29"/>
      <c r="B1538" s="29"/>
      <c r="C1538" s="29"/>
      <c r="D1538" s="29"/>
      <c r="E1538" s="29"/>
      <c r="F1538" s="30"/>
      <c r="G1538" s="30"/>
      <c r="H1538" s="30"/>
      <c r="I1538" s="30"/>
      <c r="J1538" s="30"/>
      <c r="K1538" s="30"/>
      <c r="L1538" s="29"/>
      <c r="M1538" s="29"/>
      <c r="N1538" s="29"/>
      <c r="O1538" s="29"/>
      <c r="P1538" s="29"/>
      <c r="Q1538" s="29"/>
      <c r="R1538" s="29"/>
      <c r="S1538" s="29"/>
      <c r="T1538" s="29"/>
      <c r="U1538" s="31"/>
      <c r="V1538" s="31"/>
      <c r="W1538" s="31"/>
      <c r="X1538" s="31"/>
      <c r="Y1538" s="31"/>
    </row>
    <row r="1539" spans="1:25" x14ac:dyDescent="0.2">
      <c r="A1539" s="29"/>
      <c r="B1539" s="29"/>
      <c r="C1539" s="29"/>
      <c r="D1539" s="29"/>
      <c r="E1539" s="29"/>
      <c r="F1539" s="30"/>
      <c r="G1539" s="30"/>
      <c r="H1539" s="30"/>
      <c r="I1539" s="30"/>
      <c r="J1539" s="30"/>
      <c r="K1539" s="30"/>
      <c r="L1539" s="29"/>
      <c r="M1539" s="29"/>
      <c r="N1539" s="29"/>
      <c r="O1539" s="29"/>
      <c r="P1539" s="29"/>
      <c r="Q1539" s="29"/>
      <c r="R1539" s="29"/>
      <c r="S1539" s="29"/>
      <c r="T1539" s="29"/>
      <c r="U1539" s="31"/>
      <c r="V1539" s="31"/>
      <c r="W1539" s="31"/>
      <c r="X1539" s="31"/>
      <c r="Y1539" s="31"/>
    </row>
    <row r="1540" spans="1:25" x14ac:dyDescent="0.2">
      <c r="A1540" s="29"/>
      <c r="B1540" s="29"/>
      <c r="C1540" s="29"/>
      <c r="D1540" s="29"/>
      <c r="E1540" s="29"/>
      <c r="F1540" s="30"/>
      <c r="G1540" s="30"/>
      <c r="H1540" s="30"/>
      <c r="I1540" s="30"/>
      <c r="J1540" s="30"/>
      <c r="K1540" s="30"/>
      <c r="L1540" s="29"/>
      <c r="M1540" s="29"/>
      <c r="N1540" s="29"/>
      <c r="O1540" s="29"/>
      <c r="P1540" s="29"/>
      <c r="Q1540" s="29"/>
      <c r="R1540" s="29"/>
      <c r="S1540" s="29"/>
      <c r="T1540" s="29"/>
      <c r="U1540" s="31"/>
      <c r="V1540" s="31"/>
      <c r="W1540" s="31"/>
      <c r="X1540" s="31"/>
      <c r="Y1540" s="31"/>
    </row>
    <row r="1541" spans="1:25" x14ac:dyDescent="0.2">
      <c r="A1541" s="29"/>
      <c r="B1541" s="29"/>
      <c r="C1541" s="29"/>
      <c r="D1541" s="29"/>
      <c r="E1541" s="29"/>
      <c r="F1541" s="30"/>
      <c r="G1541" s="30"/>
      <c r="H1541" s="30"/>
      <c r="I1541" s="30"/>
      <c r="J1541" s="30"/>
      <c r="K1541" s="30"/>
      <c r="L1541" s="29"/>
      <c r="M1541" s="29"/>
      <c r="N1541" s="29"/>
      <c r="O1541" s="29"/>
      <c r="P1541" s="29"/>
      <c r="Q1541" s="29"/>
      <c r="R1541" s="29"/>
      <c r="S1541" s="29"/>
      <c r="T1541" s="29"/>
      <c r="U1541" s="31"/>
      <c r="V1541" s="31"/>
      <c r="W1541" s="31"/>
      <c r="X1541" s="31"/>
      <c r="Y1541" s="31"/>
    </row>
    <row r="1542" spans="1:25" x14ac:dyDescent="0.2">
      <c r="A1542" s="29"/>
      <c r="B1542" s="29"/>
      <c r="C1542" s="29"/>
      <c r="D1542" s="29"/>
      <c r="E1542" s="29"/>
      <c r="F1542" s="30"/>
      <c r="G1542" s="30"/>
      <c r="H1542" s="30"/>
      <c r="I1542" s="30"/>
      <c r="J1542" s="30"/>
      <c r="K1542" s="30"/>
      <c r="L1542" s="29"/>
      <c r="M1542" s="29"/>
      <c r="N1542" s="29"/>
      <c r="O1542" s="29"/>
      <c r="P1542" s="29"/>
      <c r="Q1542" s="29"/>
      <c r="R1542" s="29"/>
      <c r="S1542" s="29"/>
      <c r="T1542" s="29"/>
      <c r="U1542" s="31"/>
      <c r="V1542" s="31"/>
      <c r="W1542" s="31"/>
      <c r="X1542" s="31"/>
      <c r="Y1542" s="31"/>
    </row>
    <row r="1543" spans="1:25" x14ac:dyDescent="0.2">
      <c r="A1543" s="29"/>
      <c r="B1543" s="29"/>
      <c r="C1543" s="29"/>
      <c r="D1543" s="29"/>
      <c r="E1543" s="29"/>
      <c r="F1543" s="30"/>
      <c r="G1543" s="30"/>
      <c r="H1543" s="30"/>
      <c r="I1543" s="30"/>
      <c r="J1543" s="30"/>
      <c r="K1543" s="30"/>
      <c r="L1543" s="29"/>
      <c r="M1543" s="29"/>
      <c r="N1543" s="29"/>
      <c r="O1543" s="29"/>
      <c r="P1543" s="29"/>
      <c r="Q1543" s="29"/>
      <c r="R1543" s="29"/>
      <c r="S1543" s="29"/>
      <c r="T1543" s="29"/>
      <c r="U1543" s="31"/>
      <c r="V1543" s="31"/>
      <c r="W1543" s="31"/>
      <c r="X1543" s="31"/>
      <c r="Y1543" s="31"/>
    </row>
    <row r="1544" spans="1:25" x14ac:dyDescent="0.2">
      <c r="A1544" s="29"/>
      <c r="B1544" s="29"/>
      <c r="C1544" s="29"/>
      <c r="D1544" s="29"/>
      <c r="E1544" s="29"/>
      <c r="F1544" s="30"/>
      <c r="G1544" s="30"/>
      <c r="H1544" s="30"/>
      <c r="I1544" s="30"/>
      <c r="J1544" s="30"/>
      <c r="K1544" s="30"/>
      <c r="L1544" s="29"/>
      <c r="M1544" s="29"/>
      <c r="N1544" s="29"/>
      <c r="O1544" s="29"/>
      <c r="P1544" s="29"/>
      <c r="Q1544" s="29"/>
      <c r="R1544" s="29"/>
      <c r="S1544" s="29"/>
      <c r="T1544" s="29"/>
      <c r="U1544" s="31"/>
      <c r="V1544" s="31"/>
      <c r="W1544" s="31"/>
      <c r="X1544" s="31"/>
      <c r="Y1544" s="31"/>
    </row>
    <row r="1545" spans="1:25" x14ac:dyDescent="0.2">
      <c r="A1545" s="29"/>
      <c r="B1545" s="29"/>
      <c r="C1545" s="29"/>
      <c r="D1545" s="29"/>
      <c r="E1545" s="29"/>
      <c r="F1545" s="30"/>
      <c r="G1545" s="30"/>
      <c r="H1545" s="30"/>
      <c r="I1545" s="30"/>
      <c r="J1545" s="30"/>
      <c r="K1545" s="30"/>
      <c r="L1545" s="29"/>
      <c r="M1545" s="29"/>
      <c r="N1545" s="29"/>
      <c r="O1545" s="29"/>
      <c r="P1545" s="29"/>
      <c r="Q1545" s="29"/>
      <c r="R1545" s="29"/>
      <c r="S1545" s="29"/>
      <c r="T1545" s="29"/>
      <c r="U1545" s="31"/>
      <c r="V1545" s="31"/>
      <c r="W1545" s="31"/>
      <c r="X1545" s="31"/>
      <c r="Y1545" s="31"/>
    </row>
    <row r="1546" spans="1:25" x14ac:dyDescent="0.2">
      <c r="A1546" s="29"/>
      <c r="B1546" s="29"/>
      <c r="C1546" s="29"/>
      <c r="D1546" s="29"/>
      <c r="E1546" s="29"/>
      <c r="F1546" s="30"/>
      <c r="G1546" s="30"/>
      <c r="H1546" s="30"/>
      <c r="I1546" s="30"/>
      <c r="J1546" s="30"/>
      <c r="K1546" s="30"/>
      <c r="L1546" s="29"/>
      <c r="M1546" s="29"/>
      <c r="N1546" s="29"/>
      <c r="O1546" s="29"/>
      <c r="P1546" s="29"/>
      <c r="Q1546" s="29"/>
      <c r="R1546" s="29"/>
      <c r="S1546" s="29"/>
      <c r="T1546" s="29"/>
      <c r="U1546" s="31"/>
      <c r="V1546" s="31"/>
      <c r="W1546" s="31"/>
      <c r="X1546" s="31"/>
      <c r="Y1546" s="31"/>
    </row>
    <row r="1547" spans="1:25" x14ac:dyDescent="0.2">
      <c r="A1547" s="29"/>
      <c r="B1547" s="29"/>
      <c r="C1547" s="29"/>
      <c r="D1547" s="29"/>
      <c r="E1547" s="29"/>
      <c r="F1547" s="30"/>
      <c r="G1547" s="30"/>
      <c r="H1547" s="30"/>
      <c r="I1547" s="30"/>
      <c r="J1547" s="30"/>
      <c r="K1547" s="30"/>
      <c r="L1547" s="29"/>
      <c r="M1547" s="29"/>
      <c r="N1547" s="29"/>
      <c r="O1547" s="29"/>
      <c r="P1547" s="29"/>
      <c r="Q1547" s="29"/>
      <c r="R1547" s="29"/>
      <c r="S1547" s="29"/>
      <c r="T1547" s="29"/>
      <c r="U1547" s="31"/>
      <c r="V1547" s="31"/>
      <c r="W1547" s="31"/>
      <c r="X1547" s="31"/>
      <c r="Y1547" s="31"/>
    </row>
    <row r="1548" spans="1:25" x14ac:dyDescent="0.2">
      <c r="A1548" s="29"/>
      <c r="B1548" s="29"/>
      <c r="C1548" s="29"/>
      <c r="D1548" s="29"/>
      <c r="E1548" s="29"/>
      <c r="F1548" s="30"/>
      <c r="G1548" s="30"/>
      <c r="H1548" s="30"/>
      <c r="I1548" s="30"/>
      <c r="J1548" s="30"/>
      <c r="K1548" s="30"/>
      <c r="L1548" s="29"/>
      <c r="M1548" s="29"/>
      <c r="N1548" s="29"/>
      <c r="O1548" s="29"/>
      <c r="P1548" s="29"/>
      <c r="Q1548" s="29"/>
      <c r="R1548" s="29"/>
      <c r="S1548" s="29"/>
      <c r="T1548" s="29"/>
      <c r="U1548" s="31"/>
      <c r="V1548" s="31"/>
      <c r="W1548" s="31"/>
      <c r="X1548" s="31"/>
      <c r="Y1548" s="31"/>
    </row>
    <row r="1549" spans="1:25" x14ac:dyDescent="0.2">
      <c r="A1549" s="29"/>
      <c r="B1549" s="29"/>
      <c r="C1549" s="29"/>
      <c r="D1549" s="29"/>
      <c r="E1549" s="29"/>
      <c r="F1549" s="30"/>
      <c r="G1549" s="30"/>
      <c r="H1549" s="30"/>
      <c r="I1549" s="30"/>
      <c r="J1549" s="30"/>
      <c r="K1549" s="30"/>
      <c r="L1549" s="29"/>
      <c r="M1549" s="29"/>
      <c r="N1549" s="29"/>
      <c r="O1549" s="29"/>
      <c r="P1549" s="29"/>
      <c r="Q1549" s="29"/>
      <c r="R1549" s="29"/>
      <c r="S1549" s="29"/>
      <c r="T1549" s="29"/>
      <c r="U1549" s="31"/>
      <c r="V1549" s="31"/>
      <c r="W1549" s="31"/>
      <c r="X1549" s="31"/>
      <c r="Y1549" s="31"/>
    </row>
    <row r="1550" spans="1:25" x14ac:dyDescent="0.2">
      <c r="A1550" s="29"/>
      <c r="B1550" s="29"/>
      <c r="C1550" s="29"/>
      <c r="D1550" s="29"/>
      <c r="E1550" s="29"/>
      <c r="F1550" s="30"/>
      <c r="G1550" s="30"/>
      <c r="H1550" s="30"/>
      <c r="I1550" s="30"/>
      <c r="J1550" s="30"/>
      <c r="K1550" s="30"/>
      <c r="L1550" s="29"/>
      <c r="M1550" s="29"/>
      <c r="N1550" s="29"/>
      <c r="O1550" s="29"/>
      <c r="P1550" s="29"/>
      <c r="Q1550" s="29"/>
      <c r="R1550" s="29"/>
      <c r="S1550" s="29"/>
      <c r="T1550" s="29"/>
      <c r="U1550" s="31"/>
      <c r="V1550" s="31"/>
      <c r="W1550" s="31"/>
      <c r="X1550" s="31"/>
      <c r="Y1550" s="31"/>
    </row>
    <row r="1551" spans="1:25" x14ac:dyDescent="0.2">
      <c r="A1551" s="29"/>
      <c r="B1551" s="29"/>
      <c r="C1551" s="29"/>
      <c r="D1551" s="29"/>
      <c r="E1551" s="29"/>
      <c r="F1551" s="30"/>
      <c r="G1551" s="30"/>
      <c r="H1551" s="30"/>
      <c r="I1551" s="30"/>
      <c r="J1551" s="30"/>
      <c r="K1551" s="30"/>
      <c r="L1551" s="29"/>
      <c r="M1551" s="29"/>
      <c r="N1551" s="29"/>
      <c r="O1551" s="29"/>
      <c r="P1551" s="29"/>
      <c r="Q1551" s="29"/>
      <c r="R1551" s="29"/>
      <c r="S1551" s="29"/>
      <c r="T1551" s="29"/>
      <c r="U1551" s="31"/>
      <c r="V1551" s="31"/>
      <c r="W1551" s="31"/>
      <c r="X1551" s="31"/>
      <c r="Y1551" s="31"/>
    </row>
    <row r="1552" spans="1:25" x14ac:dyDescent="0.2">
      <c r="A1552" s="29"/>
      <c r="B1552" s="29"/>
      <c r="C1552" s="29"/>
      <c r="D1552" s="29"/>
      <c r="E1552" s="29"/>
      <c r="F1552" s="30"/>
      <c r="G1552" s="30"/>
      <c r="H1552" s="30"/>
      <c r="I1552" s="30"/>
      <c r="J1552" s="30"/>
      <c r="K1552" s="30"/>
      <c r="L1552" s="29"/>
      <c r="M1552" s="29"/>
      <c r="N1552" s="29"/>
      <c r="O1552" s="29"/>
      <c r="P1552" s="29"/>
      <c r="Q1552" s="29"/>
      <c r="R1552" s="29"/>
      <c r="S1552" s="29"/>
      <c r="T1552" s="29"/>
      <c r="U1552" s="31"/>
      <c r="V1552" s="31"/>
      <c r="W1552" s="31"/>
      <c r="X1552" s="31"/>
      <c r="Y1552" s="31"/>
    </row>
    <row r="1553" spans="1:25" x14ac:dyDescent="0.2">
      <c r="A1553" s="29"/>
      <c r="B1553" s="29"/>
      <c r="C1553" s="29"/>
      <c r="D1553" s="29"/>
      <c r="E1553" s="29"/>
      <c r="F1553" s="30"/>
      <c r="G1553" s="30"/>
      <c r="H1553" s="30"/>
      <c r="I1553" s="30"/>
      <c r="J1553" s="30"/>
      <c r="K1553" s="30"/>
      <c r="L1553" s="29"/>
      <c r="M1553" s="29"/>
      <c r="N1553" s="29"/>
      <c r="O1553" s="29"/>
      <c r="P1553" s="29"/>
      <c r="Q1553" s="29"/>
      <c r="R1553" s="29"/>
      <c r="S1553" s="29"/>
      <c r="T1553" s="29"/>
      <c r="U1553" s="31"/>
      <c r="V1553" s="31"/>
      <c r="W1553" s="31"/>
      <c r="X1553" s="31"/>
      <c r="Y1553" s="31"/>
    </row>
    <row r="1554" spans="1:25" x14ac:dyDescent="0.2">
      <c r="A1554" s="29"/>
      <c r="B1554" s="29"/>
      <c r="C1554" s="29"/>
      <c r="D1554" s="29"/>
      <c r="E1554" s="29"/>
      <c r="F1554" s="30"/>
      <c r="G1554" s="30"/>
      <c r="H1554" s="30"/>
      <c r="I1554" s="30"/>
      <c r="J1554" s="30"/>
      <c r="K1554" s="30"/>
      <c r="L1554" s="29"/>
      <c r="M1554" s="29"/>
      <c r="N1554" s="29"/>
      <c r="O1554" s="29"/>
      <c r="P1554" s="29"/>
      <c r="Q1554" s="29"/>
      <c r="R1554" s="29"/>
      <c r="S1554" s="29"/>
      <c r="T1554" s="29"/>
      <c r="U1554" s="31"/>
      <c r="V1554" s="31"/>
      <c r="W1554" s="31"/>
      <c r="X1554" s="31"/>
      <c r="Y1554" s="31"/>
    </row>
    <row r="1555" spans="1:25" x14ac:dyDescent="0.2">
      <c r="A1555" s="29"/>
      <c r="B1555" s="29"/>
      <c r="C1555" s="29"/>
      <c r="D1555" s="29"/>
      <c r="E1555" s="29"/>
      <c r="F1555" s="30"/>
      <c r="G1555" s="30"/>
      <c r="H1555" s="30"/>
      <c r="I1555" s="30"/>
      <c r="J1555" s="30"/>
      <c r="K1555" s="30"/>
      <c r="L1555" s="29"/>
      <c r="M1555" s="29"/>
      <c r="N1555" s="29"/>
      <c r="O1555" s="29"/>
      <c r="P1555" s="29"/>
      <c r="Q1555" s="29"/>
      <c r="R1555" s="29"/>
      <c r="S1555" s="29"/>
      <c r="T1555" s="29"/>
      <c r="U1555" s="31"/>
      <c r="V1555" s="31"/>
      <c r="W1555" s="31"/>
      <c r="X1555" s="31"/>
      <c r="Y1555" s="31"/>
    </row>
    <row r="1556" spans="1:25" x14ac:dyDescent="0.2">
      <c r="A1556" s="29"/>
      <c r="B1556" s="29"/>
      <c r="C1556" s="29"/>
      <c r="D1556" s="29"/>
      <c r="E1556" s="29"/>
      <c r="F1556" s="30"/>
      <c r="G1556" s="30"/>
      <c r="H1556" s="30"/>
      <c r="I1556" s="30"/>
      <c r="J1556" s="30"/>
      <c r="K1556" s="30"/>
      <c r="L1556" s="29"/>
      <c r="M1556" s="29"/>
      <c r="N1556" s="29"/>
      <c r="O1556" s="29"/>
      <c r="P1556" s="29"/>
      <c r="Q1556" s="29"/>
      <c r="R1556" s="29"/>
      <c r="S1556" s="29"/>
      <c r="T1556" s="29"/>
      <c r="U1556" s="31"/>
      <c r="V1556" s="31"/>
      <c r="W1556" s="31"/>
      <c r="X1556" s="31"/>
      <c r="Y1556" s="31"/>
    </row>
    <row r="1557" spans="1:25" x14ac:dyDescent="0.2">
      <c r="A1557" s="29"/>
      <c r="B1557" s="29"/>
      <c r="C1557" s="29"/>
      <c r="D1557" s="29"/>
      <c r="E1557" s="29"/>
      <c r="F1557" s="30"/>
      <c r="G1557" s="30"/>
      <c r="H1557" s="30"/>
      <c r="I1557" s="30"/>
      <c r="J1557" s="30"/>
      <c r="K1557" s="30"/>
      <c r="L1557" s="29"/>
      <c r="M1557" s="29"/>
      <c r="N1557" s="29"/>
      <c r="O1557" s="29"/>
      <c r="P1557" s="29"/>
      <c r="Q1557" s="29"/>
      <c r="R1557" s="29"/>
      <c r="S1557" s="29"/>
      <c r="T1557" s="29"/>
      <c r="U1557" s="31"/>
      <c r="V1557" s="31"/>
      <c r="W1557" s="31"/>
      <c r="X1557" s="31"/>
      <c r="Y1557" s="31"/>
    </row>
    <row r="1558" spans="1:25" x14ac:dyDescent="0.2">
      <c r="A1558" s="29"/>
      <c r="B1558" s="29"/>
      <c r="C1558" s="29"/>
      <c r="D1558" s="29"/>
      <c r="E1558" s="29"/>
      <c r="F1558" s="30"/>
      <c r="G1558" s="30"/>
      <c r="H1558" s="30"/>
      <c r="I1558" s="30"/>
      <c r="J1558" s="30"/>
      <c r="K1558" s="30"/>
      <c r="L1558" s="29"/>
      <c r="M1558" s="29"/>
      <c r="N1558" s="29"/>
      <c r="O1558" s="29"/>
      <c r="P1558" s="29"/>
      <c r="Q1558" s="29"/>
      <c r="R1558" s="29"/>
      <c r="S1558" s="29"/>
      <c r="T1558" s="29"/>
      <c r="U1558" s="31"/>
      <c r="V1558" s="31"/>
      <c r="W1558" s="31"/>
      <c r="X1558" s="31"/>
      <c r="Y1558" s="31"/>
    </row>
    <row r="1559" spans="1:25" x14ac:dyDescent="0.2">
      <c r="A1559" s="29"/>
      <c r="B1559" s="29"/>
      <c r="C1559" s="29"/>
      <c r="D1559" s="29"/>
      <c r="E1559" s="29"/>
      <c r="F1559" s="30"/>
      <c r="G1559" s="30"/>
      <c r="H1559" s="30"/>
      <c r="I1559" s="30"/>
      <c r="J1559" s="30"/>
      <c r="K1559" s="30"/>
      <c r="L1559" s="29"/>
      <c r="M1559" s="29"/>
      <c r="N1559" s="29"/>
      <c r="O1559" s="29"/>
      <c r="P1559" s="29"/>
      <c r="Q1559" s="29"/>
      <c r="R1559" s="29"/>
      <c r="S1559" s="29"/>
      <c r="T1559" s="29"/>
      <c r="U1559" s="31"/>
      <c r="V1559" s="31"/>
      <c r="W1559" s="31"/>
      <c r="X1559" s="31"/>
      <c r="Y1559" s="31"/>
    </row>
    <row r="1560" spans="1:25" x14ac:dyDescent="0.2">
      <c r="A1560" s="29"/>
      <c r="B1560" s="29"/>
      <c r="C1560" s="29"/>
      <c r="D1560" s="29"/>
      <c r="E1560" s="29"/>
      <c r="F1560" s="30"/>
      <c r="G1560" s="30"/>
      <c r="H1560" s="30"/>
      <c r="I1560" s="30"/>
      <c r="J1560" s="30"/>
      <c r="K1560" s="30"/>
      <c r="L1560" s="29"/>
      <c r="M1560" s="29"/>
      <c r="N1560" s="29"/>
      <c r="O1560" s="29"/>
      <c r="P1560" s="29"/>
      <c r="Q1560" s="29"/>
      <c r="R1560" s="29"/>
      <c r="S1560" s="29"/>
      <c r="T1560" s="29"/>
      <c r="U1560" s="31"/>
      <c r="V1560" s="31"/>
      <c r="W1560" s="31"/>
      <c r="X1560" s="31"/>
      <c r="Y1560" s="31"/>
    </row>
    <row r="1561" spans="1:25" x14ac:dyDescent="0.2">
      <c r="A1561" s="29"/>
      <c r="B1561" s="29"/>
      <c r="C1561" s="29"/>
      <c r="D1561" s="29"/>
      <c r="E1561" s="29"/>
      <c r="F1561" s="30"/>
      <c r="G1561" s="30"/>
      <c r="H1561" s="30"/>
      <c r="I1561" s="30"/>
      <c r="J1561" s="30"/>
      <c r="K1561" s="30"/>
      <c r="L1561" s="29"/>
      <c r="M1561" s="29"/>
      <c r="N1561" s="29"/>
      <c r="O1561" s="29"/>
      <c r="P1561" s="29"/>
      <c r="Q1561" s="29"/>
      <c r="R1561" s="29"/>
      <c r="S1561" s="29"/>
      <c r="T1561" s="29"/>
      <c r="U1561" s="31"/>
      <c r="V1561" s="31"/>
      <c r="W1561" s="31"/>
      <c r="X1561" s="31"/>
      <c r="Y1561" s="31"/>
    </row>
    <row r="1562" spans="1:25" x14ac:dyDescent="0.2">
      <c r="A1562" s="29"/>
      <c r="B1562" s="29"/>
      <c r="C1562" s="29"/>
      <c r="D1562" s="29"/>
      <c r="E1562" s="29"/>
      <c r="F1562" s="30"/>
      <c r="G1562" s="30"/>
      <c r="H1562" s="30"/>
      <c r="I1562" s="30"/>
      <c r="J1562" s="30"/>
      <c r="K1562" s="30"/>
      <c r="L1562" s="29"/>
      <c r="M1562" s="29"/>
      <c r="N1562" s="29"/>
      <c r="O1562" s="29"/>
      <c r="P1562" s="29"/>
      <c r="Q1562" s="29"/>
      <c r="R1562" s="29"/>
      <c r="S1562" s="29"/>
      <c r="T1562" s="29"/>
      <c r="U1562" s="31"/>
      <c r="V1562" s="31"/>
      <c r="W1562" s="31"/>
      <c r="X1562" s="31"/>
      <c r="Y1562" s="31"/>
    </row>
    <row r="1563" spans="1:25" x14ac:dyDescent="0.2">
      <c r="A1563" s="29"/>
      <c r="B1563" s="29"/>
      <c r="C1563" s="29"/>
      <c r="D1563" s="29"/>
      <c r="E1563" s="29"/>
      <c r="F1563" s="30"/>
      <c r="G1563" s="30"/>
      <c r="H1563" s="30"/>
      <c r="I1563" s="30"/>
      <c r="J1563" s="30"/>
      <c r="K1563" s="30"/>
      <c r="L1563" s="29"/>
      <c r="M1563" s="29"/>
      <c r="N1563" s="29"/>
      <c r="O1563" s="29"/>
      <c r="P1563" s="29"/>
      <c r="Q1563" s="29"/>
      <c r="R1563" s="29"/>
      <c r="S1563" s="29"/>
      <c r="T1563" s="29"/>
      <c r="U1563" s="31"/>
      <c r="V1563" s="31"/>
      <c r="W1563" s="31"/>
      <c r="X1563" s="31"/>
      <c r="Y1563" s="31"/>
    </row>
    <row r="1564" spans="1:25" x14ac:dyDescent="0.2">
      <c r="A1564" s="29"/>
      <c r="B1564" s="29"/>
      <c r="C1564" s="29"/>
      <c r="D1564" s="29"/>
      <c r="E1564" s="29"/>
      <c r="F1564" s="30"/>
      <c r="G1564" s="30"/>
      <c r="H1564" s="30"/>
      <c r="I1564" s="30"/>
      <c r="J1564" s="30"/>
      <c r="K1564" s="30"/>
      <c r="L1564" s="29"/>
      <c r="M1564" s="29"/>
      <c r="N1564" s="29"/>
      <c r="O1564" s="29"/>
      <c r="P1564" s="29"/>
      <c r="Q1564" s="29"/>
      <c r="R1564" s="29"/>
      <c r="S1564" s="29"/>
      <c r="T1564" s="29"/>
      <c r="U1564" s="31"/>
      <c r="V1564" s="31"/>
      <c r="W1564" s="31"/>
      <c r="X1564" s="31"/>
      <c r="Y1564" s="31"/>
    </row>
    <row r="1565" spans="1:25" x14ac:dyDescent="0.2">
      <c r="A1565" s="29"/>
      <c r="B1565" s="29"/>
      <c r="C1565" s="29"/>
      <c r="D1565" s="29"/>
      <c r="E1565" s="29"/>
      <c r="F1565" s="30"/>
      <c r="G1565" s="30"/>
      <c r="H1565" s="30"/>
      <c r="I1565" s="30"/>
      <c r="J1565" s="30"/>
      <c r="K1565" s="30"/>
      <c r="L1565" s="29"/>
      <c r="M1565" s="29"/>
      <c r="N1565" s="29"/>
      <c r="O1565" s="29"/>
      <c r="P1565" s="29"/>
      <c r="Q1565" s="29"/>
      <c r="R1565" s="29"/>
      <c r="S1565" s="29"/>
      <c r="T1565" s="29"/>
      <c r="U1565" s="31"/>
      <c r="V1565" s="31"/>
      <c r="W1565" s="31"/>
      <c r="X1565" s="31"/>
      <c r="Y1565" s="31"/>
    </row>
    <row r="1566" spans="1:25" x14ac:dyDescent="0.2">
      <c r="A1566" s="29"/>
      <c r="B1566" s="29"/>
      <c r="C1566" s="29"/>
      <c r="D1566" s="29"/>
      <c r="E1566" s="29"/>
      <c r="F1566" s="30"/>
      <c r="G1566" s="30"/>
      <c r="H1566" s="30"/>
      <c r="I1566" s="30"/>
      <c r="J1566" s="30"/>
      <c r="K1566" s="30"/>
      <c r="L1566" s="29"/>
      <c r="M1566" s="29"/>
      <c r="N1566" s="29"/>
      <c r="O1566" s="29"/>
      <c r="P1566" s="29"/>
      <c r="Q1566" s="29"/>
      <c r="R1566" s="29"/>
      <c r="S1566" s="29"/>
      <c r="T1566" s="29"/>
      <c r="U1566" s="31"/>
      <c r="V1566" s="31"/>
      <c r="W1566" s="31"/>
      <c r="X1566" s="31"/>
      <c r="Y1566" s="31"/>
    </row>
    <row r="1567" spans="1:25" x14ac:dyDescent="0.2">
      <c r="A1567" s="29"/>
      <c r="B1567" s="29"/>
      <c r="C1567" s="29"/>
      <c r="D1567" s="29"/>
      <c r="E1567" s="29"/>
      <c r="F1567" s="30"/>
      <c r="G1567" s="30"/>
      <c r="H1567" s="30"/>
      <c r="I1567" s="30"/>
      <c r="J1567" s="30"/>
      <c r="K1567" s="30"/>
      <c r="L1567" s="29"/>
      <c r="M1567" s="29"/>
      <c r="N1567" s="29"/>
      <c r="O1567" s="29"/>
      <c r="P1567" s="29"/>
      <c r="Q1567" s="29"/>
      <c r="R1567" s="29"/>
      <c r="S1567" s="29"/>
      <c r="T1567" s="29"/>
      <c r="U1567" s="31"/>
      <c r="V1567" s="31"/>
      <c r="W1567" s="31"/>
      <c r="X1567" s="31"/>
      <c r="Y1567" s="31"/>
    </row>
    <row r="1568" spans="1:25" x14ac:dyDescent="0.2">
      <c r="A1568" s="29"/>
      <c r="B1568" s="29"/>
      <c r="C1568" s="29"/>
      <c r="D1568" s="29"/>
      <c r="E1568" s="29"/>
      <c r="F1568" s="30"/>
      <c r="G1568" s="30"/>
      <c r="H1568" s="30"/>
      <c r="I1568" s="30"/>
      <c r="J1568" s="30"/>
      <c r="K1568" s="30"/>
      <c r="L1568" s="29"/>
      <c r="M1568" s="29"/>
      <c r="N1568" s="29"/>
      <c r="O1568" s="29"/>
      <c r="P1568" s="29"/>
      <c r="Q1568" s="29"/>
      <c r="R1568" s="29"/>
      <c r="S1568" s="29"/>
      <c r="T1568" s="29"/>
      <c r="U1568" s="31"/>
      <c r="V1568" s="31"/>
      <c r="W1568" s="31"/>
      <c r="X1568" s="31"/>
      <c r="Y1568" s="31"/>
    </row>
    <row r="1569" spans="1:25" x14ac:dyDescent="0.2">
      <c r="A1569" s="29"/>
      <c r="B1569" s="29"/>
      <c r="C1569" s="29"/>
      <c r="D1569" s="29"/>
      <c r="E1569" s="29"/>
      <c r="F1569" s="30"/>
      <c r="G1569" s="30"/>
      <c r="H1569" s="30"/>
      <c r="I1569" s="30"/>
      <c r="J1569" s="30"/>
      <c r="K1569" s="30"/>
      <c r="L1569" s="29"/>
      <c r="M1569" s="29"/>
      <c r="N1569" s="29"/>
      <c r="O1569" s="29"/>
      <c r="P1569" s="29"/>
      <c r="Q1569" s="29"/>
      <c r="R1569" s="29"/>
      <c r="S1569" s="29"/>
      <c r="T1569" s="29"/>
      <c r="U1569" s="31"/>
      <c r="V1569" s="31"/>
      <c r="W1569" s="31"/>
      <c r="X1569" s="31"/>
      <c r="Y1569" s="31"/>
    </row>
    <row r="1570" spans="1:25" x14ac:dyDescent="0.2">
      <c r="A1570" s="29"/>
      <c r="B1570" s="29"/>
      <c r="C1570" s="29"/>
      <c r="D1570" s="29"/>
      <c r="E1570" s="29"/>
      <c r="F1570" s="30"/>
      <c r="G1570" s="30"/>
      <c r="H1570" s="30"/>
      <c r="I1570" s="30"/>
      <c r="J1570" s="30"/>
      <c r="K1570" s="30"/>
      <c r="L1570" s="29"/>
      <c r="M1570" s="29"/>
      <c r="N1570" s="29"/>
      <c r="O1570" s="29"/>
      <c r="P1570" s="29"/>
      <c r="Q1570" s="29"/>
      <c r="R1570" s="29"/>
      <c r="S1570" s="29"/>
      <c r="T1570" s="29"/>
      <c r="U1570" s="31"/>
      <c r="V1570" s="31"/>
      <c r="W1570" s="31"/>
      <c r="X1570" s="31"/>
      <c r="Y1570" s="31"/>
    </row>
    <row r="1571" spans="1:25" x14ac:dyDescent="0.2">
      <c r="A1571" s="29"/>
      <c r="B1571" s="29"/>
      <c r="C1571" s="29"/>
      <c r="D1571" s="29"/>
      <c r="E1571" s="29"/>
      <c r="F1571" s="30"/>
      <c r="G1571" s="30"/>
      <c r="H1571" s="30"/>
      <c r="I1571" s="30"/>
      <c r="J1571" s="30"/>
      <c r="K1571" s="30"/>
      <c r="L1571" s="29"/>
      <c r="M1571" s="29"/>
      <c r="N1571" s="29"/>
      <c r="O1571" s="29"/>
      <c r="P1571" s="29"/>
      <c r="Q1571" s="29"/>
      <c r="R1571" s="29"/>
      <c r="S1571" s="29"/>
      <c r="T1571" s="29"/>
      <c r="U1571" s="31"/>
      <c r="V1571" s="31"/>
      <c r="W1571" s="31"/>
      <c r="X1571" s="31"/>
      <c r="Y1571" s="31"/>
    </row>
    <row r="1572" spans="1:25" x14ac:dyDescent="0.2">
      <c r="A1572" s="29"/>
      <c r="B1572" s="29"/>
      <c r="C1572" s="29"/>
      <c r="D1572" s="29"/>
      <c r="E1572" s="29"/>
      <c r="F1572" s="30"/>
      <c r="G1572" s="30"/>
      <c r="H1572" s="30"/>
      <c r="I1572" s="30"/>
      <c r="J1572" s="30"/>
      <c r="K1572" s="30"/>
      <c r="L1572" s="29"/>
      <c r="M1572" s="29"/>
      <c r="N1572" s="29"/>
      <c r="O1572" s="29"/>
      <c r="P1572" s="29"/>
      <c r="Q1572" s="29"/>
      <c r="R1572" s="29"/>
      <c r="S1572" s="29"/>
      <c r="T1572" s="29"/>
      <c r="U1572" s="31"/>
      <c r="V1572" s="31"/>
      <c r="W1572" s="31"/>
      <c r="X1572" s="31"/>
      <c r="Y1572" s="31"/>
    </row>
    <row r="1573" spans="1:25" x14ac:dyDescent="0.2">
      <c r="A1573" s="29"/>
      <c r="B1573" s="29"/>
      <c r="C1573" s="29"/>
      <c r="D1573" s="29"/>
      <c r="E1573" s="29"/>
      <c r="F1573" s="30"/>
      <c r="G1573" s="30"/>
      <c r="H1573" s="30"/>
      <c r="I1573" s="30"/>
      <c r="J1573" s="30"/>
      <c r="K1573" s="30"/>
      <c r="L1573" s="29"/>
      <c r="M1573" s="29"/>
      <c r="N1573" s="29"/>
      <c r="O1573" s="29"/>
      <c r="P1573" s="29"/>
      <c r="Q1573" s="29"/>
      <c r="R1573" s="29"/>
      <c r="S1573" s="29"/>
      <c r="T1573" s="29"/>
      <c r="U1573" s="31"/>
      <c r="V1573" s="31"/>
      <c r="W1573" s="31"/>
      <c r="X1573" s="31"/>
      <c r="Y1573" s="31"/>
    </row>
    <row r="1574" spans="1:25" x14ac:dyDescent="0.2">
      <c r="A1574" s="29"/>
      <c r="B1574" s="29"/>
      <c r="C1574" s="29"/>
      <c r="D1574" s="29"/>
      <c r="E1574" s="29"/>
      <c r="F1574" s="30"/>
      <c r="G1574" s="30"/>
      <c r="H1574" s="30"/>
      <c r="I1574" s="30"/>
      <c r="J1574" s="30"/>
      <c r="K1574" s="30"/>
      <c r="L1574" s="29"/>
      <c r="M1574" s="29"/>
      <c r="N1574" s="29"/>
      <c r="O1574" s="29"/>
      <c r="P1574" s="29"/>
      <c r="Q1574" s="29"/>
      <c r="R1574" s="29"/>
      <c r="S1574" s="29"/>
      <c r="T1574" s="29"/>
      <c r="U1574" s="31"/>
      <c r="V1574" s="31"/>
      <c r="W1574" s="31"/>
      <c r="X1574" s="31"/>
      <c r="Y1574" s="31"/>
    </row>
    <row r="1575" spans="1:25" x14ac:dyDescent="0.2">
      <c r="A1575" s="29"/>
      <c r="B1575" s="29"/>
      <c r="C1575" s="29"/>
      <c r="D1575" s="29"/>
      <c r="E1575" s="29"/>
      <c r="F1575" s="30"/>
      <c r="G1575" s="30"/>
      <c r="H1575" s="30"/>
      <c r="I1575" s="30"/>
      <c r="J1575" s="30"/>
      <c r="K1575" s="30"/>
      <c r="L1575" s="29"/>
      <c r="M1575" s="29"/>
      <c r="N1575" s="29"/>
      <c r="O1575" s="29"/>
      <c r="P1575" s="29"/>
      <c r="Q1575" s="29"/>
      <c r="R1575" s="29"/>
      <c r="S1575" s="29"/>
      <c r="T1575" s="29"/>
      <c r="U1575" s="31"/>
      <c r="V1575" s="31"/>
      <c r="W1575" s="31"/>
      <c r="X1575" s="31"/>
      <c r="Y1575" s="31"/>
    </row>
    <row r="1576" spans="1:25" x14ac:dyDescent="0.2">
      <c r="A1576" s="29"/>
      <c r="B1576" s="29"/>
      <c r="C1576" s="29"/>
      <c r="D1576" s="29"/>
      <c r="E1576" s="29"/>
      <c r="F1576" s="30"/>
      <c r="G1576" s="30"/>
      <c r="H1576" s="30"/>
      <c r="I1576" s="30"/>
      <c r="J1576" s="30"/>
      <c r="K1576" s="30"/>
      <c r="L1576" s="29"/>
      <c r="M1576" s="29"/>
      <c r="N1576" s="29"/>
      <c r="O1576" s="29"/>
      <c r="P1576" s="29"/>
      <c r="Q1576" s="29"/>
      <c r="R1576" s="29"/>
      <c r="S1576" s="29"/>
      <c r="T1576" s="29"/>
      <c r="U1576" s="31"/>
      <c r="V1576" s="31"/>
      <c r="W1576" s="31"/>
      <c r="X1576" s="31"/>
      <c r="Y1576" s="31"/>
    </row>
    <row r="1577" spans="1:25" x14ac:dyDescent="0.2">
      <c r="A1577" s="29"/>
      <c r="B1577" s="29"/>
      <c r="C1577" s="29"/>
      <c r="D1577" s="29"/>
      <c r="E1577" s="29"/>
      <c r="F1577" s="30"/>
      <c r="G1577" s="30"/>
      <c r="H1577" s="30"/>
      <c r="I1577" s="30"/>
      <c r="J1577" s="30"/>
      <c r="K1577" s="30"/>
      <c r="L1577" s="29"/>
      <c r="M1577" s="29"/>
      <c r="N1577" s="29"/>
      <c r="O1577" s="29"/>
      <c r="P1577" s="29"/>
      <c r="Q1577" s="29"/>
      <c r="R1577" s="29"/>
      <c r="S1577" s="29"/>
      <c r="T1577" s="29"/>
      <c r="U1577" s="31"/>
      <c r="V1577" s="31"/>
      <c r="W1577" s="31"/>
      <c r="X1577" s="31"/>
      <c r="Y1577" s="31"/>
    </row>
    <row r="1578" spans="1:25" x14ac:dyDescent="0.2">
      <c r="A1578" s="29"/>
      <c r="B1578" s="29"/>
      <c r="C1578" s="29"/>
      <c r="D1578" s="29"/>
      <c r="E1578" s="29"/>
      <c r="F1578" s="30"/>
      <c r="G1578" s="30"/>
      <c r="H1578" s="30"/>
      <c r="I1578" s="30"/>
      <c r="J1578" s="30"/>
      <c r="K1578" s="30"/>
      <c r="L1578" s="29"/>
      <c r="M1578" s="29"/>
      <c r="N1578" s="29"/>
      <c r="O1578" s="29"/>
      <c r="P1578" s="29"/>
      <c r="Q1578" s="29"/>
      <c r="R1578" s="29"/>
      <c r="S1578" s="29"/>
      <c r="T1578" s="29"/>
      <c r="U1578" s="31"/>
      <c r="V1578" s="31"/>
      <c r="W1578" s="31"/>
      <c r="X1578" s="31"/>
      <c r="Y1578" s="31"/>
    </row>
    <row r="1579" spans="1:25" x14ac:dyDescent="0.2">
      <c r="A1579" s="29"/>
      <c r="B1579" s="29"/>
      <c r="C1579" s="29"/>
      <c r="D1579" s="29"/>
      <c r="E1579" s="29"/>
      <c r="F1579" s="30"/>
      <c r="G1579" s="30"/>
      <c r="H1579" s="30"/>
      <c r="I1579" s="30"/>
      <c r="J1579" s="30"/>
      <c r="K1579" s="30"/>
      <c r="L1579" s="29"/>
      <c r="M1579" s="29"/>
      <c r="N1579" s="29"/>
      <c r="O1579" s="29"/>
      <c r="P1579" s="29"/>
      <c r="Q1579" s="29"/>
      <c r="R1579" s="29"/>
      <c r="S1579" s="29"/>
      <c r="T1579" s="29"/>
      <c r="U1579" s="31"/>
      <c r="V1579" s="31"/>
      <c r="W1579" s="31"/>
      <c r="X1579" s="31"/>
      <c r="Y1579" s="31"/>
    </row>
    <row r="1580" spans="1:25" x14ac:dyDescent="0.2">
      <c r="A1580" s="29"/>
      <c r="B1580" s="29"/>
      <c r="C1580" s="29"/>
      <c r="D1580" s="29"/>
      <c r="E1580" s="29"/>
      <c r="F1580" s="30"/>
      <c r="G1580" s="30"/>
      <c r="H1580" s="30"/>
      <c r="I1580" s="30"/>
      <c r="J1580" s="30"/>
      <c r="K1580" s="30"/>
      <c r="L1580" s="29"/>
      <c r="M1580" s="29"/>
      <c r="N1580" s="29"/>
      <c r="O1580" s="29"/>
      <c r="P1580" s="29"/>
      <c r="Q1580" s="29"/>
      <c r="R1580" s="29"/>
      <c r="S1580" s="29"/>
      <c r="T1580" s="29"/>
      <c r="U1580" s="31"/>
      <c r="V1580" s="31"/>
      <c r="W1580" s="31"/>
      <c r="X1580" s="31"/>
      <c r="Y1580" s="31"/>
    </row>
    <row r="1581" spans="1:25" x14ac:dyDescent="0.2">
      <c r="A1581" s="29"/>
      <c r="B1581" s="29"/>
      <c r="C1581" s="29"/>
      <c r="D1581" s="29"/>
      <c r="E1581" s="29"/>
      <c r="F1581" s="30"/>
      <c r="G1581" s="30"/>
      <c r="H1581" s="30"/>
      <c r="I1581" s="30"/>
      <c r="J1581" s="30"/>
      <c r="K1581" s="30"/>
      <c r="L1581" s="29"/>
      <c r="M1581" s="29"/>
      <c r="N1581" s="29"/>
      <c r="O1581" s="29"/>
      <c r="P1581" s="29"/>
      <c r="Q1581" s="29"/>
      <c r="R1581" s="29"/>
      <c r="S1581" s="29"/>
      <c r="T1581" s="29"/>
      <c r="U1581" s="31"/>
      <c r="V1581" s="31"/>
      <c r="W1581" s="31"/>
      <c r="X1581" s="31"/>
      <c r="Y1581" s="31"/>
    </row>
    <row r="1582" spans="1:25" x14ac:dyDescent="0.2">
      <c r="A1582" s="29"/>
      <c r="B1582" s="29"/>
      <c r="C1582" s="29"/>
      <c r="D1582" s="29"/>
      <c r="E1582" s="29"/>
      <c r="F1582" s="30"/>
      <c r="G1582" s="30"/>
      <c r="H1582" s="30"/>
      <c r="I1582" s="30"/>
      <c r="J1582" s="30"/>
      <c r="K1582" s="30"/>
      <c r="L1582" s="29"/>
      <c r="M1582" s="29"/>
      <c r="N1582" s="29"/>
      <c r="O1582" s="29"/>
      <c r="P1582" s="29"/>
      <c r="Q1582" s="29"/>
      <c r="R1582" s="29"/>
      <c r="S1582" s="29"/>
      <c r="T1582" s="29"/>
      <c r="U1582" s="31"/>
      <c r="V1582" s="31"/>
      <c r="W1582" s="31"/>
      <c r="X1582" s="31"/>
      <c r="Y1582" s="31"/>
    </row>
    <row r="1583" spans="1:25" x14ac:dyDescent="0.2">
      <c r="A1583" s="29"/>
      <c r="B1583" s="29"/>
      <c r="C1583" s="29"/>
      <c r="D1583" s="29"/>
      <c r="E1583" s="29"/>
      <c r="F1583" s="30"/>
      <c r="G1583" s="30"/>
      <c r="H1583" s="30"/>
      <c r="I1583" s="30"/>
      <c r="J1583" s="30"/>
      <c r="K1583" s="30"/>
      <c r="L1583" s="29"/>
      <c r="M1583" s="29"/>
      <c r="N1583" s="29"/>
      <c r="O1583" s="29"/>
      <c r="P1583" s="29"/>
      <c r="Q1583" s="29"/>
      <c r="R1583" s="29"/>
      <c r="S1583" s="29"/>
      <c r="T1583" s="29"/>
      <c r="U1583" s="31"/>
      <c r="V1583" s="31"/>
      <c r="W1583" s="31"/>
      <c r="X1583" s="31"/>
      <c r="Y1583" s="31"/>
    </row>
    <row r="1584" spans="1:25" x14ac:dyDescent="0.2">
      <c r="A1584" s="29"/>
      <c r="B1584" s="29"/>
      <c r="C1584" s="29"/>
      <c r="D1584" s="29"/>
      <c r="E1584" s="29"/>
      <c r="F1584" s="30"/>
      <c r="G1584" s="30"/>
      <c r="H1584" s="30"/>
      <c r="I1584" s="30"/>
      <c r="J1584" s="30"/>
      <c r="K1584" s="30"/>
      <c r="L1584" s="29"/>
      <c r="M1584" s="29"/>
      <c r="N1584" s="29"/>
      <c r="O1584" s="29"/>
      <c r="P1584" s="29"/>
      <c r="Q1584" s="29"/>
      <c r="R1584" s="29"/>
      <c r="S1584" s="29"/>
      <c r="T1584" s="29"/>
      <c r="U1584" s="31"/>
      <c r="V1584" s="31"/>
      <c r="W1584" s="31"/>
      <c r="X1584" s="31"/>
      <c r="Y1584" s="31"/>
    </row>
    <row r="1585" spans="1:25" x14ac:dyDescent="0.2">
      <c r="A1585" s="29"/>
      <c r="B1585" s="29"/>
      <c r="C1585" s="29"/>
      <c r="D1585" s="29"/>
      <c r="E1585" s="29"/>
      <c r="F1585" s="30"/>
      <c r="G1585" s="30"/>
      <c r="H1585" s="30"/>
      <c r="I1585" s="30"/>
      <c r="J1585" s="30"/>
      <c r="K1585" s="30"/>
      <c r="L1585" s="29"/>
      <c r="M1585" s="29"/>
      <c r="N1585" s="29"/>
      <c r="O1585" s="29"/>
      <c r="P1585" s="29"/>
      <c r="Q1585" s="29"/>
      <c r="R1585" s="29"/>
      <c r="S1585" s="29"/>
      <c r="T1585" s="29"/>
      <c r="U1585" s="31"/>
      <c r="V1585" s="31"/>
      <c r="W1585" s="31"/>
      <c r="X1585" s="31"/>
      <c r="Y1585" s="31"/>
    </row>
    <row r="1586" spans="1:25" x14ac:dyDescent="0.2">
      <c r="A1586" s="29"/>
      <c r="B1586" s="29"/>
      <c r="C1586" s="29"/>
      <c r="D1586" s="29"/>
      <c r="E1586" s="29"/>
      <c r="F1586" s="30"/>
      <c r="G1586" s="30"/>
      <c r="H1586" s="30"/>
      <c r="I1586" s="30"/>
      <c r="J1586" s="30"/>
      <c r="K1586" s="30"/>
      <c r="L1586" s="29"/>
      <c r="M1586" s="29"/>
      <c r="N1586" s="29"/>
      <c r="O1586" s="29"/>
      <c r="P1586" s="29"/>
      <c r="Q1586" s="29"/>
      <c r="R1586" s="29"/>
      <c r="S1586" s="29"/>
      <c r="T1586" s="29"/>
      <c r="U1586" s="31"/>
      <c r="V1586" s="31"/>
      <c r="W1586" s="31"/>
      <c r="X1586" s="31"/>
      <c r="Y1586" s="31"/>
    </row>
    <row r="1587" spans="1:25" x14ac:dyDescent="0.2">
      <c r="A1587" s="29"/>
      <c r="B1587" s="29"/>
      <c r="C1587" s="29"/>
      <c r="D1587" s="29"/>
      <c r="E1587" s="29"/>
      <c r="F1587" s="30"/>
      <c r="G1587" s="30"/>
      <c r="H1587" s="30"/>
      <c r="I1587" s="30"/>
      <c r="J1587" s="30"/>
      <c r="K1587" s="30"/>
      <c r="L1587" s="29"/>
      <c r="M1587" s="29"/>
      <c r="N1587" s="29"/>
      <c r="O1587" s="29"/>
      <c r="P1587" s="29"/>
      <c r="Q1587" s="29"/>
      <c r="R1587" s="29"/>
      <c r="S1587" s="29"/>
      <c r="T1587" s="29"/>
      <c r="U1587" s="31"/>
      <c r="V1587" s="31"/>
      <c r="W1587" s="31"/>
      <c r="X1587" s="31"/>
      <c r="Y1587" s="31"/>
    </row>
    <row r="1588" spans="1:25" x14ac:dyDescent="0.2">
      <c r="A1588" s="29"/>
      <c r="B1588" s="29"/>
      <c r="C1588" s="29"/>
      <c r="D1588" s="29"/>
      <c r="E1588" s="29"/>
      <c r="F1588" s="30"/>
      <c r="G1588" s="30"/>
      <c r="H1588" s="30"/>
      <c r="I1588" s="30"/>
      <c r="J1588" s="30"/>
      <c r="K1588" s="30"/>
      <c r="L1588" s="29"/>
      <c r="M1588" s="29"/>
      <c r="N1588" s="29"/>
      <c r="O1588" s="29"/>
      <c r="P1588" s="29"/>
      <c r="Q1588" s="29"/>
      <c r="R1588" s="29"/>
      <c r="S1588" s="29"/>
      <c r="T1588" s="29"/>
      <c r="U1588" s="31"/>
      <c r="V1588" s="31"/>
      <c r="W1588" s="31"/>
      <c r="X1588" s="31"/>
      <c r="Y1588" s="31"/>
    </row>
    <row r="1589" spans="1:25" x14ac:dyDescent="0.2">
      <c r="A1589" s="29"/>
      <c r="B1589" s="29"/>
      <c r="C1589" s="29"/>
      <c r="D1589" s="29"/>
      <c r="E1589" s="29"/>
      <c r="F1589" s="30"/>
      <c r="G1589" s="30"/>
      <c r="H1589" s="30"/>
      <c r="I1589" s="30"/>
      <c r="J1589" s="30"/>
      <c r="K1589" s="30"/>
      <c r="L1589" s="29"/>
      <c r="M1589" s="29"/>
      <c r="N1589" s="29"/>
      <c r="O1589" s="29"/>
      <c r="P1589" s="29"/>
      <c r="Q1589" s="29"/>
      <c r="R1589" s="29"/>
      <c r="S1589" s="29"/>
      <c r="T1589" s="29"/>
      <c r="U1589" s="31"/>
      <c r="V1589" s="31"/>
      <c r="W1589" s="31"/>
      <c r="X1589" s="31"/>
      <c r="Y1589" s="31"/>
    </row>
    <row r="1590" spans="1:25" x14ac:dyDescent="0.2">
      <c r="A1590" s="29"/>
      <c r="B1590" s="29"/>
      <c r="C1590" s="29"/>
      <c r="D1590" s="29"/>
      <c r="E1590" s="29"/>
      <c r="F1590" s="30"/>
      <c r="G1590" s="30"/>
      <c r="H1590" s="30"/>
      <c r="I1590" s="30"/>
      <c r="J1590" s="30"/>
      <c r="K1590" s="30"/>
      <c r="L1590" s="29"/>
      <c r="M1590" s="29"/>
      <c r="N1590" s="29"/>
      <c r="O1590" s="29"/>
      <c r="P1590" s="29"/>
      <c r="Q1590" s="29"/>
      <c r="R1590" s="29"/>
      <c r="S1590" s="29"/>
      <c r="T1590" s="29"/>
      <c r="U1590" s="31"/>
      <c r="V1590" s="31"/>
      <c r="W1590" s="31"/>
      <c r="X1590" s="31"/>
      <c r="Y1590" s="31"/>
    </row>
    <row r="1591" spans="1:25" x14ac:dyDescent="0.2">
      <c r="A1591" s="29"/>
      <c r="B1591" s="29"/>
      <c r="C1591" s="29"/>
      <c r="D1591" s="29"/>
      <c r="E1591" s="29"/>
      <c r="F1591" s="30"/>
      <c r="G1591" s="30"/>
      <c r="H1591" s="30"/>
      <c r="I1591" s="30"/>
      <c r="J1591" s="30"/>
      <c r="K1591" s="30"/>
      <c r="L1591" s="29"/>
      <c r="M1591" s="29"/>
      <c r="N1591" s="29"/>
      <c r="O1591" s="29"/>
      <c r="P1591" s="29"/>
      <c r="Q1591" s="29"/>
      <c r="R1591" s="29"/>
      <c r="S1591" s="29"/>
      <c r="T1591" s="29"/>
      <c r="U1591" s="31"/>
      <c r="V1591" s="31"/>
      <c r="W1591" s="31"/>
      <c r="X1591" s="31"/>
      <c r="Y1591" s="31"/>
    </row>
    <row r="1592" spans="1:25" x14ac:dyDescent="0.2">
      <c r="A1592" s="29"/>
      <c r="B1592" s="29"/>
      <c r="C1592" s="29"/>
      <c r="D1592" s="29"/>
      <c r="E1592" s="29"/>
      <c r="F1592" s="30"/>
      <c r="G1592" s="30"/>
      <c r="H1592" s="30"/>
      <c r="I1592" s="30"/>
      <c r="J1592" s="30"/>
      <c r="K1592" s="30"/>
      <c r="L1592" s="29"/>
      <c r="M1592" s="29"/>
      <c r="N1592" s="29"/>
      <c r="O1592" s="29"/>
      <c r="P1592" s="29"/>
      <c r="Q1592" s="29"/>
      <c r="R1592" s="29"/>
      <c r="S1592" s="29"/>
      <c r="T1592" s="29"/>
      <c r="U1592" s="31"/>
      <c r="V1592" s="31"/>
      <c r="W1592" s="31"/>
      <c r="X1592" s="31"/>
      <c r="Y1592" s="31"/>
    </row>
    <row r="1593" spans="1:25" x14ac:dyDescent="0.2">
      <c r="A1593" s="29"/>
      <c r="B1593" s="29"/>
      <c r="C1593" s="29"/>
      <c r="D1593" s="29"/>
      <c r="E1593" s="29"/>
      <c r="F1593" s="30"/>
      <c r="G1593" s="30"/>
      <c r="H1593" s="30"/>
      <c r="I1593" s="30"/>
      <c r="J1593" s="30"/>
      <c r="K1593" s="30"/>
      <c r="L1593" s="29"/>
      <c r="M1593" s="29"/>
      <c r="N1593" s="29"/>
      <c r="O1593" s="29"/>
      <c r="P1593" s="29"/>
      <c r="Q1593" s="29"/>
      <c r="R1593" s="29"/>
      <c r="S1593" s="29"/>
      <c r="T1593" s="29"/>
      <c r="U1593" s="31"/>
      <c r="V1593" s="31"/>
      <c r="W1593" s="31"/>
      <c r="X1593" s="31"/>
      <c r="Y1593" s="31"/>
    </row>
    <row r="1594" spans="1:25" x14ac:dyDescent="0.2">
      <c r="A1594" s="29"/>
      <c r="B1594" s="29"/>
      <c r="C1594" s="29"/>
      <c r="D1594" s="29"/>
      <c r="E1594" s="29"/>
      <c r="F1594" s="30"/>
      <c r="G1594" s="30"/>
      <c r="H1594" s="30"/>
      <c r="I1594" s="30"/>
      <c r="J1594" s="30"/>
      <c r="K1594" s="30"/>
      <c r="L1594" s="29"/>
      <c r="M1594" s="29"/>
      <c r="N1594" s="29"/>
      <c r="O1594" s="29"/>
      <c r="P1594" s="29"/>
      <c r="Q1594" s="29"/>
      <c r="R1594" s="29"/>
      <c r="S1594" s="29"/>
      <c r="T1594" s="29"/>
      <c r="U1594" s="31"/>
      <c r="V1594" s="31"/>
      <c r="W1594" s="31"/>
      <c r="X1594" s="31"/>
      <c r="Y1594" s="31"/>
    </row>
    <row r="1595" spans="1:25" x14ac:dyDescent="0.2">
      <c r="A1595" s="29"/>
      <c r="B1595" s="29"/>
      <c r="C1595" s="29"/>
      <c r="D1595" s="29"/>
      <c r="E1595" s="29"/>
      <c r="F1595" s="30"/>
      <c r="G1595" s="30"/>
      <c r="H1595" s="30"/>
      <c r="I1595" s="30"/>
      <c r="J1595" s="30"/>
      <c r="K1595" s="30"/>
      <c r="L1595" s="29"/>
      <c r="M1595" s="29"/>
      <c r="N1595" s="29"/>
      <c r="O1595" s="29"/>
      <c r="P1595" s="29"/>
      <c r="Q1595" s="29"/>
      <c r="R1595" s="29"/>
      <c r="S1595" s="29"/>
      <c r="T1595" s="29"/>
      <c r="U1595" s="31"/>
      <c r="V1595" s="31"/>
      <c r="W1595" s="31"/>
      <c r="X1595" s="31"/>
      <c r="Y1595" s="31"/>
    </row>
    <row r="1596" spans="1:25" x14ac:dyDescent="0.2">
      <c r="A1596" s="29"/>
      <c r="B1596" s="29"/>
      <c r="C1596" s="29"/>
      <c r="D1596" s="29"/>
      <c r="E1596" s="29"/>
      <c r="F1596" s="30"/>
      <c r="G1596" s="30"/>
      <c r="H1596" s="30"/>
      <c r="I1596" s="30"/>
      <c r="J1596" s="30"/>
      <c r="K1596" s="30"/>
      <c r="L1596" s="29"/>
      <c r="M1596" s="29"/>
      <c r="N1596" s="29"/>
      <c r="O1596" s="29"/>
      <c r="P1596" s="29"/>
      <c r="Q1596" s="29"/>
      <c r="R1596" s="29"/>
      <c r="S1596" s="29"/>
      <c r="T1596" s="29"/>
      <c r="U1596" s="31"/>
      <c r="V1596" s="31"/>
      <c r="W1596" s="31"/>
      <c r="X1596" s="31"/>
      <c r="Y1596" s="31"/>
    </row>
    <row r="1597" spans="1:25" x14ac:dyDescent="0.2">
      <c r="A1597" s="29"/>
      <c r="B1597" s="29"/>
      <c r="C1597" s="29"/>
      <c r="D1597" s="29"/>
      <c r="E1597" s="29"/>
      <c r="F1597" s="30"/>
      <c r="G1597" s="30"/>
      <c r="H1597" s="30"/>
      <c r="I1597" s="30"/>
      <c r="J1597" s="30"/>
      <c r="K1597" s="30"/>
      <c r="L1597" s="29"/>
      <c r="M1597" s="29"/>
      <c r="N1597" s="29"/>
      <c r="O1597" s="29"/>
      <c r="P1597" s="29"/>
      <c r="Q1597" s="29"/>
      <c r="R1597" s="29"/>
      <c r="S1597" s="29"/>
      <c r="T1597" s="29"/>
      <c r="U1597" s="31"/>
      <c r="V1597" s="31"/>
      <c r="W1597" s="31"/>
      <c r="X1597" s="31"/>
      <c r="Y1597" s="31"/>
    </row>
    <row r="1598" spans="1:25" x14ac:dyDescent="0.2">
      <c r="A1598" s="29"/>
      <c r="B1598" s="29"/>
      <c r="C1598" s="29"/>
      <c r="D1598" s="29"/>
      <c r="E1598" s="29"/>
      <c r="F1598" s="30"/>
      <c r="G1598" s="30"/>
      <c r="H1598" s="30"/>
      <c r="I1598" s="30"/>
      <c r="J1598" s="30"/>
      <c r="K1598" s="30"/>
      <c r="L1598" s="29"/>
      <c r="M1598" s="29"/>
      <c r="N1598" s="29"/>
      <c r="O1598" s="29"/>
      <c r="P1598" s="29"/>
      <c r="Q1598" s="29"/>
      <c r="R1598" s="29"/>
      <c r="S1598" s="29"/>
      <c r="T1598" s="29"/>
      <c r="U1598" s="31"/>
      <c r="V1598" s="31"/>
      <c r="W1598" s="31"/>
      <c r="X1598" s="31"/>
      <c r="Y1598" s="31"/>
    </row>
    <row r="1599" spans="1:25" x14ac:dyDescent="0.2">
      <c r="A1599" s="29"/>
      <c r="B1599" s="29"/>
      <c r="C1599" s="29"/>
      <c r="D1599" s="29"/>
      <c r="E1599" s="29"/>
      <c r="F1599" s="30"/>
      <c r="G1599" s="30"/>
      <c r="H1599" s="30"/>
      <c r="I1599" s="30"/>
      <c r="J1599" s="30"/>
      <c r="K1599" s="30"/>
      <c r="L1599" s="29"/>
      <c r="M1599" s="29"/>
      <c r="N1599" s="29"/>
      <c r="O1599" s="29"/>
      <c r="P1599" s="29"/>
      <c r="Q1599" s="29"/>
      <c r="R1599" s="29"/>
      <c r="S1599" s="29"/>
      <c r="T1599" s="29"/>
      <c r="U1599" s="31"/>
      <c r="V1599" s="31"/>
      <c r="W1599" s="31"/>
      <c r="X1599" s="31"/>
      <c r="Y1599" s="31"/>
    </row>
    <row r="1600" spans="1:25" x14ac:dyDescent="0.2">
      <c r="A1600" s="29"/>
      <c r="B1600" s="29"/>
      <c r="C1600" s="29"/>
      <c r="D1600" s="29"/>
      <c r="E1600" s="29"/>
      <c r="F1600" s="30"/>
      <c r="G1600" s="30"/>
      <c r="H1600" s="30"/>
      <c r="I1600" s="30"/>
      <c r="J1600" s="30"/>
      <c r="K1600" s="30"/>
      <c r="L1600" s="29"/>
      <c r="M1600" s="29"/>
      <c r="N1600" s="29"/>
      <c r="O1600" s="29"/>
      <c r="P1600" s="29"/>
      <c r="Q1600" s="29"/>
      <c r="R1600" s="29"/>
      <c r="S1600" s="29"/>
      <c r="T1600" s="29"/>
      <c r="U1600" s="31"/>
      <c r="V1600" s="31"/>
      <c r="W1600" s="31"/>
      <c r="X1600" s="31"/>
      <c r="Y1600" s="31"/>
    </row>
    <row r="1601" spans="1:25" x14ac:dyDescent="0.2">
      <c r="A1601" s="29"/>
      <c r="B1601" s="29"/>
      <c r="C1601" s="29"/>
      <c r="D1601" s="29"/>
      <c r="E1601" s="29"/>
      <c r="F1601" s="30"/>
      <c r="G1601" s="30"/>
      <c r="H1601" s="30"/>
      <c r="I1601" s="30"/>
      <c r="J1601" s="30"/>
      <c r="K1601" s="30"/>
      <c r="L1601" s="29"/>
      <c r="M1601" s="29"/>
      <c r="N1601" s="29"/>
      <c r="O1601" s="29"/>
      <c r="P1601" s="29"/>
      <c r="Q1601" s="29"/>
      <c r="R1601" s="29"/>
      <c r="S1601" s="29"/>
      <c r="T1601" s="29"/>
      <c r="U1601" s="31"/>
      <c r="V1601" s="31"/>
      <c r="W1601" s="31"/>
      <c r="X1601" s="31"/>
      <c r="Y1601" s="31"/>
    </row>
    <row r="1602" spans="1:25" x14ac:dyDescent="0.2">
      <c r="A1602" s="29"/>
      <c r="B1602" s="29"/>
      <c r="C1602" s="29"/>
      <c r="D1602" s="29"/>
      <c r="E1602" s="29"/>
      <c r="F1602" s="30"/>
      <c r="G1602" s="30"/>
      <c r="H1602" s="30"/>
      <c r="I1602" s="30"/>
      <c r="J1602" s="30"/>
      <c r="K1602" s="30"/>
      <c r="L1602" s="29"/>
      <c r="M1602" s="29"/>
      <c r="N1602" s="29"/>
      <c r="O1602" s="29"/>
      <c r="P1602" s="29"/>
      <c r="Q1602" s="29"/>
      <c r="R1602" s="29"/>
      <c r="S1602" s="29"/>
      <c r="T1602" s="29"/>
      <c r="U1602" s="31"/>
      <c r="V1602" s="31"/>
      <c r="W1602" s="31"/>
      <c r="X1602" s="31"/>
      <c r="Y1602" s="31"/>
    </row>
    <row r="1603" spans="1:25" x14ac:dyDescent="0.2">
      <c r="A1603" s="29"/>
      <c r="B1603" s="29"/>
      <c r="C1603" s="29"/>
      <c r="D1603" s="29"/>
      <c r="E1603" s="29"/>
      <c r="F1603" s="30"/>
      <c r="G1603" s="30"/>
      <c r="H1603" s="30"/>
      <c r="I1603" s="30"/>
      <c r="J1603" s="30"/>
      <c r="K1603" s="30"/>
      <c r="L1603" s="29"/>
      <c r="M1603" s="29"/>
      <c r="N1603" s="29"/>
      <c r="O1603" s="29"/>
      <c r="P1603" s="29"/>
      <c r="Q1603" s="29"/>
      <c r="R1603" s="29"/>
      <c r="S1603" s="29"/>
      <c r="T1603" s="29"/>
      <c r="U1603" s="31"/>
      <c r="V1603" s="31"/>
      <c r="W1603" s="31"/>
      <c r="X1603" s="31"/>
      <c r="Y1603" s="31"/>
    </row>
    <row r="1604" spans="1:25" x14ac:dyDescent="0.2">
      <c r="A1604" s="29"/>
      <c r="B1604" s="29"/>
      <c r="C1604" s="29"/>
      <c r="D1604" s="29"/>
      <c r="E1604" s="29"/>
      <c r="F1604" s="30"/>
      <c r="G1604" s="30"/>
      <c r="H1604" s="30"/>
      <c r="I1604" s="30"/>
      <c r="J1604" s="30"/>
      <c r="K1604" s="30"/>
      <c r="L1604" s="29"/>
      <c r="M1604" s="29"/>
      <c r="N1604" s="29"/>
      <c r="O1604" s="29"/>
      <c r="P1604" s="29"/>
      <c r="Q1604" s="29"/>
      <c r="R1604" s="29"/>
      <c r="S1604" s="29"/>
      <c r="T1604" s="29"/>
      <c r="U1604" s="31"/>
      <c r="V1604" s="31"/>
      <c r="W1604" s="31"/>
      <c r="X1604" s="31"/>
      <c r="Y1604" s="31"/>
    </row>
    <row r="1605" spans="1:25" x14ac:dyDescent="0.2">
      <c r="A1605" s="29"/>
      <c r="B1605" s="29"/>
      <c r="C1605" s="29"/>
      <c r="D1605" s="29"/>
      <c r="E1605" s="29"/>
      <c r="F1605" s="30"/>
      <c r="G1605" s="30"/>
      <c r="H1605" s="30"/>
      <c r="I1605" s="30"/>
      <c r="J1605" s="30"/>
      <c r="K1605" s="30"/>
      <c r="L1605" s="29"/>
      <c r="M1605" s="29"/>
      <c r="N1605" s="29"/>
      <c r="O1605" s="29"/>
      <c r="P1605" s="29"/>
      <c r="Q1605" s="29"/>
      <c r="R1605" s="29"/>
      <c r="S1605" s="29"/>
      <c r="T1605" s="29"/>
      <c r="U1605" s="31"/>
      <c r="V1605" s="31"/>
      <c r="W1605" s="31"/>
      <c r="X1605" s="31"/>
      <c r="Y1605" s="31"/>
    </row>
    <row r="1606" spans="1:25" x14ac:dyDescent="0.2">
      <c r="A1606" s="29"/>
      <c r="B1606" s="29"/>
      <c r="C1606" s="29"/>
      <c r="D1606" s="29"/>
      <c r="E1606" s="29"/>
      <c r="F1606" s="30"/>
      <c r="G1606" s="30"/>
      <c r="H1606" s="30"/>
      <c r="I1606" s="30"/>
      <c r="J1606" s="30"/>
      <c r="K1606" s="30"/>
      <c r="L1606" s="29"/>
      <c r="M1606" s="29"/>
      <c r="N1606" s="29"/>
      <c r="O1606" s="29"/>
      <c r="P1606" s="29"/>
      <c r="Q1606" s="29"/>
      <c r="R1606" s="29"/>
      <c r="S1606" s="29"/>
      <c r="T1606" s="29"/>
      <c r="U1606" s="31"/>
      <c r="V1606" s="31"/>
      <c r="W1606" s="31"/>
      <c r="X1606" s="31"/>
      <c r="Y1606" s="31"/>
    </row>
    <row r="1607" spans="1:25" x14ac:dyDescent="0.2">
      <c r="A1607" s="29"/>
      <c r="B1607" s="29"/>
      <c r="C1607" s="29"/>
      <c r="D1607" s="29"/>
      <c r="E1607" s="29"/>
      <c r="F1607" s="30"/>
      <c r="G1607" s="30"/>
      <c r="H1607" s="30"/>
      <c r="I1607" s="30"/>
      <c r="J1607" s="30"/>
      <c r="K1607" s="30"/>
      <c r="L1607" s="29"/>
      <c r="M1607" s="29"/>
      <c r="N1607" s="29"/>
      <c r="O1607" s="29"/>
      <c r="P1607" s="29"/>
      <c r="Q1607" s="29"/>
      <c r="R1607" s="29"/>
      <c r="S1607" s="29"/>
      <c r="T1607" s="29"/>
      <c r="U1607" s="31"/>
      <c r="V1607" s="31"/>
      <c r="W1607" s="31"/>
      <c r="X1607" s="31"/>
      <c r="Y1607" s="31"/>
    </row>
    <row r="1608" spans="1:25" x14ac:dyDescent="0.2">
      <c r="A1608" s="29"/>
      <c r="B1608" s="29"/>
      <c r="C1608" s="29"/>
      <c r="D1608" s="29"/>
      <c r="E1608" s="29"/>
      <c r="F1608" s="30"/>
      <c r="G1608" s="30"/>
      <c r="H1608" s="30"/>
      <c r="I1608" s="30"/>
      <c r="J1608" s="30"/>
      <c r="K1608" s="30"/>
      <c r="L1608" s="29"/>
      <c r="M1608" s="29"/>
      <c r="N1608" s="29"/>
      <c r="O1608" s="29"/>
      <c r="P1608" s="29"/>
      <c r="Q1608" s="29"/>
      <c r="R1608" s="29"/>
      <c r="S1608" s="29"/>
      <c r="T1608" s="29"/>
      <c r="U1608" s="31"/>
      <c r="V1608" s="31"/>
      <c r="W1608" s="31"/>
      <c r="X1608" s="31"/>
      <c r="Y1608" s="31"/>
    </row>
    <row r="1609" spans="1:25" x14ac:dyDescent="0.2">
      <c r="A1609" s="29"/>
      <c r="B1609" s="29"/>
      <c r="C1609" s="29"/>
      <c r="D1609" s="29"/>
      <c r="E1609" s="29"/>
      <c r="F1609" s="30"/>
      <c r="G1609" s="30"/>
      <c r="H1609" s="30"/>
      <c r="I1609" s="30"/>
      <c r="J1609" s="30"/>
      <c r="K1609" s="30"/>
      <c r="L1609" s="29"/>
      <c r="M1609" s="29"/>
      <c r="N1609" s="29"/>
      <c r="O1609" s="29"/>
      <c r="P1609" s="29"/>
      <c r="Q1609" s="29"/>
      <c r="R1609" s="29"/>
      <c r="S1609" s="29"/>
      <c r="T1609" s="29"/>
      <c r="U1609" s="31"/>
      <c r="V1609" s="31"/>
      <c r="W1609" s="31"/>
      <c r="X1609" s="31"/>
      <c r="Y1609" s="31"/>
    </row>
    <row r="1610" spans="1:25" x14ac:dyDescent="0.2">
      <c r="A1610" s="29"/>
      <c r="B1610" s="29"/>
      <c r="C1610" s="29"/>
      <c r="D1610" s="29"/>
      <c r="E1610" s="29"/>
      <c r="F1610" s="30"/>
      <c r="G1610" s="30"/>
      <c r="H1610" s="30"/>
      <c r="I1610" s="30"/>
      <c r="J1610" s="30"/>
      <c r="K1610" s="30"/>
      <c r="L1610" s="29"/>
      <c r="M1610" s="29"/>
      <c r="N1610" s="29"/>
      <c r="O1610" s="29"/>
      <c r="P1610" s="29"/>
      <c r="Q1610" s="29"/>
      <c r="R1610" s="29"/>
      <c r="S1610" s="29"/>
      <c r="T1610" s="29"/>
      <c r="U1610" s="31"/>
      <c r="V1610" s="31"/>
      <c r="W1610" s="31"/>
      <c r="X1610" s="31"/>
      <c r="Y1610" s="31"/>
    </row>
    <row r="1611" spans="1:25" x14ac:dyDescent="0.2">
      <c r="A1611" s="29"/>
      <c r="B1611" s="29"/>
      <c r="C1611" s="29"/>
      <c r="D1611" s="29"/>
      <c r="E1611" s="29"/>
      <c r="F1611" s="30"/>
      <c r="G1611" s="30"/>
      <c r="H1611" s="30"/>
      <c r="I1611" s="30"/>
      <c r="J1611" s="30"/>
      <c r="K1611" s="30"/>
      <c r="L1611" s="29"/>
      <c r="M1611" s="29"/>
      <c r="N1611" s="29"/>
      <c r="O1611" s="29"/>
      <c r="P1611" s="29"/>
      <c r="Q1611" s="29"/>
      <c r="R1611" s="29"/>
      <c r="S1611" s="29"/>
      <c r="T1611" s="29"/>
      <c r="U1611" s="31"/>
      <c r="V1611" s="31"/>
      <c r="W1611" s="31"/>
      <c r="X1611" s="31"/>
      <c r="Y1611" s="31"/>
    </row>
    <row r="1612" spans="1:25" x14ac:dyDescent="0.2">
      <c r="A1612" s="29"/>
      <c r="B1612" s="29"/>
      <c r="C1612" s="29"/>
      <c r="D1612" s="29"/>
      <c r="E1612" s="29"/>
      <c r="F1612" s="30"/>
      <c r="G1612" s="30"/>
      <c r="H1612" s="30"/>
      <c r="I1612" s="30"/>
      <c r="J1612" s="30"/>
      <c r="K1612" s="30"/>
      <c r="L1612" s="29"/>
      <c r="M1612" s="29"/>
      <c r="N1612" s="29"/>
      <c r="O1612" s="29"/>
      <c r="P1612" s="29"/>
      <c r="Q1612" s="29"/>
      <c r="R1612" s="29"/>
      <c r="S1612" s="29"/>
      <c r="T1612" s="29"/>
      <c r="U1612" s="31"/>
      <c r="V1612" s="31"/>
      <c r="W1612" s="31"/>
      <c r="X1612" s="31"/>
      <c r="Y1612" s="31"/>
    </row>
    <row r="1613" spans="1:25" x14ac:dyDescent="0.2">
      <c r="A1613" s="29"/>
      <c r="B1613" s="29"/>
      <c r="C1613" s="29"/>
      <c r="D1613" s="29"/>
      <c r="E1613" s="29"/>
      <c r="F1613" s="30"/>
      <c r="G1613" s="30"/>
      <c r="H1613" s="30"/>
      <c r="I1613" s="30"/>
      <c r="J1613" s="30"/>
      <c r="K1613" s="30"/>
      <c r="L1613" s="29"/>
      <c r="M1613" s="29"/>
      <c r="N1613" s="29"/>
      <c r="O1613" s="29"/>
      <c r="P1613" s="29"/>
      <c r="Q1613" s="29"/>
      <c r="R1613" s="29"/>
      <c r="S1613" s="29"/>
      <c r="T1613" s="29"/>
      <c r="U1613" s="31"/>
      <c r="V1613" s="31"/>
      <c r="W1613" s="31"/>
      <c r="X1613" s="31"/>
      <c r="Y1613" s="31"/>
    </row>
    <row r="1614" spans="1:25" x14ac:dyDescent="0.2">
      <c r="A1614" s="29"/>
      <c r="B1614" s="29"/>
      <c r="C1614" s="29"/>
      <c r="D1614" s="29"/>
      <c r="E1614" s="29"/>
      <c r="F1614" s="30"/>
      <c r="G1614" s="30"/>
      <c r="H1614" s="30"/>
      <c r="I1614" s="30"/>
      <c r="J1614" s="30"/>
      <c r="K1614" s="30"/>
      <c r="L1614" s="29"/>
      <c r="M1614" s="29"/>
      <c r="N1614" s="29"/>
      <c r="O1614" s="29"/>
      <c r="P1614" s="29"/>
      <c r="Q1614" s="29"/>
      <c r="R1614" s="29"/>
      <c r="S1614" s="29"/>
      <c r="T1614" s="29"/>
      <c r="U1614" s="31"/>
      <c r="V1614" s="31"/>
      <c r="W1614" s="31"/>
      <c r="X1614" s="31"/>
      <c r="Y1614" s="31"/>
    </row>
    <row r="1615" spans="1:25" x14ac:dyDescent="0.2">
      <c r="A1615" s="29"/>
      <c r="B1615" s="29"/>
      <c r="C1615" s="29"/>
      <c r="D1615" s="29"/>
      <c r="E1615" s="29"/>
      <c r="F1615" s="30"/>
      <c r="G1615" s="30"/>
      <c r="H1615" s="30"/>
      <c r="I1615" s="30"/>
      <c r="J1615" s="30"/>
      <c r="K1615" s="30"/>
      <c r="L1615" s="29"/>
      <c r="M1615" s="29"/>
      <c r="N1615" s="29"/>
      <c r="O1615" s="29"/>
      <c r="P1615" s="29"/>
      <c r="Q1615" s="29"/>
      <c r="R1615" s="29"/>
      <c r="S1615" s="29"/>
      <c r="T1615" s="29"/>
      <c r="U1615" s="31"/>
      <c r="V1615" s="31"/>
      <c r="W1615" s="31"/>
      <c r="X1615" s="31"/>
      <c r="Y1615" s="31"/>
    </row>
    <row r="1616" spans="1:25" x14ac:dyDescent="0.2">
      <c r="A1616" s="29"/>
      <c r="B1616" s="29"/>
      <c r="C1616" s="29"/>
      <c r="D1616" s="29"/>
      <c r="E1616" s="29"/>
      <c r="F1616" s="30"/>
      <c r="G1616" s="30"/>
      <c r="H1616" s="30"/>
      <c r="I1616" s="30"/>
      <c r="J1616" s="30"/>
      <c r="K1616" s="30"/>
      <c r="L1616" s="29"/>
      <c r="M1616" s="29"/>
      <c r="N1616" s="29"/>
      <c r="O1616" s="29"/>
      <c r="P1616" s="29"/>
      <c r="Q1616" s="29"/>
      <c r="R1616" s="29"/>
      <c r="S1616" s="29"/>
      <c r="T1616" s="29"/>
      <c r="U1616" s="31"/>
      <c r="V1616" s="31"/>
      <c r="W1616" s="31"/>
      <c r="X1616" s="31"/>
      <c r="Y1616" s="31"/>
    </row>
    <row r="1617" spans="1:25" x14ac:dyDescent="0.2">
      <c r="A1617" s="29"/>
      <c r="B1617" s="29"/>
      <c r="C1617" s="29"/>
      <c r="D1617" s="29"/>
      <c r="E1617" s="29"/>
      <c r="F1617" s="30"/>
      <c r="G1617" s="30"/>
      <c r="H1617" s="30"/>
      <c r="I1617" s="30"/>
      <c r="J1617" s="30"/>
      <c r="K1617" s="30"/>
      <c r="L1617" s="29"/>
      <c r="M1617" s="29"/>
      <c r="N1617" s="29"/>
      <c r="O1617" s="29"/>
      <c r="P1617" s="29"/>
      <c r="Q1617" s="29"/>
      <c r="R1617" s="29"/>
      <c r="S1617" s="29"/>
      <c r="T1617" s="29"/>
      <c r="U1617" s="31"/>
      <c r="V1617" s="31"/>
      <c r="W1617" s="31"/>
      <c r="X1617" s="31"/>
      <c r="Y1617" s="31"/>
    </row>
    <row r="1618" spans="1:25" x14ac:dyDescent="0.2">
      <c r="A1618" s="29"/>
      <c r="B1618" s="29"/>
      <c r="C1618" s="29"/>
      <c r="D1618" s="29"/>
      <c r="E1618" s="29"/>
      <c r="F1618" s="30"/>
      <c r="G1618" s="30"/>
      <c r="H1618" s="30"/>
      <c r="I1618" s="30"/>
      <c r="J1618" s="30"/>
      <c r="K1618" s="30"/>
      <c r="L1618" s="29"/>
      <c r="M1618" s="29"/>
      <c r="N1618" s="29"/>
      <c r="O1618" s="29"/>
      <c r="P1618" s="29"/>
      <c r="Q1618" s="29"/>
      <c r="R1618" s="29"/>
      <c r="S1618" s="29"/>
      <c r="T1618" s="29"/>
      <c r="U1618" s="31"/>
      <c r="V1618" s="31"/>
      <c r="W1618" s="31"/>
      <c r="X1618" s="31"/>
      <c r="Y1618" s="31"/>
    </row>
    <row r="1619" spans="1:25" x14ac:dyDescent="0.2">
      <c r="A1619" s="29"/>
      <c r="B1619" s="29"/>
      <c r="C1619" s="29"/>
      <c r="D1619" s="29"/>
      <c r="E1619" s="29"/>
      <c r="F1619" s="30"/>
      <c r="G1619" s="30"/>
      <c r="H1619" s="30"/>
      <c r="I1619" s="30"/>
      <c r="J1619" s="30"/>
      <c r="K1619" s="30"/>
      <c r="L1619" s="29"/>
      <c r="M1619" s="29"/>
      <c r="N1619" s="29"/>
      <c r="O1619" s="29"/>
      <c r="P1619" s="29"/>
      <c r="Q1619" s="29"/>
      <c r="R1619" s="29"/>
      <c r="S1619" s="29"/>
      <c r="T1619" s="29"/>
      <c r="U1619" s="31"/>
      <c r="V1619" s="31"/>
      <c r="W1619" s="31"/>
      <c r="X1619" s="31"/>
      <c r="Y1619" s="31"/>
    </row>
    <row r="1620" spans="1:25" x14ac:dyDescent="0.2">
      <c r="A1620" s="29"/>
      <c r="B1620" s="29"/>
      <c r="C1620" s="29"/>
      <c r="D1620" s="29"/>
      <c r="E1620" s="29"/>
      <c r="F1620" s="30"/>
      <c r="G1620" s="30"/>
      <c r="H1620" s="30"/>
      <c r="I1620" s="30"/>
      <c r="J1620" s="30"/>
      <c r="K1620" s="30"/>
      <c r="L1620" s="29"/>
      <c r="M1620" s="29"/>
      <c r="N1620" s="29"/>
      <c r="O1620" s="29"/>
      <c r="P1620" s="29"/>
      <c r="Q1620" s="29"/>
      <c r="R1620" s="29"/>
      <c r="S1620" s="29"/>
      <c r="T1620" s="29"/>
      <c r="U1620" s="31"/>
      <c r="V1620" s="31"/>
      <c r="W1620" s="31"/>
      <c r="X1620" s="31"/>
      <c r="Y1620" s="31"/>
    </row>
    <row r="1621" spans="1:25" x14ac:dyDescent="0.2">
      <c r="A1621" s="29"/>
      <c r="B1621" s="29"/>
      <c r="C1621" s="29"/>
      <c r="D1621" s="29"/>
      <c r="E1621" s="29"/>
      <c r="F1621" s="30"/>
      <c r="G1621" s="30"/>
      <c r="H1621" s="30"/>
      <c r="I1621" s="30"/>
      <c r="J1621" s="30"/>
      <c r="K1621" s="30"/>
      <c r="L1621" s="29"/>
      <c r="M1621" s="29"/>
      <c r="N1621" s="29"/>
      <c r="O1621" s="29"/>
      <c r="P1621" s="29"/>
      <c r="Q1621" s="29"/>
      <c r="R1621" s="29"/>
      <c r="S1621" s="29"/>
      <c r="T1621" s="29"/>
      <c r="U1621" s="31"/>
      <c r="V1621" s="31"/>
      <c r="W1621" s="31"/>
      <c r="X1621" s="31"/>
      <c r="Y1621" s="31"/>
    </row>
    <row r="1622" spans="1:25" x14ac:dyDescent="0.2">
      <c r="A1622" s="29"/>
      <c r="B1622" s="29"/>
      <c r="C1622" s="29"/>
      <c r="D1622" s="29"/>
      <c r="E1622" s="29"/>
      <c r="F1622" s="30"/>
      <c r="G1622" s="30"/>
      <c r="H1622" s="30"/>
      <c r="I1622" s="30"/>
      <c r="J1622" s="30"/>
      <c r="K1622" s="30"/>
      <c r="L1622" s="29"/>
      <c r="M1622" s="29"/>
      <c r="N1622" s="29"/>
      <c r="O1622" s="29"/>
      <c r="P1622" s="29"/>
      <c r="Q1622" s="29"/>
      <c r="R1622" s="29"/>
      <c r="S1622" s="29"/>
      <c r="T1622" s="29"/>
      <c r="U1622" s="31"/>
      <c r="V1622" s="31"/>
      <c r="W1622" s="31"/>
      <c r="X1622" s="31"/>
      <c r="Y1622" s="31"/>
    </row>
    <row r="1623" spans="1:25" x14ac:dyDescent="0.2">
      <c r="A1623" s="29"/>
      <c r="B1623" s="29"/>
      <c r="C1623" s="29"/>
      <c r="D1623" s="29"/>
      <c r="E1623" s="29"/>
      <c r="F1623" s="30"/>
      <c r="G1623" s="30"/>
      <c r="H1623" s="30"/>
      <c r="I1623" s="30"/>
      <c r="J1623" s="30"/>
      <c r="K1623" s="30"/>
      <c r="L1623" s="29"/>
      <c r="M1623" s="29"/>
      <c r="N1623" s="29"/>
      <c r="O1623" s="29"/>
      <c r="P1623" s="29"/>
      <c r="Q1623" s="29"/>
      <c r="R1623" s="29"/>
      <c r="S1623" s="29"/>
      <c r="T1623" s="29"/>
      <c r="U1623" s="31"/>
      <c r="V1623" s="31"/>
      <c r="W1623" s="31"/>
      <c r="X1623" s="31"/>
      <c r="Y1623" s="31"/>
    </row>
    <row r="1624" spans="1:25" x14ac:dyDescent="0.2">
      <c r="A1624" s="29"/>
      <c r="B1624" s="29"/>
      <c r="C1624" s="29"/>
      <c r="D1624" s="29"/>
      <c r="E1624" s="29"/>
      <c r="F1624" s="30"/>
      <c r="G1624" s="30"/>
      <c r="H1624" s="30"/>
      <c r="I1624" s="30"/>
      <c r="J1624" s="30"/>
      <c r="K1624" s="30"/>
      <c r="L1624" s="29"/>
      <c r="M1624" s="29"/>
      <c r="N1624" s="29"/>
      <c r="O1624" s="29"/>
      <c r="P1624" s="29"/>
      <c r="Q1624" s="29"/>
      <c r="R1624" s="29"/>
      <c r="S1624" s="29"/>
      <c r="T1624" s="29"/>
      <c r="U1624" s="31"/>
      <c r="V1624" s="31"/>
      <c r="W1624" s="31"/>
      <c r="X1624" s="31"/>
      <c r="Y1624" s="31"/>
    </row>
    <row r="1625" spans="1:25" x14ac:dyDescent="0.2">
      <c r="A1625" s="29"/>
      <c r="B1625" s="29"/>
      <c r="C1625" s="29"/>
      <c r="D1625" s="29"/>
      <c r="E1625" s="29"/>
      <c r="F1625" s="30"/>
      <c r="G1625" s="30"/>
      <c r="H1625" s="30"/>
      <c r="I1625" s="30"/>
      <c r="J1625" s="30"/>
      <c r="K1625" s="30"/>
      <c r="L1625" s="29"/>
      <c r="M1625" s="29"/>
      <c r="N1625" s="29"/>
      <c r="O1625" s="29"/>
      <c r="P1625" s="29"/>
      <c r="Q1625" s="29"/>
      <c r="R1625" s="29"/>
      <c r="S1625" s="29"/>
      <c r="T1625" s="29"/>
      <c r="U1625" s="31"/>
      <c r="V1625" s="31"/>
      <c r="W1625" s="31"/>
      <c r="X1625" s="31"/>
      <c r="Y1625" s="31"/>
    </row>
    <row r="1626" spans="1:25" x14ac:dyDescent="0.2">
      <c r="A1626" s="29"/>
      <c r="B1626" s="29"/>
      <c r="C1626" s="29"/>
      <c r="D1626" s="29"/>
      <c r="E1626" s="29"/>
      <c r="F1626" s="30"/>
      <c r="G1626" s="30"/>
      <c r="H1626" s="30"/>
      <c r="I1626" s="30"/>
      <c r="J1626" s="30"/>
      <c r="K1626" s="30"/>
      <c r="L1626" s="29"/>
      <c r="M1626" s="29"/>
      <c r="N1626" s="29"/>
      <c r="O1626" s="29"/>
      <c r="P1626" s="29"/>
      <c r="Q1626" s="29"/>
      <c r="R1626" s="29"/>
      <c r="S1626" s="29"/>
      <c r="T1626" s="29"/>
      <c r="U1626" s="31"/>
      <c r="V1626" s="31"/>
      <c r="W1626" s="31"/>
      <c r="X1626" s="31"/>
      <c r="Y1626" s="31"/>
    </row>
    <row r="1627" spans="1:25" x14ac:dyDescent="0.2">
      <c r="A1627" s="29"/>
      <c r="B1627" s="29"/>
      <c r="C1627" s="29"/>
      <c r="D1627" s="29"/>
      <c r="E1627" s="29"/>
      <c r="F1627" s="30"/>
      <c r="G1627" s="30"/>
      <c r="H1627" s="30"/>
      <c r="I1627" s="30"/>
      <c r="J1627" s="30"/>
      <c r="K1627" s="30"/>
      <c r="L1627" s="29"/>
      <c r="M1627" s="29"/>
      <c r="N1627" s="29"/>
      <c r="O1627" s="29"/>
      <c r="P1627" s="29"/>
      <c r="Q1627" s="29"/>
      <c r="R1627" s="29"/>
      <c r="S1627" s="29"/>
      <c r="T1627" s="29"/>
      <c r="U1627" s="31"/>
      <c r="V1627" s="31"/>
      <c r="W1627" s="31"/>
      <c r="X1627" s="31"/>
      <c r="Y1627" s="31"/>
    </row>
    <row r="1628" spans="1:25" x14ac:dyDescent="0.2">
      <c r="A1628" s="29"/>
      <c r="B1628" s="29"/>
      <c r="C1628" s="29"/>
      <c r="D1628" s="29"/>
      <c r="E1628" s="29"/>
      <c r="F1628" s="30"/>
      <c r="G1628" s="30"/>
      <c r="H1628" s="30"/>
      <c r="I1628" s="30"/>
      <c r="J1628" s="30"/>
      <c r="K1628" s="30"/>
      <c r="L1628" s="29"/>
      <c r="M1628" s="29"/>
      <c r="N1628" s="29"/>
      <c r="O1628" s="29"/>
      <c r="P1628" s="29"/>
      <c r="Q1628" s="29"/>
      <c r="R1628" s="29"/>
      <c r="S1628" s="29"/>
      <c r="T1628" s="29"/>
      <c r="U1628" s="31"/>
      <c r="V1628" s="31"/>
      <c r="W1628" s="31"/>
      <c r="X1628" s="31"/>
      <c r="Y1628" s="31"/>
    </row>
    <row r="1629" spans="1:25" x14ac:dyDescent="0.2">
      <c r="A1629" s="29"/>
      <c r="B1629" s="29"/>
      <c r="C1629" s="29"/>
      <c r="D1629" s="29"/>
      <c r="E1629" s="29"/>
      <c r="F1629" s="30"/>
      <c r="G1629" s="30"/>
      <c r="H1629" s="30"/>
      <c r="I1629" s="30"/>
      <c r="J1629" s="30"/>
      <c r="K1629" s="30"/>
      <c r="L1629" s="29"/>
      <c r="M1629" s="29"/>
      <c r="N1629" s="29"/>
      <c r="O1629" s="29"/>
      <c r="P1629" s="29"/>
      <c r="Q1629" s="29"/>
      <c r="R1629" s="29"/>
      <c r="S1629" s="29"/>
      <c r="T1629" s="29"/>
      <c r="U1629" s="31"/>
      <c r="V1629" s="31"/>
      <c r="W1629" s="31"/>
      <c r="X1629" s="31"/>
      <c r="Y1629" s="31"/>
    </row>
    <row r="1630" spans="1:25" x14ac:dyDescent="0.2">
      <c r="A1630" s="29"/>
      <c r="B1630" s="29"/>
      <c r="C1630" s="29"/>
      <c r="D1630" s="29"/>
      <c r="E1630" s="29"/>
      <c r="F1630" s="30"/>
      <c r="G1630" s="30"/>
      <c r="H1630" s="30"/>
      <c r="I1630" s="30"/>
      <c r="J1630" s="30"/>
      <c r="K1630" s="30"/>
      <c r="L1630" s="29"/>
      <c r="M1630" s="29"/>
      <c r="N1630" s="29"/>
      <c r="O1630" s="29"/>
      <c r="P1630" s="29"/>
      <c r="Q1630" s="29"/>
      <c r="R1630" s="29"/>
      <c r="S1630" s="29"/>
      <c r="T1630" s="29"/>
      <c r="U1630" s="31"/>
      <c r="V1630" s="31"/>
      <c r="W1630" s="31"/>
      <c r="X1630" s="31"/>
      <c r="Y1630" s="31"/>
    </row>
    <row r="1631" spans="1:25" x14ac:dyDescent="0.2">
      <c r="A1631" s="29"/>
      <c r="B1631" s="29"/>
      <c r="C1631" s="29"/>
      <c r="D1631" s="29"/>
      <c r="E1631" s="29"/>
      <c r="F1631" s="30"/>
      <c r="G1631" s="30"/>
      <c r="H1631" s="30"/>
      <c r="I1631" s="30"/>
      <c r="J1631" s="30"/>
      <c r="K1631" s="30"/>
      <c r="L1631" s="29"/>
      <c r="M1631" s="29"/>
      <c r="N1631" s="29"/>
      <c r="O1631" s="29"/>
      <c r="P1631" s="29"/>
      <c r="Q1631" s="29"/>
      <c r="R1631" s="29"/>
      <c r="S1631" s="29"/>
      <c r="T1631" s="29"/>
      <c r="U1631" s="31"/>
      <c r="V1631" s="31"/>
      <c r="W1631" s="31"/>
      <c r="X1631" s="31"/>
      <c r="Y1631" s="31"/>
    </row>
    <row r="1632" spans="1:25" x14ac:dyDescent="0.2">
      <c r="A1632" s="29"/>
      <c r="B1632" s="29"/>
      <c r="C1632" s="29"/>
      <c r="D1632" s="29"/>
      <c r="E1632" s="29"/>
      <c r="F1632" s="30"/>
      <c r="G1632" s="30"/>
      <c r="H1632" s="30"/>
      <c r="I1632" s="30"/>
      <c r="J1632" s="30"/>
      <c r="K1632" s="30"/>
      <c r="L1632" s="29"/>
      <c r="M1632" s="29"/>
      <c r="N1632" s="29"/>
      <c r="O1632" s="29"/>
      <c r="P1632" s="29"/>
      <c r="Q1632" s="29"/>
      <c r="R1632" s="29"/>
      <c r="S1632" s="29"/>
      <c r="T1632" s="29"/>
      <c r="U1632" s="31"/>
      <c r="V1632" s="31"/>
      <c r="W1632" s="31"/>
      <c r="X1632" s="31"/>
      <c r="Y1632" s="31"/>
    </row>
    <row r="1633" spans="1:25" x14ac:dyDescent="0.2">
      <c r="A1633" s="29"/>
      <c r="B1633" s="29"/>
      <c r="C1633" s="29"/>
      <c r="D1633" s="29"/>
      <c r="E1633" s="29"/>
      <c r="F1633" s="30"/>
      <c r="G1633" s="30"/>
      <c r="H1633" s="30"/>
      <c r="I1633" s="30"/>
      <c r="J1633" s="30"/>
      <c r="K1633" s="30"/>
      <c r="L1633" s="29"/>
      <c r="M1633" s="29"/>
      <c r="N1633" s="29"/>
      <c r="O1633" s="29"/>
      <c r="P1633" s="29"/>
      <c r="Q1633" s="29"/>
      <c r="R1633" s="29"/>
      <c r="S1633" s="29"/>
      <c r="T1633" s="29"/>
      <c r="U1633" s="31"/>
      <c r="V1633" s="31"/>
      <c r="W1633" s="31"/>
      <c r="X1633" s="31"/>
      <c r="Y1633" s="31"/>
    </row>
    <row r="1634" spans="1:25" x14ac:dyDescent="0.2">
      <c r="A1634" s="29"/>
      <c r="B1634" s="29"/>
      <c r="C1634" s="29"/>
      <c r="D1634" s="29"/>
      <c r="E1634" s="29"/>
      <c r="F1634" s="30"/>
      <c r="G1634" s="30"/>
      <c r="H1634" s="30"/>
      <c r="I1634" s="30"/>
      <c r="J1634" s="30"/>
      <c r="K1634" s="30"/>
      <c r="L1634" s="29"/>
      <c r="M1634" s="29"/>
      <c r="N1634" s="29"/>
      <c r="O1634" s="29"/>
      <c r="P1634" s="29"/>
      <c r="Q1634" s="29"/>
      <c r="R1634" s="29"/>
      <c r="S1634" s="29"/>
      <c r="T1634" s="29"/>
      <c r="U1634" s="31"/>
      <c r="V1634" s="31"/>
      <c r="W1634" s="31"/>
      <c r="X1634" s="31"/>
      <c r="Y1634" s="31"/>
    </row>
    <row r="1635" spans="1:25" x14ac:dyDescent="0.2">
      <c r="A1635" s="29"/>
      <c r="B1635" s="29"/>
      <c r="C1635" s="29"/>
      <c r="D1635" s="29"/>
      <c r="E1635" s="29"/>
      <c r="F1635" s="30"/>
      <c r="G1635" s="30"/>
      <c r="H1635" s="30"/>
      <c r="I1635" s="30"/>
      <c r="J1635" s="30"/>
      <c r="K1635" s="30"/>
      <c r="L1635" s="29"/>
      <c r="M1635" s="29"/>
      <c r="N1635" s="29"/>
      <c r="O1635" s="29"/>
      <c r="P1635" s="29"/>
      <c r="Q1635" s="29"/>
      <c r="R1635" s="29"/>
      <c r="S1635" s="29"/>
      <c r="T1635" s="29"/>
      <c r="U1635" s="31"/>
      <c r="V1635" s="31"/>
      <c r="W1635" s="31"/>
      <c r="X1635" s="31"/>
      <c r="Y1635" s="31"/>
    </row>
    <row r="1636" spans="1:25" x14ac:dyDescent="0.2">
      <c r="A1636" s="29"/>
      <c r="B1636" s="29"/>
      <c r="C1636" s="29"/>
      <c r="D1636" s="29"/>
      <c r="E1636" s="29"/>
      <c r="F1636" s="30"/>
      <c r="G1636" s="30"/>
      <c r="H1636" s="30"/>
      <c r="I1636" s="30"/>
      <c r="J1636" s="30"/>
      <c r="K1636" s="30"/>
      <c r="L1636" s="29"/>
      <c r="M1636" s="29"/>
      <c r="N1636" s="29"/>
      <c r="O1636" s="29"/>
      <c r="P1636" s="29"/>
      <c r="Q1636" s="29"/>
      <c r="R1636" s="29"/>
      <c r="S1636" s="29"/>
      <c r="T1636" s="29"/>
      <c r="U1636" s="31"/>
      <c r="V1636" s="31"/>
      <c r="W1636" s="31"/>
      <c r="X1636" s="31"/>
      <c r="Y1636" s="31"/>
    </row>
    <row r="1637" spans="1:25" x14ac:dyDescent="0.2">
      <c r="A1637" s="29"/>
      <c r="B1637" s="29"/>
      <c r="C1637" s="29"/>
      <c r="D1637" s="29"/>
      <c r="E1637" s="29"/>
      <c r="F1637" s="30"/>
      <c r="G1637" s="30"/>
      <c r="H1637" s="30"/>
      <c r="I1637" s="30"/>
      <c r="J1637" s="30"/>
      <c r="K1637" s="30"/>
      <c r="L1637" s="29"/>
      <c r="M1637" s="29"/>
      <c r="N1637" s="29"/>
      <c r="O1637" s="29"/>
      <c r="P1637" s="29"/>
      <c r="Q1637" s="29"/>
      <c r="R1637" s="29"/>
      <c r="S1637" s="29"/>
      <c r="T1637" s="29"/>
      <c r="U1637" s="31"/>
      <c r="V1637" s="31"/>
      <c r="W1637" s="31"/>
      <c r="X1637" s="31"/>
      <c r="Y1637" s="31"/>
    </row>
    <row r="1638" spans="1:25" x14ac:dyDescent="0.2">
      <c r="A1638" s="29"/>
      <c r="B1638" s="29"/>
      <c r="C1638" s="29"/>
      <c r="D1638" s="29"/>
      <c r="E1638" s="29"/>
      <c r="F1638" s="30"/>
      <c r="G1638" s="30"/>
      <c r="H1638" s="30"/>
      <c r="I1638" s="30"/>
      <c r="J1638" s="30"/>
      <c r="K1638" s="30"/>
      <c r="L1638" s="29"/>
      <c r="M1638" s="29"/>
      <c r="N1638" s="29"/>
      <c r="O1638" s="29"/>
      <c r="P1638" s="29"/>
      <c r="Q1638" s="29"/>
      <c r="R1638" s="29"/>
      <c r="S1638" s="29"/>
      <c r="T1638" s="29"/>
      <c r="U1638" s="31"/>
      <c r="V1638" s="31"/>
      <c r="W1638" s="31"/>
      <c r="X1638" s="31"/>
      <c r="Y1638" s="31"/>
    </row>
    <row r="1639" spans="1:25" x14ac:dyDescent="0.2">
      <c r="A1639" s="29"/>
      <c r="B1639" s="29"/>
      <c r="C1639" s="29"/>
      <c r="D1639" s="29"/>
      <c r="E1639" s="29"/>
      <c r="F1639" s="30"/>
      <c r="G1639" s="30"/>
      <c r="H1639" s="30"/>
      <c r="I1639" s="30"/>
      <c r="J1639" s="30"/>
      <c r="K1639" s="30"/>
      <c r="L1639" s="29"/>
      <c r="M1639" s="29"/>
      <c r="N1639" s="29"/>
      <c r="O1639" s="29"/>
      <c r="P1639" s="29"/>
      <c r="Q1639" s="29"/>
      <c r="R1639" s="29"/>
      <c r="S1639" s="29"/>
      <c r="T1639" s="29"/>
      <c r="U1639" s="31"/>
      <c r="V1639" s="31"/>
      <c r="W1639" s="31"/>
      <c r="X1639" s="31"/>
      <c r="Y1639" s="31"/>
    </row>
    <row r="1640" spans="1:25" x14ac:dyDescent="0.2">
      <c r="A1640" s="29"/>
      <c r="B1640" s="29"/>
      <c r="C1640" s="29"/>
      <c r="D1640" s="29"/>
      <c r="E1640" s="29"/>
      <c r="F1640" s="30"/>
      <c r="G1640" s="30"/>
      <c r="H1640" s="30"/>
      <c r="I1640" s="30"/>
      <c r="J1640" s="30"/>
      <c r="K1640" s="30"/>
      <c r="L1640" s="29"/>
      <c r="M1640" s="29"/>
      <c r="N1640" s="29"/>
      <c r="O1640" s="29"/>
      <c r="P1640" s="29"/>
      <c r="Q1640" s="29"/>
      <c r="R1640" s="29"/>
      <c r="S1640" s="29"/>
      <c r="T1640" s="29"/>
      <c r="U1640" s="31"/>
      <c r="V1640" s="31"/>
      <c r="W1640" s="31"/>
      <c r="X1640" s="31"/>
      <c r="Y1640" s="31"/>
    </row>
    <row r="1641" spans="1:25" x14ac:dyDescent="0.2">
      <c r="A1641" s="29"/>
      <c r="B1641" s="29"/>
      <c r="C1641" s="29"/>
      <c r="D1641" s="29"/>
      <c r="E1641" s="29"/>
      <c r="F1641" s="30"/>
      <c r="G1641" s="30"/>
      <c r="H1641" s="30"/>
      <c r="I1641" s="30"/>
      <c r="J1641" s="30"/>
      <c r="K1641" s="30"/>
      <c r="L1641" s="29"/>
      <c r="M1641" s="29"/>
      <c r="N1641" s="29"/>
      <c r="O1641" s="29"/>
      <c r="P1641" s="29"/>
      <c r="Q1641" s="29"/>
      <c r="R1641" s="29"/>
      <c r="S1641" s="29"/>
      <c r="T1641" s="29"/>
      <c r="U1641" s="31"/>
      <c r="V1641" s="31"/>
      <c r="W1641" s="31"/>
      <c r="X1641" s="31"/>
      <c r="Y1641" s="31"/>
    </row>
    <row r="1642" spans="1:25" x14ac:dyDescent="0.2">
      <c r="A1642" s="29"/>
      <c r="B1642" s="29"/>
      <c r="C1642" s="29"/>
      <c r="D1642" s="29"/>
      <c r="E1642" s="29"/>
      <c r="F1642" s="30"/>
      <c r="G1642" s="30"/>
      <c r="H1642" s="30"/>
      <c r="I1642" s="30"/>
      <c r="J1642" s="30"/>
      <c r="K1642" s="30"/>
      <c r="L1642" s="29"/>
      <c r="M1642" s="29"/>
      <c r="N1642" s="29"/>
      <c r="O1642" s="29"/>
      <c r="P1642" s="29"/>
      <c r="Q1642" s="29"/>
      <c r="R1642" s="29"/>
      <c r="S1642" s="29"/>
      <c r="T1642" s="29"/>
      <c r="U1642" s="31"/>
      <c r="V1642" s="31"/>
      <c r="W1642" s="31"/>
      <c r="X1642" s="31"/>
      <c r="Y1642" s="31"/>
    </row>
    <row r="1643" spans="1:25" x14ac:dyDescent="0.2">
      <c r="A1643" s="29"/>
      <c r="B1643" s="29"/>
      <c r="C1643" s="29"/>
      <c r="D1643" s="29"/>
      <c r="E1643" s="29"/>
      <c r="F1643" s="30"/>
      <c r="G1643" s="30"/>
      <c r="H1643" s="30"/>
      <c r="I1643" s="30"/>
      <c r="J1643" s="30"/>
      <c r="K1643" s="30"/>
      <c r="L1643" s="29"/>
      <c r="M1643" s="29"/>
      <c r="N1643" s="29"/>
      <c r="O1643" s="29"/>
      <c r="P1643" s="29"/>
      <c r="Q1643" s="29"/>
      <c r="R1643" s="29"/>
      <c r="S1643" s="29"/>
      <c r="T1643" s="29"/>
      <c r="U1643" s="31"/>
      <c r="V1643" s="31"/>
      <c r="W1643" s="31"/>
      <c r="X1643" s="31"/>
      <c r="Y1643" s="31"/>
    </row>
    <row r="1644" spans="1:25" x14ac:dyDescent="0.2">
      <c r="A1644" s="29"/>
      <c r="B1644" s="29"/>
      <c r="C1644" s="29"/>
      <c r="D1644" s="29"/>
      <c r="E1644" s="29"/>
      <c r="F1644" s="30"/>
      <c r="G1644" s="30"/>
      <c r="H1644" s="30"/>
      <c r="I1644" s="30"/>
      <c r="J1644" s="30"/>
      <c r="K1644" s="30"/>
      <c r="L1644" s="29"/>
      <c r="M1644" s="29"/>
      <c r="N1644" s="29"/>
      <c r="O1644" s="29"/>
      <c r="P1644" s="29"/>
      <c r="Q1644" s="29"/>
      <c r="R1644" s="29"/>
      <c r="S1644" s="29"/>
      <c r="T1644" s="29"/>
      <c r="U1644" s="31"/>
      <c r="V1644" s="31"/>
      <c r="W1644" s="31"/>
      <c r="X1644" s="31"/>
      <c r="Y1644" s="31"/>
    </row>
    <row r="1645" spans="1:25" x14ac:dyDescent="0.2">
      <c r="A1645" s="29"/>
      <c r="B1645" s="29"/>
      <c r="C1645" s="29"/>
      <c r="D1645" s="29"/>
      <c r="E1645" s="29"/>
      <c r="F1645" s="30"/>
      <c r="G1645" s="30"/>
      <c r="H1645" s="30"/>
      <c r="I1645" s="30"/>
      <c r="J1645" s="30"/>
      <c r="K1645" s="30"/>
      <c r="L1645" s="29"/>
      <c r="M1645" s="29"/>
      <c r="N1645" s="29"/>
      <c r="O1645" s="29"/>
      <c r="P1645" s="29"/>
      <c r="Q1645" s="29"/>
      <c r="R1645" s="29"/>
      <c r="S1645" s="29"/>
      <c r="T1645" s="29"/>
      <c r="U1645" s="31"/>
      <c r="V1645" s="31"/>
      <c r="W1645" s="31"/>
      <c r="X1645" s="31"/>
      <c r="Y1645" s="31"/>
    </row>
    <row r="1646" spans="1:25" x14ac:dyDescent="0.2">
      <c r="A1646" s="29"/>
      <c r="B1646" s="29"/>
      <c r="C1646" s="29"/>
      <c r="D1646" s="29"/>
      <c r="E1646" s="29"/>
      <c r="F1646" s="30"/>
      <c r="G1646" s="30"/>
      <c r="H1646" s="30"/>
      <c r="I1646" s="30"/>
      <c r="J1646" s="30"/>
      <c r="K1646" s="30"/>
      <c r="L1646" s="29"/>
      <c r="M1646" s="29"/>
      <c r="N1646" s="29"/>
      <c r="O1646" s="29"/>
      <c r="P1646" s="29"/>
      <c r="Q1646" s="29"/>
      <c r="R1646" s="29"/>
      <c r="S1646" s="29"/>
      <c r="T1646" s="29"/>
      <c r="U1646" s="31"/>
      <c r="V1646" s="31"/>
      <c r="W1646" s="31"/>
      <c r="X1646" s="31"/>
      <c r="Y1646" s="31"/>
    </row>
    <row r="1647" spans="1:25" x14ac:dyDescent="0.2">
      <c r="A1647" s="29"/>
      <c r="B1647" s="29"/>
      <c r="C1647" s="29"/>
      <c r="D1647" s="29"/>
      <c r="E1647" s="29"/>
      <c r="F1647" s="30"/>
      <c r="G1647" s="30"/>
      <c r="H1647" s="30"/>
      <c r="I1647" s="30"/>
      <c r="J1647" s="30"/>
      <c r="K1647" s="30"/>
      <c r="L1647" s="29"/>
      <c r="M1647" s="29"/>
      <c r="N1647" s="29"/>
      <c r="O1647" s="29"/>
      <c r="P1647" s="29"/>
      <c r="Q1647" s="29"/>
      <c r="R1647" s="29"/>
      <c r="S1647" s="29"/>
      <c r="T1647" s="29"/>
      <c r="U1647" s="31"/>
      <c r="V1647" s="31"/>
      <c r="W1647" s="31"/>
      <c r="X1647" s="31"/>
      <c r="Y1647" s="31"/>
    </row>
    <row r="1648" spans="1:25" x14ac:dyDescent="0.2">
      <c r="A1648" s="29"/>
      <c r="B1648" s="29"/>
      <c r="C1648" s="29"/>
      <c r="D1648" s="29"/>
      <c r="E1648" s="29"/>
      <c r="F1648" s="30"/>
      <c r="G1648" s="30"/>
      <c r="H1648" s="30"/>
      <c r="I1648" s="30"/>
      <c r="J1648" s="30"/>
      <c r="K1648" s="30"/>
      <c r="L1648" s="29"/>
      <c r="M1648" s="29"/>
      <c r="N1648" s="29"/>
      <c r="O1648" s="29"/>
      <c r="P1648" s="29"/>
      <c r="Q1648" s="29"/>
      <c r="R1648" s="29"/>
      <c r="S1648" s="29"/>
      <c r="T1648" s="29"/>
      <c r="U1648" s="31"/>
      <c r="V1648" s="31"/>
      <c r="W1648" s="31"/>
      <c r="X1648" s="31"/>
      <c r="Y1648" s="31"/>
    </row>
    <row r="1649" spans="1:25" x14ac:dyDescent="0.2">
      <c r="A1649" s="29"/>
      <c r="B1649" s="29"/>
      <c r="C1649" s="29"/>
      <c r="D1649" s="29"/>
      <c r="E1649" s="29"/>
      <c r="F1649" s="30"/>
      <c r="G1649" s="30"/>
      <c r="H1649" s="30"/>
      <c r="I1649" s="30"/>
      <c r="J1649" s="30"/>
      <c r="K1649" s="30"/>
      <c r="L1649" s="29"/>
      <c r="M1649" s="29"/>
      <c r="N1649" s="29"/>
      <c r="O1649" s="29"/>
      <c r="P1649" s="29"/>
      <c r="Q1649" s="29"/>
      <c r="R1649" s="29"/>
      <c r="S1649" s="29"/>
      <c r="T1649" s="29"/>
      <c r="U1649" s="31"/>
      <c r="V1649" s="31"/>
      <c r="W1649" s="31"/>
      <c r="X1649" s="31"/>
      <c r="Y1649" s="31"/>
    </row>
    <row r="1650" spans="1:25" x14ac:dyDescent="0.2">
      <c r="A1650" s="29"/>
      <c r="B1650" s="29"/>
      <c r="C1650" s="29"/>
      <c r="D1650" s="29"/>
      <c r="E1650" s="29"/>
      <c r="F1650" s="30"/>
      <c r="G1650" s="30"/>
      <c r="H1650" s="30"/>
      <c r="I1650" s="30"/>
      <c r="J1650" s="30"/>
      <c r="K1650" s="30"/>
      <c r="L1650" s="29"/>
      <c r="M1650" s="29"/>
      <c r="N1650" s="29"/>
      <c r="O1650" s="29"/>
      <c r="P1650" s="29"/>
      <c r="Q1650" s="29"/>
      <c r="R1650" s="29"/>
      <c r="S1650" s="29"/>
      <c r="T1650" s="29"/>
      <c r="U1650" s="31"/>
      <c r="V1650" s="31"/>
      <c r="W1650" s="31"/>
      <c r="X1650" s="31"/>
      <c r="Y1650" s="31"/>
    </row>
    <row r="1651" spans="1:25" x14ac:dyDescent="0.2">
      <c r="A1651" s="29"/>
      <c r="B1651" s="29"/>
      <c r="C1651" s="29"/>
      <c r="D1651" s="29"/>
      <c r="E1651" s="29"/>
      <c r="F1651" s="30"/>
      <c r="G1651" s="30"/>
      <c r="H1651" s="30"/>
      <c r="I1651" s="30"/>
      <c r="J1651" s="30"/>
      <c r="K1651" s="30"/>
      <c r="L1651" s="29"/>
      <c r="M1651" s="29"/>
      <c r="N1651" s="29"/>
      <c r="O1651" s="29"/>
      <c r="P1651" s="29"/>
      <c r="Q1651" s="29"/>
      <c r="R1651" s="29"/>
      <c r="S1651" s="29"/>
      <c r="T1651" s="29"/>
      <c r="U1651" s="31"/>
      <c r="V1651" s="31"/>
      <c r="W1651" s="31"/>
      <c r="X1651" s="31"/>
      <c r="Y1651" s="31"/>
    </row>
    <row r="1652" spans="1:25" x14ac:dyDescent="0.2">
      <c r="A1652" s="29"/>
      <c r="B1652" s="29"/>
      <c r="C1652" s="29"/>
      <c r="D1652" s="29"/>
      <c r="E1652" s="29"/>
      <c r="F1652" s="30"/>
      <c r="G1652" s="30"/>
      <c r="H1652" s="30"/>
      <c r="I1652" s="30"/>
      <c r="J1652" s="30"/>
      <c r="K1652" s="30"/>
      <c r="L1652" s="29"/>
      <c r="M1652" s="29"/>
      <c r="N1652" s="29"/>
      <c r="O1652" s="29"/>
      <c r="P1652" s="29"/>
      <c r="Q1652" s="29"/>
      <c r="R1652" s="29"/>
      <c r="S1652" s="29"/>
      <c r="T1652" s="29"/>
      <c r="U1652" s="31"/>
      <c r="V1652" s="31"/>
      <c r="W1652" s="31"/>
      <c r="X1652" s="31"/>
      <c r="Y1652" s="31"/>
    </row>
    <row r="1653" spans="1:25" x14ac:dyDescent="0.2">
      <c r="A1653" s="29"/>
      <c r="B1653" s="29"/>
      <c r="C1653" s="29"/>
      <c r="D1653" s="29"/>
      <c r="E1653" s="29"/>
      <c r="F1653" s="30"/>
      <c r="G1653" s="30"/>
      <c r="H1653" s="30"/>
      <c r="I1653" s="30"/>
      <c r="J1653" s="30"/>
      <c r="K1653" s="30"/>
      <c r="L1653" s="29"/>
      <c r="M1653" s="29"/>
      <c r="N1653" s="29"/>
      <c r="O1653" s="29"/>
      <c r="P1653" s="29"/>
      <c r="Q1653" s="29"/>
      <c r="R1653" s="29"/>
      <c r="S1653" s="29"/>
      <c r="T1653" s="29"/>
      <c r="U1653" s="31"/>
      <c r="V1653" s="31"/>
      <c r="W1653" s="31"/>
      <c r="X1653" s="31"/>
      <c r="Y1653" s="31"/>
    </row>
    <row r="1654" spans="1:25" x14ac:dyDescent="0.2">
      <c r="A1654" s="29"/>
      <c r="B1654" s="29"/>
      <c r="C1654" s="29"/>
      <c r="D1654" s="29"/>
      <c r="E1654" s="29"/>
      <c r="F1654" s="30"/>
      <c r="G1654" s="30"/>
      <c r="H1654" s="30"/>
      <c r="I1654" s="30"/>
      <c r="J1654" s="30"/>
      <c r="K1654" s="30"/>
      <c r="L1654" s="29"/>
      <c r="M1654" s="29"/>
      <c r="N1654" s="29"/>
      <c r="O1654" s="29"/>
      <c r="P1654" s="29"/>
      <c r="Q1654" s="29"/>
      <c r="R1654" s="29"/>
      <c r="S1654" s="29"/>
      <c r="T1654" s="29"/>
      <c r="U1654" s="31"/>
      <c r="V1654" s="31"/>
      <c r="W1654" s="31"/>
      <c r="X1654" s="31"/>
      <c r="Y1654" s="31"/>
    </row>
    <row r="1655" spans="1:25" x14ac:dyDescent="0.2">
      <c r="A1655" s="29"/>
      <c r="B1655" s="29"/>
      <c r="C1655" s="29"/>
      <c r="D1655" s="29"/>
      <c r="E1655" s="29"/>
      <c r="F1655" s="30"/>
      <c r="G1655" s="30"/>
      <c r="H1655" s="30"/>
      <c r="I1655" s="30"/>
      <c r="J1655" s="30"/>
      <c r="K1655" s="30"/>
      <c r="L1655" s="29"/>
      <c r="M1655" s="29"/>
      <c r="N1655" s="29"/>
      <c r="O1655" s="29"/>
      <c r="P1655" s="29"/>
      <c r="Q1655" s="29"/>
      <c r="R1655" s="29"/>
      <c r="S1655" s="29"/>
      <c r="T1655" s="29"/>
      <c r="U1655" s="31"/>
      <c r="V1655" s="31"/>
      <c r="W1655" s="31"/>
      <c r="X1655" s="31"/>
      <c r="Y1655" s="31"/>
    </row>
    <row r="1656" spans="1:25" x14ac:dyDescent="0.2">
      <c r="A1656" s="29"/>
      <c r="B1656" s="29"/>
      <c r="C1656" s="29"/>
      <c r="D1656" s="29"/>
      <c r="E1656" s="29"/>
      <c r="F1656" s="30"/>
      <c r="G1656" s="30"/>
      <c r="H1656" s="30"/>
      <c r="I1656" s="30"/>
      <c r="J1656" s="30"/>
      <c r="K1656" s="30"/>
      <c r="L1656" s="29"/>
      <c r="M1656" s="29"/>
      <c r="N1656" s="29"/>
      <c r="O1656" s="29"/>
      <c r="P1656" s="29"/>
      <c r="Q1656" s="29"/>
      <c r="R1656" s="29"/>
      <c r="S1656" s="29"/>
      <c r="T1656" s="29"/>
      <c r="U1656" s="31"/>
      <c r="V1656" s="31"/>
      <c r="W1656" s="31"/>
      <c r="X1656" s="31"/>
      <c r="Y1656" s="31"/>
    </row>
    <row r="1657" spans="1:25" x14ac:dyDescent="0.2">
      <c r="A1657" s="29"/>
      <c r="B1657" s="29"/>
      <c r="C1657" s="29"/>
      <c r="D1657" s="29"/>
      <c r="E1657" s="29"/>
      <c r="F1657" s="30"/>
      <c r="G1657" s="30"/>
      <c r="H1657" s="30"/>
      <c r="I1657" s="30"/>
      <c r="J1657" s="30"/>
      <c r="K1657" s="30"/>
      <c r="L1657" s="29"/>
      <c r="M1657" s="29"/>
      <c r="N1657" s="29"/>
      <c r="O1657" s="29"/>
      <c r="P1657" s="29"/>
      <c r="Q1657" s="29"/>
      <c r="R1657" s="29"/>
      <c r="S1657" s="29"/>
      <c r="T1657" s="29"/>
      <c r="U1657" s="31"/>
      <c r="V1657" s="31"/>
      <c r="W1657" s="31"/>
      <c r="X1657" s="31"/>
      <c r="Y1657" s="31"/>
    </row>
    <row r="1658" spans="1:25" x14ac:dyDescent="0.2">
      <c r="A1658" s="29"/>
      <c r="B1658" s="29"/>
      <c r="C1658" s="29"/>
      <c r="D1658" s="29"/>
      <c r="E1658" s="29"/>
      <c r="F1658" s="30"/>
      <c r="G1658" s="30"/>
      <c r="H1658" s="30"/>
      <c r="I1658" s="30"/>
      <c r="J1658" s="30"/>
      <c r="K1658" s="30"/>
      <c r="L1658" s="29"/>
      <c r="M1658" s="29"/>
      <c r="N1658" s="29"/>
      <c r="O1658" s="29"/>
      <c r="P1658" s="29"/>
      <c r="Q1658" s="29"/>
      <c r="R1658" s="29"/>
      <c r="S1658" s="29"/>
      <c r="T1658" s="29"/>
      <c r="U1658" s="31"/>
      <c r="V1658" s="31"/>
      <c r="W1658" s="31"/>
      <c r="X1658" s="31"/>
      <c r="Y1658" s="31"/>
    </row>
    <row r="1659" spans="1:25" x14ac:dyDescent="0.2">
      <c r="A1659" s="29"/>
      <c r="B1659" s="29"/>
      <c r="C1659" s="29"/>
      <c r="D1659" s="29"/>
      <c r="E1659" s="29"/>
      <c r="F1659" s="30"/>
      <c r="G1659" s="30"/>
      <c r="H1659" s="30"/>
      <c r="I1659" s="30"/>
      <c r="J1659" s="30"/>
      <c r="K1659" s="30"/>
      <c r="L1659" s="29"/>
      <c r="M1659" s="29"/>
      <c r="N1659" s="29"/>
      <c r="O1659" s="29"/>
      <c r="P1659" s="29"/>
      <c r="Q1659" s="29"/>
      <c r="R1659" s="29"/>
      <c r="S1659" s="29"/>
      <c r="T1659" s="29"/>
      <c r="U1659" s="31"/>
      <c r="V1659" s="31"/>
      <c r="W1659" s="31"/>
      <c r="X1659" s="31"/>
      <c r="Y1659" s="31"/>
    </row>
    <row r="1660" spans="1:25" x14ac:dyDescent="0.2">
      <c r="A1660" s="29"/>
      <c r="B1660" s="29"/>
      <c r="C1660" s="29"/>
      <c r="D1660" s="29"/>
      <c r="E1660" s="29"/>
      <c r="F1660" s="30"/>
      <c r="G1660" s="30"/>
      <c r="H1660" s="30"/>
      <c r="I1660" s="30"/>
      <c r="J1660" s="30"/>
      <c r="K1660" s="30"/>
      <c r="L1660" s="29"/>
      <c r="M1660" s="29"/>
      <c r="N1660" s="29"/>
      <c r="O1660" s="29"/>
      <c r="P1660" s="29"/>
      <c r="Q1660" s="29"/>
      <c r="R1660" s="29"/>
      <c r="S1660" s="29"/>
      <c r="T1660" s="29"/>
      <c r="U1660" s="31"/>
      <c r="V1660" s="31"/>
      <c r="W1660" s="31"/>
      <c r="X1660" s="31"/>
      <c r="Y1660" s="31"/>
    </row>
    <row r="1661" spans="1:25" x14ac:dyDescent="0.2">
      <c r="A1661" s="29"/>
      <c r="B1661" s="29"/>
      <c r="C1661" s="29"/>
      <c r="D1661" s="29"/>
      <c r="E1661" s="29"/>
      <c r="F1661" s="30"/>
      <c r="G1661" s="30"/>
      <c r="H1661" s="30"/>
      <c r="I1661" s="30"/>
      <c r="J1661" s="30"/>
      <c r="K1661" s="30"/>
      <c r="L1661" s="29"/>
      <c r="M1661" s="29"/>
      <c r="N1661" s="29"/>
      <c r="O1661" s="29"/>
      <c r="P1661" s="29"/>
      <c r="Q1661" s="29"/>
      <c r="R1661" s="29"/>
      <c r="S1661" s="29"/>
      <c r="T1661" s="29"/>
      <c r="U1661" s="31"/>
      <c r="V1661" s="31"/>
      <c r="W1661" s="31"/>
      <c r="X1661" s="31"/>
      <c r="Y1661" s="31"/>
    </row>
    <row r="1662" spans="1:25" x14ac:dyDescent="0.2">
      <c r="A1662" s="29"/>
      <c r="B1662" s="29"/>
      <c r="C1662" s="29"/>
      <c r="D1662" s="29"/>
      <c r="E1662" s="29"/>
      <c r="F1662" s="30"/>
      <c r="G1662" s="30"/>
      <c r="H1662" s="30"/>
      <c r="I1662" s="30"/>
      <c r="J1662" s="30"/>
      <c r="K1662" s="30"/>
      <c r="L1662" s="29"/>
      <c r="M1662" s="29"/>
      <c r="N1662" s="29"/>
      <c r="O1662" s="29"/>
      <c r="P1662" s="29"/>
      <c r="Q1662" s="29"/>
      <c r="R1662" s="29"/>
      <c r="S1662" s="29"/>
      <c r="T1662" s="29"/>
      <c r="U1662" s="31"/>
      <c r="V1662" s="31"/>
      <c r="W1662" s="31"/>
      <c r="X1662" s="31"/>
      <c r="Y1662" s="31"/>
    </row>
    <row r="1663" spans="1:25" x14ac:dyDescent="0.2">
      <c r="A1663" s="29"/>
      <c r="B1663" s="29"/>
      <c r="C1663" s="29"/>
      <c r="D1663" s="29"/>
      <c r="E1663" s="29"/>
      <c r="F1663" s="30"/>
      <c r="G1663" s="30"/>
      <c r="H1663" s="30"/>
      <c r="I1663" s="30"/>
      <c r="J1663" s="30"/>
      <c r="K1663" s="30"/>
      <c r="L1663" s="29"/>
      <c r="M1663" s="29"/>
      <c r="N1663" s="29"/>
      <c r="O1663" s="29"/>
      <c r="P1663" s="29"/>
      <c r="Q1663" s="29"/>
      <c r="R1663" s="29"/>
      <c r="S1663" s="29"/>
      <c r="T1663" s="29"/>
      <c r="U1663" s="31"/>
      <c r="V1663" s="31"/>
      <c r="W1663" s="31"/>
      <c r="X1663" s="31"/>
      <c r="Y1663" s="31"/>
    </row>
    <row r="1664" spans="1:25" x14ac:dyDescent="0.2">
      <c r="A1664" s="29"/>
      <c r="B1664" s="29"/>
      <c r="C1664" s="29"/>
      <c r="D1664" s="29"/>
      <c r="E1664" s="29"/>
      <c r="F1664" s="30"/>
      <c r="G1664" s="30"/>
      <c r="H1664" s="30"/>
      <c r="I1664" s="30"/>
      <c r="J1664" s="30"/>
      <c r="K1664" s="30"/>
      <c r="L1664" s="29"/>
      <c r="M1664" s="29"/>
      <c r="N1664" s="29"/>
      <c r="O1664" s="29"/>
      <c r="P1664" s="29"/>
      <c r="Q1664" s="29"/>
      <c r="R1664" s="29"/>
      <c r="S1664" s="29"/>
      <c r="T1664" s="29"/>
      <c r="U1664" s="31"/>
      <c r="V1664" s="31"/>
      <c r="W1664" s="31"/>
      <c r="X1664" s="31"/>
      <c r="Y1664" s="31"/>
    </row>
    <row r="1665" spans="1:25" x14ac:dyDescent="0.2">
      <c r="A1665" s="29"/>
      <c r="B1665" s="29"/>
      <c r="C1665" s="29"/>
      <c r="D1665" s="29"/>
      <c r="E1665" s="29"/>
      <c r="F1665" s="30"/>
      <c r="G1665" s="30"/>
      <c r="H1665" s="30"/>
      <c r="I1665" s="30"/>
      <c r="J1665" s="30"/>
      <c r="K1665" s="30"/>
      <c r="L1665" s="29"/>
      <c r="M1665" s="29"/>
      <c r="N1665" s="29"/>
      <c r="O1665" s="29"/>
      <c r="P1665" s="29"/>
      <c r="Q1665" s="29"/>
      <c r="R1665" s="29"/>
      <c r="S1665" s="29"/>
      <c r="T1665" s="29"/>
      <c r="U1665" s="31"/>
      <c r="V1665" s="31"/>
      <c r="W1665" s="31"/>
      <c r="X1665" s="31"/>
      <c r="Y1665" s="31"/>
    </row>
    <row r="1666" spans="1:25" x14ac:dyDescent="0.2">
      <c r="A1666" s="29"/>
      <c r="B1666" s="29"/>
      <c r="C1666" s="29"/>
      <c r="D1666" s="29"/>
      <c r="E1666" s="29"/>
      <c r="F1666" s="30"/>
      <c r="G1666" s="30"/>
      <c r="H1666" s="30"/>
      <c r="I1666" s="30"/>
      <c r="J1666" s="30"/>
      <c r="K1666" s="30"/>
      <c r="L1666" s="29"/>
      <c r="M1666" s="29"/>
      <c r="N1666" s="29"/>
      <c r="O1666" s="29"/>
      <c r="P1666" s="29"/>
      <c r="Q1666" s="29"/>
      <c r="R1666" s="29"/>
      <c r="S1666" s="29"/>
      <c r="T1666" s="29"/>
      <c r="U1666" s="31"/>
      <c r="V1666" s="31"/>
      <c r="W1666" s="31"/>
      <c r="X1666" s="31"/>
      <c r="Y1666" s="31"/>
    </row>
    <row r="1667" spans="1:25" x14ac:dyDescent="0.2">
      <c r="A1667" s="29"/>
      <c r="B1667" s="29"/>
      <c r="C1667" s="29"/>
      <c r="D1667" s="29"/>
      <c r="E1667" s="29"/>
      <c r="F1667" s="30"/>
      <c r="G1667" s="30"/>
      <c r="H1667" s="30"/>
      <c r="I1667" s="30"/>
      <c r="J1667" s="30"/>
      <c r="K1667" s="30"/>
      <c r="L1667" s="29"/>
      <c r="M1667" s="29"/>
      <c r="N1667" s="29"/>
      <c r="O1667" s="29"/>
      <c r="P1667" s="29"/>
      <c r="Q1667" s="29"/>
      <c r="R1667" s="29"/>
      <c r="S1667" s="29"/>
      <c r="T1667" s="29"/>
      <c r="U1667" s="31"/>
      <c r="V1667" s="31"/>
      <c r="W1667" s="31"/>
      <c r="X1667" s="31"/>
      <c r="Y1667" s="31"/>
    </row>
    <row r="1668" spans="1:25" x14ac:dyDescent="0.2">
      <c r="A1668" s="29"/>
      <c r="B1668" s="29"/>
      <c r="C1668" s="29"/>
      <c r="D1668" s="29"/>
      <c r="E1668" s="29"/>
      <c r="F1668" s="30"/>
      <c r="G1668" s="30"/>
      <c r="H1668" s="30"/>
      <c r="I1668" s="30"/>
      <c r="J1668" s="30"/>
      <c r="K1668" s="30"/>
      <c r="L1668" s="29"/>
      <c r="M1668" s="29"/>
      <c r="N1668" s="29"/>
      <c r="O1668" s="29"/>
      <c r="P1668" s="29"/>
      <c r="Q1668" s="29"/>
      <c r="R1668" s="29"/>
      <c r="S1668" s="29"/>
      <c r="T1668" s="29"/>
      <c r="U1668" s="31"/>
      <c r="V1668" s="31"/>
      <c r="W1668" s="31"/>
      <c r="X1668" s="31"/>
      <c r="Y1668" s="31"/>
    </row>
    <row r="1669" spans="1:25" x14ac:dyDescent="0.2">
      <c r="A1669" s="29"/>
      <c r="B1669" s="29"/>
      <c r="C1669" s="29"/>
      <c r="D1669" s="29"/>
      <c r="E1669" s="29"/>
      <c r="F1669" s="30"/>
      <c r="G1669" s="30"/>
      <c r="H1669" s="30"/>
      <c r="I1669" s="30"/>
      <c r="J1669" s="30"/>
      <c r="K1669" s="30"/>
      <c r="L1669" s="29"/>
      <c r="M1669" s="29"/>
      <c r="N1669" s="29"/>
      <c r="O1669" s="29"/>
      <c r="P1669" s="29"/>
      <c r="Q1669" s="29"/>
      <c r="R1669" s="29"/>
      <c r="S1669" s="29"/>
      <c r="T1669" s="29"/>
      <c r="U1669" s="31"/>
      <c r="V1669" s="31"/>
      <c r="W1669" s="31"/>
      <c r="X1669" s="31"/>
      <c r="Y1669" s="31"/>
    </row>
    <row r="1670" spans="1:25" x14ac:dyDescent="0.2">
      <c r="A1670" s="29"/>
      <c r="B1670" s="29"/>
      <c r="C1670" s="29"/>
      <c r="D1670" s="29"/>
      <c r="E1670" s="29"/>
      <c r="F1670" s="30"/>
      <c r="G1670" s="30"/>
      <c r="H1670" s="30"/>
      <c r="I1670" s="30"/>
      <c r="J1670" s="30"/>
      <c r="K1670" s="30"/>
      <c r="L1670" s="29"/>
      <c r="M1670" s="29"/>
      <c r="N1670" s="29"/>
      <c r="O1670" s="29"/>
      <c r="P1670" s="29"/>
      <c r="Q1670" s="29"/>
      <c r="R1670" s="29"/>
      <c r="S1670" s="29"/>
      <c r="T1670" s="29"/>
      <c r="U1670" s="31"/>
      <c r="V1670" s="31"/>
      <c r="W1670" s="31"/>
      <c r="X1670" s="31"/>
      <c r="Y1670" s="31"/>
    </row>
    <row r="1671" spans="1:25" x14ac:dyDescent="0.2">
      <c r="A1671" s="29"/>
      <c r="B1671" s="29"/>
      <c r="C1671" s="29"/>
      <c r="D1671" s="29"/>
      <c r="E1671" s="29"/>
      <c r="F1671" s="30"/>
      <c r="G1671" s="30"/>
      <c r="H1671" s="30"/>
      <c r="I1671" s="30"/>
      <c r="J1671" s="30"/>
      <c r="K1671" s="30"/>
      <c r="L1671" s="29"/>
      <c r="M1671" s="29"/>
      <c r="N1671" s="29"/>
      <c r="O1671" s="29"/>
      <c r="P1671" s="29"/>
      <c r="Q1671" s="29"/>
      <c r="R1671" s="29"/>
      <c r="S1671" s="29"/>
      <c r="T1671" s="29"/>
      <c r="U1671" s="31"/>
      <c r="V1671" s="31"/>
      <c r="W1671" s="31"/>
      <c r="X1671" s="31"/>
      <c r="Y1671" s="31"/>
    </row>
    <row r="1672" spans="1:25" x14ac:dyDescent="0.2">
      <c r="A1672" s="29"/>
      <c r="B1672" s="29"/>
      <c r="C1672" s="29"/>
      <c r="D1672" s="29"/>
      <c r="E1672" s="29"/>
      <c r="F1672" s="30"/>
      <c r="G1672" s="30"/>
      <c r="H1672" s="30"/>
      <c r="I1672" s="30"/>
      <c r="J1672" s="30"/>
      <c r="K1672" s="30"/>
      <c r="L1672" s="29"/>
      <c r="M1672" s="29"/>
      <c r="N1672" s="29"/>
      <c r="O1672" s="29"/>
      <c r="P1672" s="29"/>
      <c r="Q1672" s="29"/>
      <c r="R1672" s="29"/>
      <c r="S1672" s="29"/>
      <c r="T1672" s="29"/>
      <c r="U1672" s="31"/>
      <c r="V1672" s="31"/>
      <c r="W1672" s="31"/>
      <c r="X1672" s="31"/>
      <c r="Y1672" s="31"/>
    </row>
    <row r="1673" spans="1:25" x14ac:dyDescent="0.2">
      <c r="A1673" s="29"/>
      <c r="B1673" s="29"/>
      <c r="C1673" s="29"/>
      <c r="D1673" s="29"/>
      <c r="E1673" s="29"/>
      <c r="F1673" s="30"/>
      <c r="G1673" s="30"/>
      <c r="H1673" s="30"/>
      <c r="I1673" s="30"/>
      <c r="J1673" s="30"/>
      <c r="K1673" s="30"/>
      <c r="L1673" s="29"/>
      <c r="M1673" s="29"/>
      <c r="N1673" s="29"/>
      <c r="O1673" s="29"/>
      <c r="P1673" s="29"/>
      <c r="Q1673" s="29"/>
      <c r="R1673" s="29"/>
      <c r="S1673" s="29"/>
      <c r="T1673" s="29"/>
      <c r="U1673" s="31"/>
      <c r="V1673" s="31"/>
      <c r="W1673" s="31"/>
      <c r="X1673" s="31"/>
      <c r="Y1673" s="31"/>
    </row>
    <row r="1674" spans="1:25" x14ac:dyDescent="0.2">
      <c r="A1674" s="29"/>
      <c r="B1674" s="29"/>
      <c r="C1674" s="29"/>
      <c r="D1674" s="29"/>
      <c r="E1674" s="29"/>
      <c r="F1674" s="30"/>
      <c r="G1674" s="30"/>
      <c r="H1674" s="30"/>
      <c r="I1674" s="30"/>
      <c r="J1674" s="30"/>
      <c r="K1674" s="30"/>
      <c r="L1674" s="29"/>
      <c r="M1674" s="29"/>
      <c r="N1674" s="29"/>
      <c r="O1674" s="29"/>
      <c r="P1674" s="29"/>
      <c r="Q1674" s="29"/>
      <c r="R1674" s="29"/>
      <c r="S1674" s="29"/>
      <c r="T1674" s="29"/>
      <c r="U1674" s="31"/>
      <c r="V1674" s="31"/>
      <c r="W1674" s="31"/>
      <c r="X1674" s="31"/>
      <c r="Y1674" s="31"/>
    </row>
    <row r="1675" spans="1:25" x14ac:dyDescent="0.2">
      <c r="A1675" s="29"/>
      <c r="B1675" s="29"/>
      <c r="C1675" s="29"/>
      <c r="D1675" s="29"/>
      <c r="E1675" s="29"/>
      <c r="F1675" s="30"/>
      <c r="G1675" s="30"/>
      <c r="H1675" s="30"/>
      <c r="I1675" s="30"/>
      <c r="J1675" s="30"/>
      <c r="K1675" s="30"/>
      <c r="L1675" s="29"/>
      <c r="M1675" s="29"/>
      <c r="N1675" s="29"/>
      <c r="O1675" s="29"/>
      <c r="P1675" s="29"/>
      <c r="Q1675" s="29"/>
      <c r="R1675" s="29"/>
      <c r="S1675" s="29"/>
      <c r="T1675" s="29"/>
      <c r="U1675" s="31"/>
      <c r="V1675" s="31"/>
      <c r="W1675" s="31"/>
      <c r="X1675" s="31"/>
      <c r="Y1675" s="31"/>
    </row>
    <row r="1676" spans="1:25" x14ac:dyDescent="0.2">
      <c r="A1676" s="29"/>
      <c r="B1676" s="29"/>
      <c r="C1676" s="29"/>
      <c r="D1676" s="29"/>
      <c r="E1676" s="29"/>
      <c r="F1676" s="30"/>
      <c r="G1676" s="30"/>
      <c r="H1676" s="30"/>
      <c r="I1676" s="30"/>
      <c r="J1676" s="30"/>
      <c r="K1676" s="30"/>
      <c r="L1676" s="29"/>
      <c r="M1676" s="29"/>
      <c r="N1676" s="29"/>
      <c r="O1676" s="29"/>
      <c r="P1676" s="29"/>
      <c r="Q1676" s="29"/>
      <c r="R1676" s="29"/>
      <c r="S1676" s="29"/>
      <c r="T1676" s="29"/>
      <c r="U1676" s="31"/>
      <c r="V1676" s="31"/>
      <c r="W1676" s="31"/>
      <c r="X1676" s="31"/>
      <c r="Y1676" s="31"/>
    </row>
    <row r="1677" spans="1:25" x14ac:dyDescent="0.2">
      <c r="A1677" s="29"/>
      <c r="B1677" s="29"/>
      <c r="C1677" s="29"/>
      <c r="D1677" s="29"/>
      <c r="E1677" s="29"/>
      <c r="F1677" s="30"/>
      <c r="G1677" s="30"/>
      <c r="H1677" s="30"/>
      <c r="I1677" s="30"/>
      <c r="J1677" s="30"/>
      <c r="K1677" s="30"/>
      <c r="L1677" s="29"/>
      <c r="M1677" s="29"/>
      <c r="N1677" s="29"/>
      <c r="O1677" s="29"/>
      <c r="P1677" s="29"/>
      <c r="Q1677" s="29"/>
      <c r="R1677" s="29"/>
      <c r="S1677" s="29"/>
      <c r="T1677" s="29"/>
      <c r="U1677" s="31"/>
      <c r="V1677" s="31"/>
      <c r="W1677" s="31"/>
      <c r="X1677" s="31"/>
      <c r="Y1677" s="31"/>
    </row>
    <row r="1678" spans="1:25" x14ac:dyDescent="0.2">
      <c r="A1678" s="29"/>
      <c r="B1678" s="29"/>
      <c r="C1678" s="29"/>
      <c r="D1678" s="29"/>
      <c r="E1678" s="29"/>
      <c r="F1678" s="30"/>
      <c r="G1678" s="30"/>
      <c r="H1678" s="30"/>
      <c r="I1678" s="30"/>
      <c r="J1678" s="30"/>
      <c r="K1678" s="30"/>
      <c r="L1678" s="29"/>
      <c r="M1678" s="29"/>
      <c r="N1678" s="29"/>
      <c r="O1678" s="29"/>
      <c r="P1678" s="29"/>
      <c r="Q1678" s="29"/>
      <c r="R1678" s="29"/>
      <c r="S1678" s="29"/>
      <c r="T1678" s="29"/>
      <c r="U1678" s="31"/>
      <c r="V1678" s="31"/>
      <c r="W1678" s="31"/>
      <c r="X1678" s="31"/>
      <c r="Y1678" s="31"/>
    </row>
    <row r="1679" spans="1:25" x14ac:dyDescent="0.2">
      <c r="A1679" s="29"/>
      <c r="B1679" s="29"/>
      <c r="C1679" s="29"/>
      <c r="D1679" s="29"/>
      <c r="E1679" s="29"/>
      <c r="F1679" s="30"/>
      <c r="G1679" s="30"/>
      <c r="H1679" s="30"/>
      <c r="I1679" s="30"/>
      <c r="J1679" s="30"/>
      <c r="K1679" s="30"/>
      <c r="L1679" s="29"/>
      <c r="M1679" s="29"/>
      <c r="N1679" s="29"/>
      <c r="O1679" s="29"/>
      <c r="P1679" s="29"/>
      <c r="Q1679" s="29"/>
      <c r="R1679" s="29"/>
      <c r="S1679" s="29"/>
      <c r="T1679" s="29"/>
      <c r="U1679" s="31"/>
      <c r="V1679" s="31"/>
      <c r="W1679" s="31"/>
      <c r="X1679" s="31"/>
      <c r="Y1679" s="31"/>
    </row>
    <row r="1680" spans="1:25" x14ac:dyDescent="0.2">
      <c r="A1680" s="29"/>
      <c r="B1680" s="29"/>
      <c r="C1680" s="29"/>
      <c r="D1680" s="29"/>
      <c r="E1680" s="29"/>
      <c r="F1680" s="30"/>
      <c r="G1680" s="30"/>
      <c r="H1680" s="30"/>
      <c r="I1680" s="30"/>
      <c r="J1680" s="30"/>
      <c r="K1680" s="30"/>
      <c r="L1680" s="29"/>
      <c r="M1680" s="29"/>
      <c r="N1680" s="29"/>
      <c r="O1680" s="29"/>
      <c r="P1680" s="29"/>
      <c r="Q1680" s="29"/>
      <c r="R1680" s="29"/>
      <c r="S1680" s="29"/>
      <c r="T1680" s="29"/>
      <c r="U1680" s="31"/>
      <c r="V1680" s="31"/>
      <c r="W1680" s="31"/>
      <c r="X1680" s="31"/>
      <c r="Y1680" s="31"/>
    </row>
    <row r="1681" spans="1:25" x14ac:dyDescent="0.2">
      <c r="A1681" s="29"/>
      <c r="B1681" s="29"/>
      <c r="C1681" s="29"/>
      <c r="D1681" s="29"/>
      <c r="E1681" s="29"/>
      <c r="F1681" s="30"/>
      <c r="G1681" s="30"/>
      <c r="H1681" s="30"/>
      <c r="I1681" s="30"/>
      <c r="J1681" s="30"/>
      <c r="K1681" s="30"/>
      <c r="L1681" s="29"/>
      <c r="M1681" s="29"/>
      <c r="N1681" s="29"/>
      <c r="O1681" s="29"/>
      <c r="P1681" s="29"/>
      <c r="Q1681" s="29"/>
      <c r="R1681" s="29"/>
      <c r="S1681" s="29"/>
      <c r="T1681" s="29"/>
      <c r="U1681" s="31"/>
      <c r="V1681" s="31"/>
      <c r="W1681" s="31"/>
      <c r="X1681" s="31"/>
      <c r="Y1681" s="31"/>
    </row>
    <row r="1682" spans="1:25" x14ac:dyDescent="0.2">
      <c r="A1682" s="29"/>
      <c r="B1682" s="29"/>
      <c r="C1682" s="29"/>
      <c r="D1682" s="29"/>
      <c r="E1682" s="29"/>
      <c r="F1682" s="30"/>
      <c r="G1682" s="30"/>
      <c r="H1682" s="30"/>
      <c r="I1682" s="30"/>
      <c r="J1682" s="30"/>
      <c r="K1682" s="30"/>
      <c r="L1682" s="29"/>
      <c r="M1682" s="29"/>
      <c r="N1682" s="29"/>
      <c r="O1682" s="29"/>
      <c r="P1682" s="29"/>
      <c r="Q1682" s="29"/>
      <c r="R1682" s="29"/>
      <c r="S1682" s="29"/>
      <c r="T1682" s="29"/>
      <c r="U1682" s="31"/>
      <c r="V1682" s="31"/>
      <c r="W1682" s="31"/>
      <c r="X1682" s="31"/>
      <c r="Y1682" s="31"/>
    </row>
    <row r="1683" spans="1:25" x14ac:dyDescent="0.2">
      <c r="A1683" s="29"/>
      <c r="B1683" s="29"/>
      <c r="C1683" s="29"/>
      <c r="D1683" s="29"/>
      <c r="E1683" s="29"/>
      <c r="F1683" s="30"/>
      <c r="G1683" s="30"/>
      <c r="H1683" s="30"/>
      <c r="I1683" s="30"/>
      <c r="J1683" s="30"/>
      <c r="K1683" s="30"/>
      <c r="L1683" s="29"/>
      <c r="M1683" s="29"/>
      <c r="N1683" s="29"/>
      <c r="O1683" s="29"/>
      <c r="P1683" s="29"/>
      <c r="Q1683" s="29"/>
      <c r="R1683" s="29"/>
      <c r="S1683" s="29"/>
      <c r="T1683" s="29"/>
      <c r="U1683" s="31"/>
      <c r="V1683" s="31"/>
      <c r="W1683" s="31"/>
      <c r="X1683" s="31"/>
      <c r="Y1683" s="31"/>
    </row>
    <row r="1684" spans="1:25" x14ac:dyDescent="0.2">
      <c r="A1684" s="29"/>
      <c r="B1684" s="29"/>
      <c r="C1684" s="29"/>
      <c r="D1684" s="29"/>
      <c r="E1684" s="29"/>
      <c r="F1684" s="30"/>
      <c r="G1684" s="30"/>
      <c r="H1684" s="30"/>
      <c r="I1684" s="30"/>
      <c r="J1684" s="30"/>
      <c r="K1684" s="30"/>
      <c r="L1684" s="29"/>
      <c r="M1684" s="29"/>
      <c r="N1684" s="29"/>
      <c r="O1684" s="29"/>
      <c r="P1684" s="29"/>
      <c r="Q1684" s="29"/>
      <c r="R1684" s="29"/>
      <c r="S1684" s="29"/>
      <c r="T1684" s="29"/>
      <c r="U1684" s="31"/>
      <c r="V1684" s="31"/>
      <c r="W1684" s="31"/>
      <c r="X1684" s="31"/>
      <c r="Y1684" s="31"/>
    </row>
    <row r="1685" spans="1:25" x14ac:dyDescent="0.2">
      <c r="A1685" s="29"/>
      <c r="B1685" s="29"/>
      <c r="C1685" s="29"/>
      <c r="D1685" s="29"/>
      <c r="E1685" s="29"/>
      <c r="F1685" s="30"/>
      <c r="G1685" s="30"/>
      <c r="H1685" s="30"/>
      <c r="I1685" s="30"/>
      <c r="J1685" s="30"/>
      <c r="K1685" s="30"/>
      <c r="L1685" s="29"/>
      <c r="M1685" s="29"/>
      <c r="N1685" s="29"/>
      <c r="O1685" s="29"/>
      <c r="P1685" s="29"/>
      <c r="Q1685" s="29"/>
      <c r="R1685" s="29"/>
      <c r="S1685" s="29"/>
      <c r="T1685" s="29"/>
      <c r="U1685" s="31"/>
      <c r="V1685" s="31"/>
      <c r="W1685" s="31"/>
      <c r="X1685" s="31"/>
      <c r="Y1685" s="31"/>
    </row>
    <row r="1686" spans="1:25" x14ac:dyDescent="0.2">
      <c r="A1686" s="29"/>
      <c r="B1686" s="29"/>
      <c r="C1686" s="29"/>
      <c r="D1686" s="29"/>
      <c r="E1686" s="29"/>
      <c r="F1686" s="30"/>
      <c r="G1686" s="30"/>
      <c r="H1686" s="30"/>
      <c r="I1686" s="30"/>
      <c r="J1686" s="30"/>
      <c r="K1686" s="30"/>
      <c r="L1686" s="29"/>
      <c r="M1686" s="29"/>
      <c r="N1686" s="29"/>
      <c r="O1686" s="29"/>
      <c r="P1686" s="29"/>
      <c r="Q1686" s="29"/>
      <c r="R1686" s="29"/>
      <c r="S1686" s="29"/>
      <c r="T1686" s="29"/>
      <c r="U1686" s="31"/>
      <c r="V1686" s="31"/>
      <c r="W1686" s="31"/>
      <c r="X1686" s="31"/>
      <c r="Y1686" s="31"/>
    </row>
    <row r="1687" spans="1:25" x14ac:dyDescent="0.2">
      <c r="A1687" s="29"/>
      <c r="B1687" s="29"/>
      <c r="C1687" s="29"/>
      <c r="D1687" s="29"/>
      <c r="E1687" s="29"/>
      <c r="F1687" s="30"/>
      <c r="G1687" s="30"/>
      <c r="H1687" s="30"/>
      <c r="I1687" s="30"/>
      <c r="J1687" s="30"/>
      <c r="K1687" s="30"/>
      <c r="L1687" s="29"/>
      <c r="M1687" s="29"/>
      <c r="N1687" s="29"/>
      <c r="O1687" s="29"/>
      <c r="P1687" s="29"/>
      <c r="Q1687" s="29"/>
      <c r="R1687" s="29"/>
      <c r="S1687" s="29"/>
      <c r="T1687" s="29"/>
      <c r="U1687" s="31"/>
      <c r="V1687" s="31"/>
      <c r="W1687" s="31"/>
      <c r="X1687" s="31"/>
      <c r="Y1687" s="31"/>
    </row>
    <row r="1688" spans="1:25" x14ac:dyDescent="0.2">
      <c r="A1688" s="29"/>
      <c r="B1688" s="29"/>
      <c r="C1688" s="29"/>
      <c r="D1688" s="29"/>
      <c r="E1688" s="29"/>
      <c r="F1688" s="30"/>
      <c r="G1688" s="30"/>
      <c r="H1688" s="30"/>
      <c r="I1688" s="30"/>
      <c r="J1688" s="30"/>
      <c r="K1688" s="30"/>
      <c r="L1688" s="29"/>
      <c r="M1688" s="29"/>
      <c r="N1688" s="29"/>
      <c r="O1688" s="29"/>
      <c r="P1688" s="29"/>
      <c r="Q1688" s="29"/>
      <c r="R1688" s="29"/>
      <c r="S1688" s="29"/>
      <c r="T1688" s="29"/>
      <c r="U1688" s="31"/>
      <c r="V1688" s="31"/>
      <c r="W1688" s="31"/>
      <c r="X1688" s="31"/>
      <c r="Y1688" s="31"/>
    </row>
    <row r="1689" spans="1:25" x14ac:dyDescent="0.2">
      <c r="A1689" s="29"/>
      <c r="B1689" s="29"/>
      <c r="C1689" s="29"/>
      <c r="D1689" s="29"/>
      <c r="E1689" s="29"/>
      <c r="F1689" s="30"/>
      <c r="G1689" s="30"/>
      <c r="H1689" s="30"/>
      <c r="I1689" s="30"/>
      <c r="J1689" s="30"/>
      <c r="K1689" s="30"/>
      <c r="L1689" s="29"/>
      <c r="M1689" s="29"/>
      <c r="N1689" s="29"/>
      <c r="O1689" s="29"/>
      <c r="P1689" s="29"/>
      <c r="Q1689" s="29"/>
      <c r="R1689" s="29"/>
      <c r="S1689" s="29"/>
      <c r="T1689" s="29"/>
      <c r="U1689" s="31"/>
      <c r="V1689" s="31"/>
      <c r="W1689" s="31"/>
      <c r="X1689" s="31"/>
      <c r="Y1689" s="31"/>
    </row>
    <row r="1690" spans="1:25" x14ac:dyDescent="0.2">
      <c r="A1690" s="29"/>
      <c r="B1690" s="29"/>
      <c r="C1690" s="29"/>
      <c r="D1690" s="29"/>
      <c r="E1690" s="29"/>
      <c r="F1690" s="30"/>
      <c r="G1690" s="30"/>
      <c r="H1690" s="30"/>
      <c r="I1690" s="30"/>
      <c r="J1690" s="30"/>
      <c r="K1690" s="30"/>
      <c r="L1690" s="29"/>
      <c r="M1690" s="29"/>
      <c r="N1690" s="29"/>
      <c r="O1690" s="29"/>
      <c r="P1690" s="29"/>
      <c r="Q1690" s="29"/>
      <c r="R1690" s="29"/>
      <c r="S1690" s="29"/>
      <c r="T1690" s="29"/>
      <c r="U1690" s="31"/>
      <c r="V1690" s="31"/>
      <c r="W1690" s="31"/>
      <c r="X1690" s="31"/>
      <c r="Y1690" s="31"/>
    </row>
    <row r="1691" spans="1:25" x14ac:dyDescent="0.2">
      <c r="A1691" s="29"/>
      <c r="B1691" s="29"/>
      <c r="C1691" s="29"/>
      <c r="D1691" s="29"/>
      <c r="E1691" s="29"/>
      <c r="F1691" s="30"/>
      <c r="G1691" s="30"/>
      <c r="H1691" s="30"/>
      <c r="I1691" s="30"/>
      <c r="J1691" s="30"/>
      <c r="K1691" s="30"/>
      <c r="L1691" s="29"/>
      <c r="M1691" s="29"/>
      <c r="N1691" s="29"/>
      <c r="O1691" s="29"/>
      <c r="P1691" s="29"/>
      <c r="Q1691" s="29"/>
      <c r="R1691" s="29"/>
      <c r="S1691" s="29"/>
      <c r="T1691" s="29"/>
      <c r="U1691" s="31"/>
      <c r="V1691" s="31"/>
      <c r="W1691" s="31"/>
      <c r="X1691" s="31"/>
      <c r="Y1691" s="31"/>
    </row>
    <row r="1692" spans="1:25" x14ac:dyDescent="0.2">
      <c r="A1692" s="29"/>
      <c r="B1692" s="29"/>
      <c r="C1692" s="29"/>
      <c r="D1692" s="29"/>
      <c r="E1692" s="29"/>
      <c r="F1692" s="30"/>
      <c r="G1692" s="30"/>
      <c r="H1692" s="30"/>
      <c r="I1692" s="30"/>
      <c r="J1692" s="30"/>
      <c r="K1692" s="30"/>
      <c r="L1692" s="29"/>
      <c r="M1692" s="29"/>
      <c r="N1692" s="29"/>
      <c r="O1692" s="29"/>
      <c r="P1692" s="29"/>
      <c r="Q1692" s="29"/>
      <c r="R1692" s="29"/>
      <c r="S1692" s="29"/>
      <c r="T1692" s="29"/>
      <c r="U1692" s="31"/>
      <c r="V1692" s="31"/>
      <c r="W1692" s="31"/>
      <c r="X1692" s="31"/>
      <c r="Y1692" s="31"/>
    </row>
    <row r="1693" spans="1:25" x14ac:dyDescent="0.2">
      <c r="A1693" s="29"/>
      <c r="B1693" s="29"/>
      <c r="C1693" s="29"/>
      <c r="D1693" s="29"/>
      <c r="E1693" s="29"/>
      <c r="F1693" s="30"/>
      <c r="G1693" s="30"/>
      <c r="H1693" s="30"/>
      <c r="I1693" s="30"/>
      <c r="J1693" s="30"/>
      <c r="K1693" s="30"/>
      <c r="L1693" s="29"/>
      <c r="M1693" s="29"/>
      <c r="N1693" s="29"/>
      <c r="O1693" s="29"/>
      <c r="P1693" s="29"/>
      <c r="Q1693" s="29"/>
      <c r="R1693" s="29"/>
      <c r="S1693" s="29"/>
      <c r="T1693" s="29"/>
      <c r="U1693" s="31"/>
      <c r="V1693" s="31"/>
      <c r="W1693" s="31"/>
      <c r="X1693" s="31"/>
      <c r="Y1693" s="31"/>
    </row>
    <row r="1694" spans="1:25" x14ac:dyDescent="0.2">
      <c r="A1694" s="29"/>
      <c r="B1694" s="29"/>
      <c r="C1694" s="29"/>
      <c r="D1694" s="29"/>
      <c r="E1694" s="29"/>
      <c r="F1694" s="30"/>
      <c r="G1694" s="30"/>
      <c r="H1694" s="30"/>
      <c r="I1694" s="30"/>
      <c r="J1694" s="30"/>
      <c r="K1694" s="30"/>
      <c r="L1694" s="29"/>
      <c r="M1694" s="29"/>
      <c r="N1694" s="29"/>
      <c r="O1694" s="29"/>
      <c r="P1694" s="29"/>
      <c r="Q1694" s="29"/>
      <c r="R1694" s="29"/>
      <c r="S1694" s="29"/>
      <c r="T1694" s="29"/>
      <c r="U1694" s="31"/>
      <c r="V1694" s="31"/>
      <c r="W1694" s="31"/>
      <c r="X1694" s="31"/>
      <c r="Y1694" s="31"/>
    </row>
    <row r="1695" spans="1:25" x14ac:dyDescent="0.2">
      <c r="A1695" s="29"/>
      <c r="B1695" s="29"/>
      <c r="C1695" s="29"/>
      <c r="D1695" s="29"/>
      <c r="E1695" s="29"/>
      <c r="F1695" s="30"/>
      <c r="G1695" s="30"/>
      <c r="H1695" s="30"/>
      <c r="I1695" s="30"/>
      <c r="J1695" s="30"/>
      <c r="K1695" s="30"/>
      <c r="L1695" s="29"/>
      <c r="M1695" s="29"/>
      <c r="N1695" s="29"/>
      <c r="O1695" s="29"/>
      <c r="P1695" s="29"/>
      <c r="Q1695" s="29"/>
      <c r="R1695" s="29"/>
      <c r="S1695" s="29"/>
      <c r="T1695" s="29"/>
      <c r="U1695" s="31"/>
      <c r="V1695" s="31"/>
      <c r="W1695" s="31"/>
      <c r="X1695" s="31"/>
      <c r="Y1695" s="31"/>
    </row>
    <row r="1696" spans="1:25" x14ac:dyDescent="0.2">
      <c r="A1696" s="29"/>
      <c r="B1696" s="29"/>
      <c r="C1696" s="29"/>
      <c r="D1696" s="29"/>
      <c r="E1696" s="29"/>
      <c r="F1696" s="30"/>
      <c r="G1696" s="30"/>
      <c r="H1696" s="30"/>
      <c r="I1696" s="30"/>
      <c r="J1696" s="30"/>
      <c r="K1696" s="30"/>
      <c r="L1696" s="29"/>
      <c r="M1696" s="29"/>
      <c r="N1696" s="29"/>
      <c r="O1696" s="29"/>
      <c r="P1696" s="29"/>
      <c r="Q1696" s="29"/>
      <c r="R1696" s="29"/>
      <c r="S1696" s="29"/>
      <c r="T1696" s="29"/>
      <c r="U1696" s="31"/>
      <c r="V1696" s="31"/>
      <c r="W1696" s="31"/>
      <c r="X1696" s="31"/>
      <c r="Y1696" s="31"/>
    </row>
    <row r="1697" spans="1:25" x14ac:dyDescent="0.2">
      <c r="A1697" s="29"/>
      <c r="B1697" s="29"/>
      <c r="C1697" s="29"/>
      <c r="D1697" s="29"/>
      <c r="E1697" s="29"/>
      <c r="F1697" s="30"/>
      <c r="G1697" s="30"/>
      <c r="H1697" s="30"/>
      <c r="I1697" s="30"/>
      <c r="J1697" s="30"/>
      <c r="K1697" s="30"/>
      <c r="L1697" s="29"/>
      <c r="M1697" s="29"/>
      <c r="N1697" s="29"/>
      <c r="O1697" s="29"/>
      <c r="P1697" s="29"/>
      <c r="Q1697" s="29"/>
      <c r="R1697" s="29"/>
      <c r="S1697" s="29"/>
      <c r="T1697" s="29"/>
      <c r="U1697" s="31"/>
      <c r="V1697" s="31"/>
      <c r="W1697" s="31"/>
      <c r="X1697" s="31"/>
      <c r="Y1697" s="31"/>
    </row>
    <row r="1698" spans="1:25" x14ac:dyDescent="0.2">
      <c r="A1698" s="29"/>
      <c r="B1698" s="29"/>
      <c r="C1698" s="29"/>
      <c r="D1698" s="29"/>
      <c r="E1698" s="29"/>
      <c r="F1698" s="30"/>
      <c r="G1698" s="30"/>
      <c r="H1698" s="30"/>
      <c r="I1698" s="30"/>
      <c r="J1698" s="30"/>
      <c r="K1698" s="30"/>
      <c r="L1698" s="29"/>
      <c r="M1698" s="29"/>
      <c r="N1698" s="29"/>
      <c r="O1698" s="29"/>
      <c r="P1698" s="29"/>
      <c r="Q1698" s="29"/>
      <c r="R1698" s="29"/>
      <c r="S1698" s="29"/>
      <c r="T1698" s="29"/>
      <c r="U1698" s="31"/>
      <c r="V1698" s="31"/>
      <c r="W1698" s="31"/>
      <c r="X1698" s="31"/>
      <c r="Y1698" s="31"/>
    </row>
    <row r="1699" spans="1:25" x14ac:dyDescent="0.2">
      <c r="A1699" s="29"/>
      <c r="B1699" s="29"/>
      <c r="C1699" s="29"/>
      <c r="D1699" s="29"/>
      <c r="E1699" s="29"/>
      <c r="F1699" s="30"/>
      <c r="G1699" s="30"/>
      <c r="H1699" s="30"/>
      <c r="I1699" s="30"/>
      <c r="J1699" s="30"/>
      <c r="K1699" s="30"/>
      <c r="L1699" s="29"/>
      <c r="M1699" s="29"/>
      <c r="N1699" s="29"/>
      <c r="O1699" s="29"/>
      <c r="P1699" s="29"/>
      <c r="Q1699" s="29"/>
      <c r="R1699" s="29"/>
      <c r="S1699" s="29"/>
      <c r="T1699" s="29"/>
      <c r="U1699" s="31"/>
      <c r="V1699" s="31"/>
      <c r="W1699" s="31"/>
      <c r="X1699" s="31"/>
      <c r="Y1699" s="31"/>
    </row>
    <row r="1700" spans="1:25" x14ac:dyDescent="0.2">
      <c r="A1700" s="29"/>
      <c r="B1700" s="29"/>
      <c r="C1700" s="29"/>
      <c r="D1700" s="29"/>
      <c r="E1700" s="29"/>
      <c r="F1700" s="30"/>
      <c r="G1700" s="30"/>
      <c r="H1700" s="30"/>
      <c r="I1700" s="30"/>
      <c r="J1700" s="30"/>
      <c r="K1700" s="30"/>
      <c r="L1700" s="29"/>
      <c r="M1700" s="29"/>
      <c r="N1700" s="29"/>
      <c r="O1700" s="29"/>
      <c r="P1700" s="29"/>
      <c r="Q1700" s="29"/>
      <c r="R1700" s="29"/>
      <c r="S1700" s="29"/>
      <c r="T1700" s="29"/>
      <c r="U1700" s="31"/>
      <c r="V1700" s="31"/>
      <c r="W1700" s="31"/>
      <c r="X1700" s="31"/>
      <c r="Y1700" s="31"/>
    </row>
    <row r="1701" spans="1:25" x14ac:dyDescent="0.2">
      <c r="A1701" s="29"/>
      <c r="B1701" s="29"/>
      <c r="C1701" s="29"/>
      <c r="D1701" s="29"/>
      <c r="E1701" s="29"/>
      <c r="F1701" s="30"/>
      <c r="G1701" s="30"/>
      <c r="H1701" s="30"/>
      <c r="I1701" s="30"/>
      <c r="J1701" s="30"/>
      <c r="K1701" s="30"/>
      <c r="L1701" s="29"/>
      <c r="M1701" s="29"/>
      <c r="N1701" s="29"/>
      <c r="O1701" s="29"/>
      <c r="P1701" s="29"/>
      <c r="Q1701" s="29"/>
      <c r="R1701" s="29"/>
      <c r="S1701" s="29"/>
      <c r="T1701" s="29"/>
      <c r="U1701" s="31"/>
      <c r="V1701" s="31"/>
      <c r="W1701" s="31"/>
      <c r="X1701" s="31"/>
      <c r="Y1701" s="31"/>
    </row>
    <row r="1702" spans="1:25" x14ac:dyDescent="0.2">
      <c r="A1702" s="29"/>
      <c r="B1702" s="29"/>
      <c r="C1702" s="29"/>
      <c r="D1702" s="29"/>
      <c r="E1702" s="29"/>
      <c r="F1702" s="30"/>
      <c r="G1702" s="30"/>
      <c r="H1702" s="30"/>
      <c r="I1702" s="30"/>
      <c r="J1702" s="30"/>
      <c r="K1702" s="30"/>
      <c r="L1702" s="29"/>
      <c r="M1702" s="29"/>
      <c r="N1702" s="29"/>
      <c r="O1702" s="29"/>
      <c r="P1702" s="29"/>
      <c r="Q1702" s="29"/>
      <c r="R1702" s="29"/>
      <c r="S1702" s="29"/>
      <c r="T1702" s="29"/>
      <c r="U1702" s="31"/>
      <c r="V1702" s="31"/>
      <c r="W1702" s="31"/>
      <c r="X1702" s="31"/>
      <c r="Y1702" s="31"/>
    </row>
    <row r="1703" spans="1:25" x14ac:dyDescent="0.2">
      <c r="A1703" s="29"/>
      <c r="B1703" s="29"/>
      <c r="C1703" s="29"/>
      <c r="D1703" s="29"/>
      <c r="E1703" s="29"/>
      <c r="F1703" s="30"/>
      <c r="G1703" s="30"/>
      <c r="H1703" s="30"/>
      <c r="I1703" s="30"/>
      <c r="J1703" s="30"/>
      <c r="K1703" s="30"/>
      <c r="L1703" s="29"/>
      <c r="M1703" s="29"/>
      <c r="N1703" s="29"/>
      <c r="O1703" s="29"/>
      <c r="P1703" s="29"/>
      <c r="Q1703" s="29"/>
      <c r="R1703" s="29"/>
      <c r="S1703" s="29"/>
      <c r="T1703" s="29"/>
      <c r="U1703" s="31"/>
      <c r="V1703" s="31"/>
      <c r="W1703" s="31"/>
      <c r="X1703" s="31"/>
      <c r="Y1703" s="31"/>
    </row>
    <row r="1704" spans="1:25" x14ac:dyDescent="0.2">
      <c r="A1704" s="29"/>
      <c r="B1704" s="29"/>
      <c r="C1704" s="29"/>
      <c r="D1704" s="29"/>
      <c r="E1704" s="29"/>
      <c r="F1704" s="30"/>
      <c r="G1704" s="30"/>
      <c r="H1704" s="30"/>
      <c r="I1704" s="30"/>
      <c r="J1704" s="30"/>
      <c r="K1704" s="30"/>
      <c r="L1704" s="29"/>
      <c r="M1704" s="29"/>
      <c r="N1704" s="29"/>
      <c r="O1704" s="29"/>
      <c r="P1704" s="29"/>
      <c r="Q1704" s="29"/>
      <c r="R1704" s="29"/>
      <c r="S1704" s="29"/>
      <c r="T1704" s="29"/>
      <c r="U1704" s="31"/>
      <c r="V1704" s="31"/>
      <c r="W1704" s="31"/>
      <c r="X1704" s="31"/>
      <c r="Y1704" s="31"/>
    </row>
    <row r="1705" spans="1:25" x14ac:dyDescent="0.2">
      <c r="A1705" s="29"/>
      <c r="B1705" s="29"/>
      <c r="C1705" s="29"/>
      <c r="D1705" s="29"/>
      <c r="E1705" s="29"/>
      <c r="F1705" s="30"/>
      <c r="G1705" s="30"/>
      <c r="H1705" s="30"/>
      <c r="I1705" s="30"/>
      <c r="J1705" s="30"/>
      <c r="K1705" s="30"/>
      <c r="L1705" s="29"/>
      <c r="M1705" s="29"/>
      <c r="N1705" s="29"/>
      <c r="O1705" s="29"/>
      <c r="P1705" s="29"/>
      <c r="Q1705" s="29"/>
      <c r="R1705" s="29"/>
      <c r="S1705" s="29"/>
      <c r="T1705" s="29"/>
      <c r="U1705" s="31"/>
      <c r="V1705" s="31"/>
      <c r="W1705" s="31"/>
      <c r="X1705" s="31"/>
      <c r="Y1705" s="31"/>
    </row>
    <row r="1706" spans="1:25" x14ac:dyDescent="0.2">
      <c r="A1706" s="29"/>
      <c r="B1706" s="29"/>
      <c r="C1706" s="29"/>
      <c r="D1706" s="29"/>
      <c r="E1706" s="29"/>
      <c r="F1706" s="30"/>
      <c r="G1706" s="30"/>
      <c r="H1706" s="30"/>
      <c r="I1706" s="30"/>
      <c r="J1706" s="30"/>
      <c r="K1706" s="30"/>
      <c r="L1706" s="29"/>
      <c r="M1706" s="29"/>
      <c r="N1706" s="29"/>
      <c r="O1706" s="29"/>
      <c r="P1706" s="29"/>
      <c r="Q1706" s="29"/>
      <c r="R1706" s="29"/>
      <c r="S1706" s="29"/>
      <c r="T1706" s="29"/>
      <c r="U1706" s="31"/>
      <c r="V1706" s="31"/>
      <c r="W1706" s="31"/>
      <c r="X1706" s="31"/>
      <c r="Y1706" s="31"/>
    </row>
    <row r="1707" spans="1:25" x14ac:dyDescent="0.2">
      <c r="A1707" s="29"/>
      <c r="B1707" s="29"/>
      <c r="C1707" s="29"/>
      <c r="D1707" s="29"/>
      <c r="E1707" s="29"/>
      <c r="F1707" s="30"/>
      <c r="G1707" s="30"/>
      <c r="H1707" s="30"/>
      <c r="I1707" s="30"/>
      <c r="J1707" s="30"/>
      <c r="K1707" s="30"/>
      <c r="L1707" s="29"/>
      <c r="M1707" s="29"/>
      <c r="N1707" s="29"/>
      <c r="O1707" s="29"/>
      <c r="P1707" s="29"/>
      <c r="Q1707" s="29"/>
      <c r="R1707" s="29"/>
      <c r="S1707" s="29"/>
      <c r="T1707" s="29"/>
      <c r="U1707" s="31"/>
      <c r="V1707" s="31"/>
      <c r="W1707" s="31"/>
      <c r="X1707" s="31"/>
      <c r="Y1707" s="31"/>
    </row>
    <row r="1708" spans="1:25" x14ac:dyDescent="0.2">
      <c r="A1708" s="29"/>
      <c r="B1708" s="29"/>
      <c r="C1708" s="29"/>
      <c r="D1708" s="29"/>
      <c r="E1708" s="29"/>
      <c r="F1708" s="30"/>
      <c r="G1708" s="30"/>
      <c r="H1708" s="30"/>
      <c r="I1708" s="30"/>
      <c r="J1708" s="30"/>
      <c r="K1708" s="30"/>
      <c r="L1708" s="29"/>
      <c r="M1708" s="29"/>
      <c r="N1708" s="29"/>
      <c r="O1708" s="29"/>
      <c r="P1708" s="29"/>
      <c r="Q1708" s="29"/>
      <c r="R1708" s="29"/>
      <c r="S1708" s="29"/>
      <c r="T1708" s="29"/>
      <c r="U1708" s="31"/>
      <c r="V1708" s="31"/>
      <c r="W1708" s="31"/>
      <c r="X1708" s="31"/>
      <c r="Y1708" s="31"/>
    </row>
    <row r="1709" spans="1:25" x14ac:dyDescent="0.2">
      <c r="A1709" s="29"/>
      <c r="B1709" s="29"/>
      <c r="C1709" s="29"/>
      <c r="D1709" s="29"/>
      <c r="E1709" s="29"/>
      <c r="F1709" s="30"/>
      <c r="G1709" s="30"/>
      <c r="H1709" s="30"/>
      <c r="I1709" s="30"/>
      <c r="J1709" s="30"/>
      <c r="K1709" s="30"/>
      <c r="L1709" s="29"/>
      <c r="M1709" s="29"/>
      <c r="N1709" s="29"/>
      <c r="O1709" s="29"/>
      <c r="P1709" s="29"/>
      <c r="Q1709" s="29"/>
      <c r="R1709" s="29"/>
      <c r="S1709" s="29"/>
      <c r="T1709" s="29"/>
      <c r="U1709" s="31"/>
      <c r="V1709" s="31"/>
      <c r="W1709" s="31"/>
      <c r="X1709" s="31"/>
      <c r="Y1709" s="31"/>
    </row>
    <row r="1710" spans="1:25" x14ac:dyDescent="0.2">
      <c r="A1710" s="29"/>
      <c r="B1710" s="29"/>
      <c r="C1710" s="29"/>
      <c r="D1710" s="29"/>
      <c r="E1710" s="29"/>
      <c r="F1710" s="30"/>
      <c r="G1710" s="30"/>
      <c r="H1710" s="30"/>
      <c r="I1710" s="30"/>
      <c r="J1710" s="30"/>
      <c r="K1710" s="30"/>
      <c r="L1710" s="29"/>
      <c r="M1710" s="29"/>
      <c r="N1710" s="29"/>
      <c r="O1710" s="29"/>
      <c r="P1710" s="29"/>
      <c r="Q1710" s="29"/>
      <c r="R1710" s="29"/>
      <c r="S1710" s="29"/>
      <c r="T1710" s="29"/>
      <c r="U1710" s="31"/>
      <c r="V1710" s="31"/>
      <c r="W1710" s="31"/>
      <c r="X1710" s="31"/>
      <c r="Y1710" s="31"/>
    </row>
    <row r="1711" spans="1:25" x14ac:dyDescent="0.2">
      <c r="A1711" s="29"/>
      <c r="B1711" s="29"/>
      <c r="C1711" s="29"/>
      <c r="D1711" s="29"/>
      <c r="E1711" s="29"/>
      <c r="F1711" s="30"/>
      <c r="G1711" s="30"/>
      <c r="H1711" s="30"/>
      <c r="I1711" s="30"/>
      <c r="J1711" s="30"/>
      <c r="K1711" s="30"/>
      <c r="L1711" s="29"/>
      <c r="M1711" s="29"/>
      <c r="N1711" s="29"/>
      <c r="O1711" s="29"/>
      <c r="P1711" s="29"/>
      <c r="Q1711" s="29"/>
      <c r="R1711" s="29"/>
      <c r="S1711" s="29"/>
      <c r="T1711" s="29"/>
      <c r="U1711" s="31"/>
      <c r="V1711" s="31"/>
      <c r="W1711" s="31"/>
      <c r="X1711" s="31"/>
      <c r="Y1711" s="31"/>
    </row>
    <row r="1712" spans="1:25" x14ac:dyDescent="0.2">
      <c r="A1712" s="29"/>
      <c r="B1712" s="29"/>
      <c r="C1712" s="29"/>
      <c r="D1712" s="29"/>
      <c r="E1712" s="29"/>
      <c r="F1712" s="30"/>
      <c r="G1712" s="30"/>
      <c r="H1712" s="30"/>
      <c r="I1712" s="30"/>
      <c r="J1712" s="30"/>
      <c r="K1712" s="30"/>
      <c r="L1712" s="29"/>
      <c r="M1712" s="29"/>
      <c r="N1712" s="29"/>
      <c r="O1712" s="29"/>
      <c r="P1712" s="29"/>
      <c r="Q1712" s="29"/>
      <c r="R1712" s="29"/>
      <c r="S1712" s="29"/>
      <c r="T1712" s="29"/>
      <c r="U1712" s="31"/>
      <c r="V1712" s="31"/>
      <c r="W1712" s="31"/>
      <c r="X1712" s="31"/>
      <c r="Y1712" s="31"/>
    </row>
    <row r="1713" spans="1:25" x14ac:dyDescent="0.2">
      <c r="A1713" s="29"/>
      <c r="B1713" s="29"/>
      <c r="C1713" s="29"/>
      <c r="D1713" s="29"/>
      <c r="E1713" s="29"/>
      <c r="F1713" s="30"/>
      <c r="G1713" s="30"/>
      <c r="H1713" s="30"/>
      <c r="I1713" s="30"/>
      <c r="J1713" s="30"/>
      <c r="K1713" s="30"/>
      <c r="L1713" s="29"/>
      <c r="M1713" s="29"/>
      <c r="N1713" s="29"/>
      <c r="O1713" s="29"/>
      <c r="P1713" s="29"/>
      <c r="Q1713" s="29"/>
      <c r="R1713" s="29"/>
      <c r="S1713" s="29"/>
      <c r="T1713" s="29"/>
      <c r="U1713" s="31"/>
      <c r="V1713" s="31"/>
      <c r="W1713" s="31"/>
      <c r="X1713" s="31"/>
      <c r="Y1713" s="31"/>
    </row>
    <row r="1714" spans="1:25" x14ac:dyDescent="0.2">
      <c r="A1714" s="29"/>
      <c r="B1714" s="29"/>
      <c r="C1714" s="29"/>
      <c r="D1714" s="29"/>
      <c r="E1714" s="29"/>
      <c r="F1714" s="30"/>
      <c r="G1714" s="30"/>
      <c r="H1714" s="30"/>
      <c r="I1714" s="30"/>
      <c r="J1714" s="30"/>
      <c r="K1714" s="30"/>
      <c r="L1714" s="29"/>
      <c r="M1714" s="29"/>
      <c r="N1714" s="29"/>
      <c r="O1714" s="29"/>
      <c r="P1714" s="29"/>
      <c r="Q1714" s="29"/>
      <c r="R1714" s="29"/>
      <c r="S1714" s="29"/>
      <c r="T1714" s="29"/>
      <c r="U1714" s="31"/>
      <c r="V1714" s="31"/>
      <c r="W1714" s="31"/>
      <c r="X1714" s="31"/>
      <c r="Y1714" s="31"/>
    </row>
    <row r="1715" spans="1:25" x14ac:dyDescent="0.2">
      <c r="A1715" s="29"/>
      <c r="B1715" s="29"/>
      <c r="C1715" s="29"/>
      <c r="D1715" s="29"/>
      <c r="E1715" s="29"/>
      <c r="F1715" s="30"/>
      <c r="G1715" s="30"/>
      <c r="H1715" s="30"/>
      <c r="I1715" s="30"/>
      <c r="J1715" s="30"/>
      <c r="K1715" s="30"/>
      <c r="L1715" s="29"/>
      <c r="M1715" s="29"/>
      <c r="N1715" s="29"/>
      <c r="O1715" s="29"/>
      <c r="P1715" s="29"/>
      <c r="Q1715" s="29"/>
      <c r="R1715" s="29"/>
      <c r="S1715" s="29"/>
      <c r="T1715" s="29"/>
      <c r="U1715" s="31"/>
      <c r="V1715" s="31"/>
      <c r="W1715" s="31"/>
      <c r="X1715" s="31"/>
      <c r="Y1715" s="31"/>
    </row>
    <row r="1716" spans="1:25" x14ac:dyDescent="0.2">
      <c r="A1716" s="29"/>
      <c r="B1716" s="29"/>
      <c r="C1716" s="29"/>
      <c r="D1716" s="29"/>
      <c r="E1716" s="29"/>
      <c r="F1716" s="30"/>
      <c r="G1716" s="30"/>
      <c r="H1716" s="30"/>
      <c r="I1716" s="30"/>
      <c r="J1716" s="30"/>
      <c r="K1716" s="30"/>
      <c r="L1716" s="29"/>
      <c r="M1716" s="29"/>
      <c r="N1716" s="29"/>
      <c r="O1716" s="29"/>
      <c r="P1716" s="29"/>
      <c r="Q1716" s="29"/>
      <c r="R1716" s="29"/>
      <c r="S1716" s="29"/>
      <c r="T1716" s="29"/>
      <c r="U1716" s="31"/>
      <c r="V1716" s="31"/>
      <c r="W1716" s="31"/>
      <c r="X1716" s="31"/>
      <c r="Y1716" s="31"/>
    </row>
    <row r="1717" spans="1:25" x14ac:dyDescent="0.2">
      <c r="A1717" s="29"/>
      <c r="B1717" s="29"/>
      <c r="C1717" s="29"/>
      <c r="D1717" s="29"/>
      <c r="E1717" s="29"/>
      <c r="F1717" s="30"/>
      <c r="G1717" s="30"/>
      <c r="H1717" s="30"/>
      <c r="I1717" s="30"/>
      <c r="J1717" s="30"/>
      <c r="K1717" s="30"/>
      <c r="L1717" s="29"/>
      <c r="M1717" s="29"/>
      <c r="N1717" s="29"/>
      <c r="O1717" s="29"/>
      <c r="P1717" s="29"/>
      <c r="Q1717" s="29"/>
      <c r="R1717" s="29"/>
      <c r="S1717" s="29"/>
      <c r="T1717" s="29"/>
      <c r="U1717" s="31"/>
      <c r="V1717" s="31"/>
      <c r="W1717" s="31"/>
      <c r="X1717" s="31"/>
      <c r="Y1717" s="31"/>
    </row>
    <row r="1718" spans="1:25" x14ac:dyDescent="0.2">
      <c r="A1718" s="29"/>
      <c r="B1718" s="29"/>
      <c r="C1718" s="29"/>
      <c r="D1718" s="29"/>
      <c r="E1718" s="29"/>
      <c r="F1718" s="30"/>
      <c r="G1718" s="30"/>
      <c r="H1718" s="30"/>
      <c r="I1718" s="30"/>
      <c r="J1718" s="30"/>
      <c r="K1718" s="30"/>
      <c r="L1718" s="29"/>
      <c r="M1718" s="29"/>
      <c r="N1718" s="29"/>
      <c r="O1718" s="29"/>
      <c r="P1718" s="29"/>
      <c r="Q1718" s="29"/>
      <c r="R1718" s="29"/>
      <c r="S1718" s="29"/>
      <c r="T1718" s="29"/>
      <c r="U1718" s="31"/>
      <c r="V1718" s="31"/>
      <c r="W1718" s="31"/>
      <c r="X1718" s="31"/>
      <c r="Y1718" s="31"/>
    </row>
    <row r="1719" spans="1:25" x14ac:dyDescent="0.2">
      <c r="A1719" s="29"/>
      <c r="B1719" s="29"/>
      <c r="C1719" s="29"/>
      <c r="D1719" s="29"/>
      <c r="E1719" s="29"/>
      <c r="F1719" s="30"/>
      <c r="G1719" s="30"/>
      <c r="H1719" s="30"/>
      <c r="I1719" s="30"/>
      <c r="J1719" s="30"/>
      <c r="K1719" s="30"/>
      <c r="L1719" s="29"/>
      <c r="M1719" s="29"/>
      <c r="N1719" s="29"/>
      <c r="O1719" s="29"/>
      <c r="P1719" s="29"/>
      <c r="Q1719" s="29"/>
      <c r="R1719" s="29"/>
      <c r="S1719" s="29"/>
      <c r="T1719" s="29"/>
      <c r="U1719" s="31"/>
      <c r="V1719" s="31"/>
      <c r="W1719" s="31"/>
      <c r="X1719" s="31"/>
      <c r="Y1719" s="31"/>
    </row>
    <row r="1720" spans="1:25" x14ac:dyDescent="0.2">
      <c r="A1720" s="29"/>
      <c r="B1720" s="29"/>
      <c r="C1720" s="29"/>
      <c r="D1720" s="29"/>
      <c r="E1720" s="29"/>
      <c r="F1720" s="30"/>
      <c r="G1720" s="30"/>
      <c r="H1720" s="30"/>
      <c r="I1720" s="30"/>
      <c r="J1720" s="30"/>
      <c r="K1720" s="30"/>
      <c r="L1720" s="29"/>
      <c r="M1720" s="29"/>
      <c r="N1720" s="29"/>
      <c r="O1720" s="29"/>
      <c r="P1720" s="29"/>
      <c r="Q1720" s="29"/>
      <c r="R1720" s="29"/>
      <c r="S1720" s="29"/>
      <c r="T1720" s="29"/>
      <c r="U1720" s="31"/>
      <c r="V1720" s="31"/>
      <c r="W1720" s="31"/>
      <c r="X1720" s="31"/>
      <c r="Y1720" s="31"/>
    </row>
    <row r="1721" spans="1:25" x14ac:dyDescent="0.2">
      <c r="A1721" s="29"/>
      <c r="B1721" s="29"/>
      <c r="C1721" s="29"/>
      <c r="D1721" s="29"/>
      <c r="E1721" s="29"/>
      <c r="F1721" s="30"/>
      <c r="G1721" s="30"/>
      <c r="H1721" s="30"/>
      <c r="I1721" s="30"/>
      <c r="J1721" s="30"/>
      <c r="K1721" s="30"/>
      <c r="L1721" s="29"/>
      <c r="M1721" s="29"/>
      <c r="N1721" s="29"/>
      <c r="O1721" s="29"/>
      <c r="P1721" s="29"/>
      <c r="Q1721" s="29"/>
      <c r="R1721" s="29"/>
      <c r="S1721" s="29"/>
      <c r="T1721" s="29"/>
      <c r="U1721" s="31"/>
      <c r="V1721" s="31"/>
      <c r="W1721" s="31"/>
      <c r="X1721" s="31"/>
      <c r="Y1721" s="31"/>
    </row>
    <row r="1722" spans="1:25" x14ac:dyDescent="0.2">
      <c r="A1722" s="29"/>
      <c r="B1722" s="29"/>
      <c r="C1722" s="29"/>
      <c r="D1722" s="29"/>
      <c r="E1722" s="29"/>
      <c r="F1722" s="30"/>
      <c r="G1722" s="30"/>
      <c r="H1722" s="30"/>
      <c r="I1722" s="30"/>
      <c r="J1722" s="30"/>
      <c r="K1722" s="30"/>
      <c r="L1722" s="29"/>
      <c r="M1722" s="29"/>
      <c r="N1722" s="29"/>
      <c r="O1722" s="29"/>
      <c r="P1722" s="29"/>
      <c r="Q1722" s="29"/>
      <c r="R1722" s="29"/>
      <c r="S1722" s="29"/>
      <c r="T1722" s="29"/>
      <c r="U1722" s="31"/>
      <c r="V1722" s="31"/>
      <c r="W1722" s="31"/>
      <c r="X1722" s="31"/>
      <c r="Y1722" s="31"/>
    </row>
    <row r="1723" spans="1:25" x14ac:dyDescent="0.2">
      <c r="A1723" s="29"/>
      <c r="B1723" s="29"/>
      <c r="C1723" s="29"/>
      <c r="D1723" s="29"/>
      <c r="E1723" s="29"/>
      <c r="F1723" s="30"/>
      <c r="G1723" s="30"/>
      <c r="H1723" s="30"/>
      <c r="I1723" s="30"/>
      <c r="J1723" s="30"/>
      <c r="K1723" s="30"/>
      <c r="L1723" s="29"/>
      <c r="M1723" s="29"/>
      <c r="N1723" s="29"/>
      <c r="O1723" s="29"/>
      <c r="P1723" s="29"/>
      <c r="Q1723" s="29"/>
      <c r="R1723" s="29"/>
      <c r="S1723" s="29"/>
      <c r="T1723" s="29"/>
      <c r="U1723" s="31"/>
      <c r="V1723" s="31"/>
      <c r="W1723" s="31"/>
      <c r="X1723" s="31"/>
      <c r="Y1723" s="31"/>
    </row>
    <row r="1724" spans="1:25" x14ac:dyDescent="0.2">
      <c r="A1724" s="29"/>
      <c r="B1724" s="29"/>
      <c r="C1724" s="29"/>
      <c r="D1724" s="29"/>
      <c r="E1724" s="29"/>
      <c r="F1724" s="30"/>
      <c r="G1724" s="30"/>
      <c r="H1724" s="30"/>
      <c r="I1724" s="30"/>
      <c r="J1724" s="30"/>
      <c r="K1724" s="30"/>
      <c r="L1724" s="29"/>
      <c r="M1724" s="29"/>
      <c r="N1724" s="29"/>
      <c r="O1724" s="29"/>
      <c r="P1724" s="29"/>
      <c r="Q1724" s="29"/>
      <c r="R1724" s="29"/>
      <c r="S1724" s="29"/>
      <c r="T1724" s="29"/>
      <c r="U1724" s="31"/>
      <c r="V1724" s="31"/>
      <c r="W1724" s="31"/>
      <c r="X1724" s="31"/>
      <c r="Y1724" s="31"/>
    </row>
    <row r="1725" spans="1:25" x14ac:dyDescent="0.2">
      <c r="A1725" s="29"/>
      <c r="B1725" s="29"/>
      <c r="C1725" s="29"/>
      <c r="D1725" s="29"/>
      <c r="E1725" s="29"/>
      <c r="F1725" s="30"/>
      <c r="G1725" s="30"/>
      <c r="H1725" s="30"/>
      <c r="I1725" s="30"/>
      <c r="J1725" s="30"/>
      <c r="K1725" s="30"/>
      <c r="L1725" s="29"/>
      <c r="M1725" s="29"/>
      <c r="N1725" s="29"/>
      <c r="O1725" s="29"/>
      <c r="P1725" s="29"/>
      <c r="Q1725" s="29"/>
      <c r="R1725" s="29"/>
      <c r="S1725" s="29"/>
      <c r="T1725" s="29"/>
      <c r="U1725" s="31"/>
      <c r="V1725" s="31"/>
      <c r="W1725" s="31"/>
      <c r="X1725" s="31"/>
      <c r="Y1725" s="31"/>
    </row>
    <row r="1726" spans="1:25" x14ac:dyDescent="0.2">
      <c r="A1726" s="29"/>
      <c r="B1726" s="29"/>
      <c r="C1726" s="29"/>
      <c r="D1726" s="29"/>
      <c r="E1726" s="29"/>
      <c r="F1726" s="30"/>
      <c r="G1726" s="30"/>
      <c r="H1726" s="30"/>
      <c r="I1726" s="30"/>
      <c r="J1726" s="30"/>
      <c r="K1726" s="30"/>
      <c r="L1726" s="29"/>
      <c r="M1726" s="29"/>
      <c r="N1726" s="29"/>
      <c r="O1726" s="29"/>
      <c r="P1726" s="29"/>
      <c r="Q1726" s="29"/>
      <c r="R1726" s="29"/>
      <c r="S1726" s="29"/>
      <c r="T1726" s="29"/>
      <c r="U1726" s="31"/>
      <c r="V1726" s="31"/>
      <c r="W1726" s="31"/>
      <c r="X1726" s="31"/>
      <c r="Y1726" s="31"/>
    </row>
    <row r="1727" spans="1:25" x14ac:dyDescent="0.2">
      <c r="A1727" s="29"/>
      <c r="B1727" s="29"/>
      <c r="C1727" s="29"/>
      <c r="D1727" s="29"/>
      <c r="E1727" s="29"/>
      <c r="F1727" s="30"/>
      <c r="G1727" s="30"/>
      <c r="H1727" s="30"/>
      <c r="I1727" s="30"/>
      <c r="J1727" s="30"/>
      <c r="K1727" s="30"/>
      <c r="L1727" s="29"/>
      <c r="M1727" s="29"/>
      <c r="N1727" s="29"/>
      <c r="O1727" s="29"/>
      <c r="P1727" s="29"/>
      <c r="Q1727" s="29"/>
      <c r="R1727" s="29"/>
      <c r="S1727" s="29"/>
      <c r="T1727" s="29"/>
      <c r="U1727" s="31"/>
      <c r="V1727" s="31"/>
      <c r="W1727" s="31"/>
      <c r="X1727" s="31"/>
      <c r="Y1727" s="31"/>
    </row>
    <row r="1728" spans="1:25" x14ac:dyDescent="0.2">
      <c r="A1728" s="29"/>
      <c r="B1728" s="29"/>
      <c r="C1728" s="29"/>
      <c r="D1728" s="29"/>
      <c r="E1728" s="29"/>
      <c r="F1728" s="30"/>
      <c r="G1728" s="30"/>
      <c r="H1728" s="30"/>
      <c r="I1728" s="30"/>
      <c r="J1728" s="30"/>
      <c r="K1728" s="30"/>
      <c r="L1728" s="29"/>
      <c r="M1728" s="29"/>
      <c r="N1728" s="29"/>
      <c r="O1728" s="29"/>
      <c r="P1728" s="29"/>
      <c r="Q1728" s="29"/>
      <c r="R1728" s="29"/>
      <c r="S1728" s="29"/>
      <c r="T1728" s="29"/>
      <c r="U1728" s="31"/>
      <c r="V1728" s="31"/>
      <c r="W1728" s="31"/>
      <c r="X1728" s="31"/>
      <c r="Y1728" s="31"/>
    </row>
    <row r="1729" spans="1:25" x14ac:dyDescent="0.2">
      <c r="A1729" s="29"/>
      <c r="B1729" s="29"/>
      <c r="C1729" s="29"/>
      <c r="D1729" s="29"/>
      <c r="E1729" s="29"/>
      <c r="F1729" s="30"/>
      <c r="G1729" s="30"/>
      <c r="H1729" s="30"/>
      <c r="I1729" s="30"/>
      <c r="J1729" s="30"/>
      <c r="K1729" s="30"/>
      <c r="L1729" s="29"/>
      <c r="M1729" s="29"/>
      <c r="N1729" s="29"/>
      <c r="O1729" s="29"/>
      <c r="P1729" s="29"/>
      <c r="Q1729" s="29"/>
      <c r="R1729" s="29"/>
      <c r="S1729" s="29"/>
      <c r="T1729" s="29"/>
      <c r="U1729" s="31"/>
      <c r="V1729" s="31"/>
      <c r="W1729" s="31"/>
      <c r="X1729" s="31"/>
      <c r="Y1729" s="31"/>
    </row>
    <row r="1730" spans="1:25" x14ac:dyDescent="0.2">
      <c r="A1730" s="29"/>
      <c r="B1730" s="29"/>
      <c r="C1730" s="29"/>
      <c r="D1730" s="29"/>
      <c r="E1730" s="29"/>
      <c r="F1730" s="30"/>
      <c r="G1730" s="30"/>
      <c r="H1730" s="30"/>
      <c r="I1730" s="30"/>
      <c r="J1730" s="30"/>
      <c r="K1730" s="30"/>
      <c r="L1730" s="29"/>
      <c r="M1730" s="29"/>
      <c r="N1730" s="29"/>
      <c r="O1730" s="29"/>
      <c r="P1730" s="29"/>
      <c r="Q1730" s="29"/>
      <c r="R1730" s="29"/>
      <c r="S1730" s="29"/>
      <c r="T1730" s="29"/>
      <c r="U1730" s="31"/>
      <c r="V1730" s="31"/>
      <c r="W1730" s="31"/>
      <c r="X1730" s="31"/>
      <c r="Y1730" s="31"/>
    </row>
    <row r="1731" spans="1:25" x14ac:dyDescent="0.2">
      <c r="A1731" s="29"/>
      <c r="B1731" s="29"/>
      <c r="C1731" s="29"/>
      <c r="D1731" s="29"/>
      <c r="E1731" s="29"/>
      <c r="F1731" s="30"/>
      <c r="G1731" s="30"/>
      <c r="H1731" s="30"/>
      <c r="I1731" s="30"/>
      <c r="J1731" s="30"/>
      <c r="K1731" s="30"/>
      <c r="L1731" s="29"/>
      <c r="M1731" s="29"/>
      <c r="N1731" s="29"/>
      <c r="O1731" s="29"/>
      <c r="P1731" s="29"/>
      <c r="Q1731" s="29"/>
      <c r="R1731" s="29"/>
      <c r="S1731" s="29"/>
      <c r="T1731" s="29"/>
      <c r="U1731" s="31"/>
      <c r="V1731" s="31"/>
      <c r="W1731" s="31"/>
      <c r="X1731" s="31"/>
      <c r="Y1731" s="31"/>
    </row>
    <row r="1732" spans="1:25" x14ac:dyDescent="0.2">
      <c r="A1732" s="29"/>
      <c r="B1732" s="29"/>
      <c r="C1732" s="29"/>
      <c r="D1732" s="29"/>
      <c r="E1732" s="29"/>
      <c r="F1732" s="30"/>
      <c r="G1732" s="30"/>
      <c r="H1732" s="30"/>
      <c r="I1732" s="30"/>
      <c r="J1732" s="30"/>
      <c r="K1732" s="30"/>
      <c r="L1732" s="29"/>
      <c r="M1732" s="29"/>
      <c r="N1732" s="29"/>
      <c r="O1732" s="29"/>
      <c r="P1732" s="29"/>
      <c r="Q1732" s="29"/>
      <c r="R1732" s="29"/>
      <c r="S1732" s="29"/>
      <c r="T1732" s="29"/>
      <c r="U1732" s="31"/>
      <c r="V1732" s="31"/>
      <c r="W1732" s="31"/>
      <c r="X1732" s="31"/>
      <c r="Y1732" s="31"/>
    </row>
    <row r="1733" spans="1:25" x14ac:dyDescent="0.2">
      <c r="A1733" s="29"/>
      <c r="B1733" s="29"/>
      <c r="C1733" s="29"/>
      <c r="D1733" s="29"/>
      <c r="E1733" s="29"/>
      <c r="F1733" s="30"/>
      <c r="G1733" s="30"/>
      <c r="H1733" s="30"/>
      <c r="I1733" s="30"/>
      <c r="J1733" s="30"/>
      <c r="K1733" s="30"/>
      <c r="L1733" s="29"/>
      <c r="M1733" s="29"/>
      <c r="N1733" s="29"/>
      <c r="O1733" s="29"/>
      <c r="P1733" s="29"/>
      <c r="Q1733" s="29"/>
      <c r="R1733" s="29"/>
      <c r="S1733" s="29"/>
      <c r="T1733" s="29"/>
      <c r="U1733" s="31"/>
      <c r="V1733" s="31"/>
      <c r="W1733" s="31"/>
      <c r="X1733" s="31"/>
      <c r="Y1733" s="31"/>
    </row>
    <row r="1734" spans="1:25" x14ac:dyDescent="0.2">
      <c r="A1734" s="29"/>
      <c r="B1734" s="29"/>
      <c r="C1734" s="29"/>
      <c r="D1734" s="29"/>
      <c r="E1734" s="29"/>
      <c r="F1734" s="30"/>
      <c r="G1734" s="30"/>
      <c r="H1734" s="30"/>
      <c r="I1734" s="30"/>
      <c r="J1734" s="30"/>
      <c r="K1734" s="30"/>
      <c r="L1734" s="29"/>
      <c r="M1734" s="29"/>
      <c r="N1734" s="29"/>
      <c r="O1734" s="29"/>
      <c r="P1734" s="29"/>
      <c r="Q1734" s="29"/>
      <c r="R1734" s="29"/>
      <c r="S1734" s="29"/>
      <c r="T1734" s="29"/>
      <c r="U1734" s="31"/>
      <c r="V1734" s="31"/>
      <c r="W1734" s="31"/>
      <c r="X1734" s="31"/>
      <c r="Y1734" s="31"/>
    </row>
    <row r="1735" spans="1:25" x14ac:dyDescent="0.2">
      <c r="A1735" s="29"/>
      <c r="B1735" s="29"/>
      <c r="C1735" s="29"/>
      <c r="D1735" s="29"/>
      <c r="E1735" s="29"/>
      <c r="F1735" s="30"/>
      <c r="G1735" s="30"/>
      <c r="H1735" s="30"/>
      <c r="I1735" s="30"/>
      <c r="J1735" s="30"/>
      <c r="K1735" s="30"/>
      <c r="L1735" s="29"/>
      <c r="M1735" s="29"/>
      <c r="N1735" s="29"/>
      <c r="O1735" s="29"/>
      <c r="P1735" s="29"/>
      <c r="Q1735" s="29"/>
      <c r="R1735" s="29"/>
      <c r="S1735" s="29"/>
      <c r="T1735" s="29"/>
      <c r="U1735" s="31"/>
      <c r="V1735" s="31"/>
      <c r="W1735" s="31"/>
      <c r="X1735" s="31"/>
      <c r="Y1735" s="31"/>
    </row>
    <row r="1736" spans="1:25" x14ac:dyDescent="0.2">
      <c r="A1736" s="29"/>
      <c r="B1736" s="29"/>
      <c r="C1736" s="29"/>
      <c r="D1736" s="29"/>
      <c r="E1736" s="29"/>
      <c r="F1736" s="30"/>
      <c r="G1736" s="30"/>
      <c r="H1736" s="30"/>
      <c r="I1736" s="30"/>
      <c r="J1736" s="30"/>
      <c r="K1736" s="30"/>
      <c r="L1736" s="29"/>
      <c r="M1736" s="29"/>
      <c r="N1736" s="29"/>
      <c r="O1736" s="29"/>
      <c r="P1736" s="29"/>
      <c r="Q1736" s="29"/>
      <c r="R1736" s="29"/>
      <c r="S1736" s="29"/>
      <c r="T1736" s="29"/>
      <c r="U1736" s="31"/>
      <c r="V1736" s="31"/>
      <c r="W1736" s="31"/>
      <c r="X1736" s="31"/>
      <c r="Y1736" s="31"/>
    </row>
    <row r="1737" spans="1:25" x14ac:dyDescent="0.2">
      <c r="A1737" s="29"/>
      <c r="B1737" s="29"/>
      <c r="C1737" s="29"/>
      <c r="D1737" s="29"/>
      <c r="E1737" s="29"/>
      <c r="F1737" s="30"/>
      <c r="G1737" s="30"/>
      <c r="H1737" s="30"/>
      <c r="I1737" s="30"/>
      <c r="J1737" s="30"/>
      <c r="K1737" s="30"/>
      <c r="L1737" s="29"/>
      <c r="M1737" s="29"/>
      <c r="N1737" s="29"/>
      <c r="O1737" s="29"/>
      <c r="P1737" s="29"/>
      <c r="Q1737" s="29"/>
      <c r="R1737" s="29"/>
      <c r="S1737" s="29"/>
      <c r="T1737" s="29"/>
      <c r="U1737" s="31"/>
      <c r="V1737" s="31"/>
      <c r="W1737" s="31"/>
      <c r="X1737" s="31"/>
      <c r="Y1737" s="31"/>
    </row>
    <row r="1738" spans="1:25" x14ac:dyDescent="0.2">
      <c r="A1738" s="29"/>
      <c r="B1738" s="29"/>
      <c r="C1738" s="29"/>
      <c r="D1738" s="29"/>
      <c r="E1738" s="29"/>
      <c r="F1738" s="30"/>
      <c r="G1738" s="30"/>
      <c r="H1738" s="30"/>
      <c r="I1738" s="30"/>
      <c r="J1738" s="30"/>
      <c r="K1738" s="30"/>
      <c r="L1738" s="29"/>
      <c r="M1738" s="29"/>
      <c r="N1738" s="29"/>
      <c r="O1738" s="29"/>
      <c r="P1738" s="29"/>
      <c r="Q1738" s="29"/>
      <c r="R1738" s="29"/>
      <c r="S1738" s="29"/>
      <c r="T1738" s="29"/>
      <c r="U1738" s="31"/>
      <c r="V1738" s="31"/>
      <c r="W1738" s="31"/>
      <c r="X1738" s="31"/>
      <c r="Y1738" s="31"/>
    </row>
    <row r="1739" spans="1:25" x14ac:dyDescent="0.2">
      <c r="A1739" s="29"/>
      <c r="B1739" s="29"/>
      <c r="C1739" s="29"/>
      <c r="D1739" s="29"/>
      <c r="E1739" s="29"/>
      <c r="F1739" s="30"/>
      <c r="G1739" s="30"/>
      <c r="H1739" s="30"/>
      <c r="I1739" s="30"/>
      <c r="J1739" s="30"/>
      <c r="K1739" s="30"/>
      <c r="L1739" s="29"/>
      <c r="M1739" s="29"/>
      <c r="N1739" s="29"/>
      <c r="O1739" s="29"/>
      <c r="P1739" s="29"/>
      <c r="Q1739" s="29"/>
      <c r="R1739" s="29"/>
      <c r="S1739" s="29"/>
      <c r="T1739" s="29"/>
      <c r="U1739" s="31"/>
      <c r="V1739" s="31"/>
      <c r="W1739" s="31"/>
      <c r="X1739" s="31"/>
      <c r="Y1739" s="31"/>
    </row>
    <row r="1740" spans="1:25" x14ac:dyDescent="0.2">
      <c r="A1740" s="29"/>
      <c r="B1740" s="29"/>
      <c r="C1740" s="29"/>
      <c r="D1740" s="29"/>
      <c r="E1740" s="29"/>
      <c r="F1740" s="30"/>
      <c r="G1740" s="30"/>
      <c r="H1740" s="30"/>
      <c r="I1740" s="30"/>
      <c r="J1740" s="30"/>
      <c r="K1740" s="30"/>
      <c r="L1740" s="29"/>
      <c r="M1740" s="29"/>
      <c r="N1740" s="29"/>
      <c r="O1740" s="29"/>
      <c r="P1740" s="29"/>
      <c r="Q1740" s="29"/>
      <c r="R1740" s="29"/>
      <c r="S1740" s="29"/>
      <c r="T1740" s="29"/>
      <c r="U1740" s="31"/>
      <c r="V1740" s="31"/>
      <c r="W1740" s="31"/>
      <c r="X1740" s="31"/>
      <c r="Y1740" s="31"/>
    </row>
    <row r="1741" spans="1:25" x14ac:dyDescent="0.2">
      <c r="A1741" s="29"/>
      <c r="B1741" s="29"/>
      <c r="C1741" s="29"/>
      <c r="D1741" s="29"/>
      <c r="E1741" s="29"/>
      <c r="F1741" s="30"/>
      <c r="G1741" s="30"/>
      <c r="H1741" s="30"/>
      <c r="I1741" s="30"/>
      <c r="J1741" s="30"/>
      <c r="K1741" s="30"/>
      <c r="L1741" s="29"/>
      <c r="M1741" s="29"/>
      <c r="N1741" s="29"/>
      <c r="O1741" s="29"/>
      <c r="P1741" s="29"/>
      <c r="Q1741" s="29"/>
      <c r="R1741" s="29"/>
      <c r="S1741" s="29"/>
      <c r="T1741" s="29"/>
      <c r="U1741" s="31"/>
      <c r="V1741" s="31"/>
      <c r="W1741" s="31"/>
      <c r="X1741" s="31"/>
      <c r="Y1741" s="31"/>
    </row>
    <row r="1742" spans="1:25" x14ac:dyDescent="0.2">
      <c r="A1742" s="29"/>
      <c r="B1742" s="29"/>
      <c r="C1742" s="29"/>
      <c r="D1742" s="29"/>
      <c r="E1742" s="29"/>
      <c r="F1742" s="30"/>
      <c r="G1742" s="30"/>
      <c r="H1742" s="30"/>
      <c r="I1742" s="30"/>
      <c r="J1742" s="30"/>
      <c r="K1742" s="30"/>
      <c r="L1742" s="29"/>
      <c r="M1742" s="29"/>
      <c r="N1742" s="29"/>
      <c r="O1742" s="29"/>
      <c r="P1742" s="29"/>
      <c r="Q1742" s="29"/>
      <c r="R1742" s="29"/>
      <c r="S1742" s="29"/>
      <c r="T1742" s="29"/>
      <c r="U1742" s="31"/>
      <c r="V1742" s="31"/>
      <c r="W1742" s="31"/>
      <c r="X1742" s="31"/>
      <c r="Y1742" s="31"/>
    </row>
    <row r="1743" spans="1:25" x14ac:dyDescent="0.2">
      <c r="A1743" s="29"/>
      <c r="B1743" s="29"/>
      <c r="C1743" s="29"/>
      <c r="D1743" s="29"/>
      <c r="E1743" s="29"/>
      <c r="F1743" s="30"/>
      <c r="G1743" s="30"/>
      <c r="H1743" s="30"/>
      <c r="I1743" s="30"/>
      <c r="J1743" s="30"/>
      <c r="K1743" s="30"/>
      <c r="L1743" s="29"/>
      <c r="M1743" s="29"/>
      <c r="N1743" s="29"/>
      <c r="O1743" s="29"/>
      <c r="P1743" s="29"/>
      <c r="Q1743" s="29"/>
      <c r="R1743" s="29"/>
      <c r="S1743" s="29"/>
      <c r="T1743" s="29"/>
      <c r="U1743" s="31"/>
      <c r="V1743" s="31"/>
      <c r="W1743" s="31"/>
      <c r="X1743" s="31"/>
      <c r="Y1743" s="31"/>
    </row>
    <row r="1744" spans="1:25" x14ac:dyDescent="0.2">
      <c r="A1744" s="29"/>
      <c r="B1744" s="29"/>
      <c r="C1744" s="29"/>
      <c r="D1744" s="29"/>
      <c r="E1744" s="29"/>
      <c r="F1744" s="30"/>
      <c r="G1744" s="30"/>
      <c r="H1744" s="30"/>
      <c r="I1744" s="30"/>
      <c r="J1744" s="30"/>
      <c r="K1744" s="30"/>
      <c r="L1744" s="29"/>
      <c r="M1744" s="29"/>
      <c r="N1744" s="29"/>
      <c r="O1744" s="29"/>
      <c r="P1744" s="29"/>
      <c r="Q1744" s="29"/>
      <c r="R1744" s="29"/>
      <c r="S1744" s="29"/>
      <c r="T1744" s="29"/>
      <c r="U1744" s="31"/>
      <c r="V1744" s="31"/>
      <c r="W1744" s="31"/>
      <c r="X1744" s="31"/>
      <c r="Y1744" s="31"/>
    </row>
    <row r="1745" spans="1:25" x14ac:dyDescent="0.2">
      <c r="A1745" s="29"/>
      <c r="B1745" s="29"/>
      <c r="C1745" s="29"/>
      <c r="D1745" s="29"/>
      <c r="E1745" s="29"/>
      <c r="F1745" s="30"/>
      <c r="G1745" s="30"/>
      <c r="H1745" s="30"/>
      <c r="I1745" s="30"/>
      <c r="J1745" s="30"/>
      <c r="K1745" s="30"/>
      <c r="L1745" s="29"/>
      <c r="M1745" s="29"/>
      <c r="N1745" s="29"/>
      <c r="O1745" s="29"/>
      <c r="P1745" s="29"/>
      <c r="Q1745" s="29"/>
      <c r="R1745" s="29"/>
      <c r="S1745" s="29"/>
      <c r="T1745" s="29"/>
      <c r="U1745" s="31"/>
      <c r="V1745" s="31"/>
      <c r="W1745" s="31"/>
      <c r="X1745" s="31"/>
      <c r="Y1745" s="31"/>
    </row>
    <row r="1746" spans="1:25" x14ac:dyDescent="0.2">
      <c r="A1746" s="29"/>
      <c r="B1746" s="29"/>
      <c r="C1746" s="29"/>
      <c r="D1746" s="29"/>
      <c r="E1746" s="29"/>
      <c r="F1746" s="30"/>
      <c r="G1746" s="30"/>
      <c r="H1746" s="30"/>
      <c r="I1746" s="30"/>
      <c r="J1746" s="30"/>
      <c r="K1746" s="30"/>
      <c r="L1746" s="29"/>
      <c r="M1746" s="29"/>
      <c r="N1746" s="29"/>
      <c r="O1746" s="29"/>
      <c r="P1746" s="29"/>
      <c r="Q1746" s="29"/>
      <c r="R1746" s="29"/>
      <c r="S1746" s="29"/>
      <c r="T1746" s="29"/>
      <c r="U1746" s="31"/>
      <c r="V1746" s="31"/>
      <c r="W1746" s="31"/>
      <c r="X1746" s="31"/>
      <c r="Y1746" s="31"/>
    </row>
    <row r="1747" spans="1:25" x14ac:dyDescent="0.2">
      <c r="A1747" s="29"/>
      <c r="B1747" s="29"/>
      <c r="C1747" s="29"/>
      <c r="D1747" s="29"/>
      <c r="E1747" s="29"/>
      <c r="F1747" s="30"/>
      <c r="G1747" s="30"/>
      <c r="H1747" s="30"/>
      <c r="I1747" s="30"/>
      <c r="J1747" s="30"/>
      <c r="K1747" s="30"/>
      <c r="L1747" s="29"/>
      <c r="M1747" s="29"/>
      <c r="N1747" s="29"/>
      <c r="O1747" s="29"/>
      <c r="P1747" s="29"/>
      <c r="Q1747" s="29"/>
      <c r="R1747" s="29"/>
      <c r="S1747" s="29"/>
      <c r="T1747" s="29"/>
      <c r="U1747" s="31"/>
      <c r="V1747" s="31"/>
      <c r="W1747" s="31"/>
      <c r="X1747" s="31"/>
      <c r="Y1747" s="31"/>
    </row>
    <row r="1748" spans="1:25" x14ac:dyDescent="0.2">
      <c r="A1748" s="29"/>
      <c r="B1748" s="29"/>
      <c r="C1748" s="29"/>
      <c r="D1748" s="29"/>
      <c r="E1748" s="29"/>
      <c r="F1748" s="30"/>
      <c r="G1748" s="30"/>
      <c r="H1748" s="30"/>
      <c r="I1748" s="30"/>
      <c r="J1748" s="30"/>
      <c r="K1748" s="30"/>
      <c r="L1748" s="29"/>
      <c r="M1748" s="29"/>
      <c r="N1748" s="29"/>
      <c r="O1748" s="29"/>
      <c r="P1748" s="29"/>
      <c r="Q1748" s="29"/>
      <c r="R1748" s="29"/>
      <c r="S1748" s="29"/>
      <c r="T1748" s="29"/>
      <c r="U1748" s="31"/>
      <c r="V1748" s="31"/>
      <c r="W1748" s="31"/>
      <c r="X1748" s="31"/>
      <c r="Y1748" s="31"/>
    </row>
    <row r="1749" spans="1:25" x14ac:dyDescent="0.2">
      <c r="A1749" s="29"/>
      <c r="B1749" s="29"/>
      <c r="C1749" s="29"/>
      <c r="D1749" s="29"/>
      <c r="E1749" s="29"/>
      <c r="F1749" s="30"/>
      <c r="G1749" s="30"/>
      <c r="H1749" s="30"/>
      <c r="I1749" s="30"/>
      <c r="J1749" s="30"/>
      <c r="K1749" s="30"/>
      <c r="L1749" s="29"/>
      <c r="M1749" s="29"/>
      <c r="N1749" s="29"/>
      <c r="O1749" s="29"/>
      <c r="P1749" s="29"/>
      <c r="Q1749" s="29"/>
      <c r="R1749" s="29"/>
      <c r="S1749" s="29"/>
      <c r="T1749" s="29"/>
      <c r="U1749" s="31"/>
      <c r="V1749" s="31"/>
      <c r="W1749" s="31"/>
      <c r="X1749" s="31"/>
      <c r="Y1749" s="31"/>
    </row>
    <row r="1750" spans="1:25" x14ac:dyDescent="0.2">
      <c r="A1750" s="29"/>
      <c r="B1750" s="29"/>
      <c r="C1750" s="29"/>
      <c r="D1750" s="29"/>
      <c r="E1750" s="29"/>
      <c r="F1750" s="30"/>
      <c r="G1750" s="30"/>
      <c r="H1750" s="30"/>
      <c r="I1750" s="30"/>
      <c r="J1750" s="30"/>
      <c r="K1750" s="30"/>
      <c r="L1750" s="29"/>
      <c r="M1750" s="29"/>
      <c r="N1750" s="29"/>
      <c r="O1750" s="29"/>
      <c r="P1750" s="29"/>
      <c r="Q1750" s="29"/>
      <c r="R1750" s="29"/>
      <c r="S1750" s="29"/>
      <c r="T1750" s="29"/>
      <c r="U1750" s="31"/>
      <c r="V1750" s="31"/>
      <c r="W1750" s="31"/>
      <c r="X1750" s="31"/>
      <c r="Y1750" s="31"/>
    </row>
    <row r="1751" spans="1:25" x14ac:dyDescent="0.2">
      <c r="A1751" s="29"/>
      <c r="B1751" s="29"/>
      <c r="C1751" s="29"/>
      <c r="D1751" s="29"/>
      <c r="E1751" s="29"/>
      <c r="F1751" s="30"/>
      <c r="G1751" s="30"/>
      <c r="H1751" s="30"/>
      <c r="I1751" s="30"/>
      <c r="J1751" s="30"/>
      <c r="K1751" s="30"/>
      <c r="L1751" s="29"/>
      <c r="M1751" s="29"/>
      <c r="N1751" s="29"/>
      <c r="O1751" s="29"/>
      <c r="P1751" s="29"/>
      <c r="Q1751" s="29"/>
      <c r="R1751" s="29"/>
      <c r="S1751" s="29"/>
      <c r="T1751" s="29"/>
      <c r="U1751" s="31"/>
      <c r="V1751" s="31"/>
      <c r="W1751" s="31"/>
      <c r="X1751" s="31"/>
      <c r="Y1751" s="31"/>
    </row>
    <row r="1752" spans="1:25" x14ac:dyDescent="0.2">
      <c r="A1752" s="29"/>
      <c r="B1752" s="29"/>
      <c r="C1752" s="29"/>
      <c r="D1752" s="29"/>
      <c r="E1752" s="29"/>
      <c r="F1752" s="30"/>
      <c r="G1752" s="30"/>
      <c r="H1752" s="30"/>
      <c r="I1752" s="30"/>
      <c r="J1752" s="30"/>
      <c r="K1752" s="30"/>
      <c r="L1752" s="29"/>
      <c r="M1752" s="29"/>
      <c r="N1752" s="29"/>
      <c r="O1752" s="29"/>
      <c r="P1752" s="29"/>
      <c r="Q1752" s="29"/>
      <c r="R1752" s="29"/>
      <c r="S1752" s="29"/>
      <c r="T1752" s="29"/>
      <c r="U1752" s="31"/>
      <c r="V1752" s="31"/>
      <c r="W1752" s="31"/>
      <c r="X1752" s="31"/>
      <c r="Y1752" s="31"/>
    </row>
    <row r="1753" spans="1:25" x14ac:dyDescent="0.2">
      <c r="A1753" s="29"/>
      <c r="B1753" s="29"/>
      <c r="C1753" s="29"/>
      <c r="D1753" s="29"/>
      <c r="E1753" s="29"/>
      <c r="F1753" s="30"/>
      <c r="G1753" s="30"/>
      <c r="H1753" s="30"/>
      <c r="I1753" s="30"/>
      <c r="J1753" s="30"/>
      <c r="K1753" s="30"/>
      <c r="L1753" s="29"/>
      <c r="M1753" s="29"/>
      <c r="N1753" s="29"/>
      <c r="O1753" s="29"/>
      <c r="P1753" s="29"/>
      <c r="Q1753" s="29"/>
      <c r="R1753" s="29"/>
      <c r="S1753" s="29"/>
      <c r="T1753" s="29"/>
      <c r="U1753" s="31"/>
      <c r="V1753" s="31"/>
      <c r="W1753" s="31"/>
      <c r="X1753" s="31"/>
      <c r="Y1753" s="31"/>
    </row>
    <row r="1754" spans="1:25" x14ac:dyDescent="0.2">
      <c r="A1754" s="29"/>
      <c r="B1754" s="29"/>
      <c r="C1754" s="29"/>
      <c r="D1754" s="29"/>
      <c r="E1754" s="29"/>
      <c r="F1754" s="30"/>
      <c r="G1754" s="30"/>
      <c r="H1754" s="30"/>
      <c r="I1754" s="30"/>
      <c r="J1754" s="30"/>
      <c r="K1754" s="30"/>
      <c r="L1754" s="29"/>
      <c r="M1754" s="29"/>
      <c r="N1754" s="29"/>
      <c r="O1754" s="29"/>
      <c r="P1754" s="29"/>
      <c r="Q1754" s="29"/>
      <c r="R1754" s="29"/>
      <c r="S1754" s="29"/>
      <c r="T1754" s="29"/>
      <c r="U1754" s="31"/>
      <c r="V1754" s="31"/>
      <c r="W1754" s="31"/>
      <c r="X1754" s="31"/>
      <c r="Y1754" s="31"/>
    </row>
    <row r="1755" spans="1:25" x14ac:dyDescent="0.2">
      <c r="A1755" s="29"/>
      <c r="B1755" s="29"/>
      <c r="C1755" s="29"/>
      <c r="D1755" s="29"/>
      <c r="E1755" s="29"/>
      <c r="F1755" s="30"/>
      <c r="G1755" s="30"/>
      <c r="H1755" s="30"/>
      <c r="I1755" s="30"/>
      <c r="J1755" s="30"/>
      <c r="K1755" s="30"/>
      <c r="L1755" s="29"/>
      <c r="M1755" s="29"/>
      <c r="N1755" s="29"/>
      <c r="O1755" s="29"/>
      <c r="P1755" s="29"/>
      <c r="Q1755" s="29"/>
      <c r="R1755" s="29"/>
      <c r="S1755" s="29"/>
      <c r="T1755" s="29"/>
      <c r="U1755" s="31"/>
      <c r="V1755" s="31"/>
      <c r="W1755" s="31"/>
      <c r="X1755" s="31"/>
      <c r="Y1755" s="31"/>
    </row>
    <row r="1756" spans="1:25" x14ac:dyDescent="0.2">
      <c r="A1756" s="29"/>
      <c r="B1756" s="29"/>
      <c r="C1756" s="29"/>
      <c r="D1756" s="29"/>
      <c r="E1756" s="29"/>
      <c r="F1756" s="30"/>
      <c r="G1756" s="30"/>
      <c r="H1756" s="30"/>
      <c r="I1756" s="30"/>
      <c r="J1756" s="30"/>
      <c r="K1756" s="30"/>
      <c r="L1756" s="29"/>
      <c r="M1756" s="29"/>
      <c r="N1756" s="29"/>
      <c r="O1756" s="29"/>
      <c r="P1756" s="29"/>
      <c r="Q1756" s="29"/>
      <c r="R1756" s="29"/>
      <c r="S1756" s="29"/>
      <c r="T1756" s="29"/>
      <c r="U1756" s="31"/>
      <c r="V1756" s="31"/>
      <c r="W1756" s="31"/>
      <c r="X1756" s="31"/>
      <c r="Y1756" s="31"/>
    </row>
    <row r="1757" spans="1:25" x14ac:dyDescent="0.2">
      <c r="A1757" s="29"/>
      <c r="B1757" s="29"/>
      <c r="C1757" s="29"/>
      <c r="D1757" s="29"/>
      <c r="E1757" s="29"/>
      <c r="F1757" s="30"/>
      <c r="G1757" s="30"/>
      <c r="H1757" s="30"/>
      <c r="I1757" s="30"/>
      <c r="J1757" s="30"/>
      <c r="K1757" s="30"/>
      <c r="L1757" s="29"/>
      <c r="M1757" s="29"/>
      <c r="N1757" s="29"/>
      <c r="O1757" s="29"/>
      <c r="P1757" s="29"/>
      <c r="Q1757" s="29"/>
      <c r="R1757" s="29"/>
      <c r="S1757" s="29"/>
      <c r="T1757" s="29"/>
      <c r="U1757" s="31"/>
      <c r="V1757" s="31"/>
      <c r="W1757" s="31"/>
      <c r="X1757" s="31"/>
      <c r="Y1757" s="31"/>
    </row>
    <row r="1758" spans="1:25" x14ac:dyDescent="0.2">
      <c r="A1758" s="29"/>
      <c r="B1758" s="29"/>
      <c r="C1758" s="29"/>
      <c r="D1758" s="29"/>
      <c r="E1758" s="29"/>
      <c r="F1758" s="30"/>
      <c r="G1758" s="30"/>
      <c r="H1758" s="30"/>
      <c r="I1758" s="30"/>
      <c r="J1758" s="30"/>
      <c r="K1758" s="30"/>
      <c r="L1758" s="29"/>
      <c r="M1758" s="29"/>
      <c r="N1758" s="29"/>
      <c r="O1758" s="29"/>
      <c r="P1758" s="29"/>
      <c r="Q1758" s="29"/>
      <c r="R1758" s="29"/>
      <c r="S1758" s="29"/>
      <c r="T1758" s="29"/>
      <c r="U1758" s="31"/>
      <c r="V1758" s="31"/>
      <c r="W1758" s="31"/>
      <c r="X1758" s="31"/>
      <c r="Y1758" s="31"/>
    </row>
    <row r="1759" spans="1:25" x14ac:dyDescent="0.2">
      <c r="A1759" s="29"/>
      <c r="B1759" s="29"/>
      <c r="C1759" s="29"/>
      <c r="D1759" s="29"/>
      <c r="E1759" s="29"/>
      <c r="F1759" s="30"/>
      <c r="G1759" s="30"/>
      <c r="H1759" s="30"/>
      <c r="I1759" s="30"/>
      <c r="J1759" s="30"/>
      <c r="K1759" s="30"/>
      <c r="L1759" s="29"/>
      <c r="M1759" s="29"/>
      <c r="N1759" s="29"/>
      <c r="O1759" s="29"/>
      <c r="P1759" s="29"/>
      <c r="Q1759" s="29"/>
      <c r="R1759" s="29"/>
      <c r="S1759" s="29"/>
      <c r="T1759" s="29"/>
      <c r="U1759" s="31"/>
      <c r="V1759" s="31"/>
      <c r="W1759" s="31"/>
      <c r="X1759" s="31"/>
      <c r="Y1759" s="31"/>
    </row>
    <row r="1760" spans="1:25" x14ac:dyDescent="0.2">
      <c r="A1760" s="29"/>
      <c r="B1760" s="29"/>
      <c r="C1760" s="29"/>
      <c r="D1760" s="29"/>
      <c r="E1760" s="29"/>
      <c r="F1760" s="30"/>
      <c r="G1760" s="30"/>
      <c r="H1760" s="30"/>
      <c r="I1760" s="30"/>
      <c r="J1760" s="30"/>
      <c r="K1760" s="30"/>
      <c r="L1760" s="29"/>
      <c r="M1760" s="29"/>
      <c r="N1760" s="29"/>
      <c r="O1760" s="29"/>
      <c r="P1760" s="29"/>
      <c r="Q1760" s="29"/>
      <c r="R1760" s="29"/>
      <c r="S1760" s="29"/>
      <c r="T1760" s="29"/>
      <c r="U1760" s="31"/>
      <c r="V1760" s="31"/>
      <c r="W1760" s="31"/>
      <c r="X1760" s="31"/>
      <c r="Y1760" s="31"/>
    </row>
    <row r="1761" spans="1:25" x14ac:dyDescent="0.2">
      <c r="A1761" s="29"/>
      <c r="B1761" s="29"/>
      <c r="C1761" s="29"/>
      <c r="D1761" s="29"/>
      <c r="E1761" s="29"/>
      <c r="F1761" s="30"/>
      <c r="G1761" s="30"/>
      <c r="H1761" s="30"/>
      <c r="I1761" s="30"/>
      <c r="J1761" s="30"/>
      <c r="K1761" s="30"/>
      <c r="L1761" s="29"/>
      <c r="M1761" s="29"/>
      <c r="N1761" s="29"/>
      <c r="O1761" s="29"/>
      <c r="P1761" s="29"/>
      <c r="Q1761" s="29"/>
      <c r="R1761" s="29"/>
      <c r="S1761" s="29"/>
      <c r="T1761" s="29"/>
      <c r="U1761" s="31"/>
      <c r="V1761" s="31"/>
      <c r="W1761" s="31"/>
      <c r="X1761" s="31"/>
      <c r="Y1761" s="31"/>
    </row>
    <row r="1762" spans="1:25" x14ac:dyDescent="0.2">
      <c r="A1762" s="29"/>
      <c r="B1762" s="29"/>
      <c r="C1762" s="29"/>
      <c r="D1762" s="29"/>
      <c r="E1762" s="29"/>
      <c r="F1762" s="30"/>
      <c r="G1762" s="30"/>
      <c r="H1762" s="30"/>
      <c r="I1762" s="30"/>
      <c r="J1762" s="30"/>
      <c r="K1762" s="30"/>
      <c r="L1762" s="29"/>
      <c r="M1762" s="29"/>
      <c r="N1762" s="29"/>
      <c r="O1762" s="29"/>
      <c r="P1762" s="29"/>
      <c r="Q1762" s="29"/>
      <c r="R1762" s="29"/>
      <c r="S1762" s="29"/>
      <c r="T1762" s="29"/>
      <c r="U1762" s="31"/>
      <c r="V1762" s="31"/>
      <c r="W1762" s="31"/>
      <c r="X1762" s="31"/>
      <c r="Y1762" s="31"/>
    </row>
    <row r="1763" spans="1:25" x14ac:dyDescent="0.2">
      <c r="A1763" s="29"/>
      <c r="B1763" s="29"/>
      <c r="C1763" s="29"/>
      <c r="D1763" s="29"/>
      <c r="E1763" s="29"/>
      <c r="F1763" s="30"/>
      <c r="G1763" s="30"/>
      <c r="H1763" s="30"/>
      <c r="I1763" s="30"/>
      <c r="J1763" s="30"/>
      <c r="K1763" s="30"/>
      <c r="L1763" s="29"/>
      <c r="M1763" s="29"/>
      <c r="N1763" s="29"/>
      <c r="O1763" s="29"/>
      <c r="P1763" s="29"/>
      <c r="Q1763" s="29"/>
      <c r="R1763" s="29"/>
      <c r="S1763" s="29"/>
      <c r="T1763" s="29"/>
      <c r="U1763" s="31"/>
      <c r="V1763" s="31"/>
      <c r="W1763" s="31"/>
      <c r="X1763" s="31"/>
      <c r="Y1763" s="31"/>
    </row>
    <row r="1764" spans="1:25" x14ac:dyDescent="0.2">
      <c r="A1764" s="29"/>
      <c r="B1764" s="29"/>
      <c r="C1764" s="29"/>
      <c r="D1764" s="29"/>
      <c r="E1764" s="29"/>
      <c r="F1764" s="30"/>
      <c r="G1764" s="30"/>
      <c r="H1764" s="30"/>
      <c r="I1764" s="30"/>
      <c r="J1764" s="30"/>
      <c r="K1764" s="30"/>
      <c r="L1764" s="29"/>
      <c r="M1764" s="29"/>
      <c r="N1764" s="29"/>
      <c r="O1764" s="29"/>
      <c r="P1764" s="29"/>
      <c r="Q1764" s="29"/>
      <c r="R1764" s="29"/>
      <c r="S1764" s="29"/>
      <c r="T1764" s="29"/>
      <c r="U1764" s="31"/>
      <c r="V1764" s="31"/>
      <c r="W1764" s="31"/>
      <c r="X1764" s="31"/>
      <c r="Y1764" s="31"/>
    </row>
    <row r="1765" spans="1:25" x14ac:dyDescent="0.2">
      <c r="A1765" s="29"/>
      <c r="B1765" s="29"/>
      <c r="C1765" s="29"/>
      <c r="D1765" s="29"/>
      <c r="E1765" s="29"/>
      <c r="F1765" s="30"/>
      <c r="G1765" s="30"/>
      <c r="H1765" s="30"/>
      <c r="I1765" s="30"/>
      <c r="J1765" s="30"/>
      <c r="K1765" s="30"/>
      <c r="L1765" s="29"/>
      <c r="M1765" s="29"/>
      <c r="N1765" s="29"/>
      <c r="O1765" s="29"/>
      <c r="P1765" s="29"/>
      <c r="Q1765" s="29"/>
      <c r="R1765" s="29"/>
      <c r="S1765" s="29"/>
      <c r="T1765" s="29"/>
      <c r="U1765" s="31"/>
      <c r="V1765" s="31"/>
      <c r="W1765" s="31"/>
      <c r="X1765" s="31"/>
      <c r="Y1765" s="31"/>
    </row>
    <row r="1766" spans="1:25" x14ac:dyDescent="0.2">
      <c r="A1766" s="29"/>
      <c r="B1766" s="29"/>
      <c r="C1766" s="29"/>
      <c r="D1766" s="29"/>
      <c r="E1766" s="29"/>
      <c r="F1766" s="30"/>
      <c r="G1766" s="30"/>
      <c r="H1766" s="30"/>
      <c r="I1766" s="30"/>
      <c r="J1766" s="30"/>
      <c r="K1766" s="30"/>
      <c r="L1766" s="29"/>
      <c r="M1766" s="29"/>
      <c r="N1766" s="29"/>
      <c r="O1766" s="29"/>
      <c r="P1766" s="29"/>
      <c r="Q1766" s="29"/>
      <c r="R1766" s="29"/>
      <c r="S1766" s="29"/>
      <c r="T1766" s="29"/>
      <c r="U1766" s="31"/>
      <c r="V1766" s="31"/>
      <c r="W1766" s="31"/>
      <c r="X1766" s="31"/>
      <c r="Y1766" s="31"/>
    </row>
    <row r="1767" spans="1:25" x14ac:dyDescent="0.2">
      <c r="A1767" s="29"/>
      <c r="B1767" s="29"/>
      <c r="C1767" s="29"/>
      <c r="D1767" s="29"/>
      <c r="E1767" s="29"/>
      <c r="F1767" s="30"/>
      <c r="G1767" s="30"/>
      <c r="H1767" s="30"/>
      <c r="I1767" s="30"/>
      <c r="J1767" s="30"/>
      <c r="K1767" s="30"/>
      <c r="L1767" s="29"/>
      <c r="M1767" s="29"/>
      <c r="N1767" s="29"/>
      <c r="O1767" s="29"/>
      <c r="P1767" s="29"/>
      <c r="Q1767" s="29"/>
      <c r="R1767" s="29"/>
      <c r="S1767" s="29"/>
      <c r="T1767" s="29"/>
      <c r="U1767" s="31"/>
      <c r="V1767" s="31"/>
      <c r="W1767" s="31"/>
      <c r="X1767" s="31"/>
      <c r="Y1767" s="31"/>
    </row>
    <row r="1768" spans="1:25" x14ac:dyDescent="0.2">
      <c r="A1768" s="29"/>
      <c r="B1768" s="29"/>
      <c r="C1768" s="29"/>
      <c r="D1768" s="29"/>
      <c r="E1768" s="29"/>
      <c r="F1768" s="30"/>
      <c r="G1768" s="30"/>
      <c r="H1768" s="30"/>
      <c r="I1768" s="30"/>
      <c r="J1768" s="30"/>
      <c r="K1768" s="30"/>
      <c r="L1768" s="29"/>
      <c r="M1768" s="29"/>
      <c r="N1768" s="29"/>
      <c r="O1768" s="29"/>
      <c r="P1768" s="29"/>
      <c r="Q1768" s="29"/>
      <c r="R1768" s="29"/>
      <c r="S1768" s="29"/>
      <c r="T1768" s="29"/>
      <c r="U1768" s="31"/>
      <c r="V1768" s="31"/>
      <c r="W1768" s="31"/>
      <c r="X1768" s="31"/>
      <c r="Y1768" s="31"/>
    </row>
    <row r="1769" spans="1:25" x14ac:dyDescent="0.2">
      <c r="A1769" s="29"/>
      <c r="B1769" s="29"/>
      <c r="C1769" s="29"/>
      <c r="D1769" s="29"/>
      <c r="E1769" s="29"/>
      <c r="F1769" s="30"/>
      <c r="G1769" s="30"/>
      <c r="H1769" s="30"/>
      <c r="I1769" s="30"/>
      <c r="J1769" s="30"/>
      <c r="K1769" s="30"/>
      <c r="L1769" s="29"/>
      <c r="M1769" s="29"/>
      <c r="N1769" s="29"/>
      <c r="O1769" s="29"/>
      <c r="P1769" s="29"/>
      <c r="Q1769" s="29"/>
      <c r="R1769" s="29"/>
      <c r="S1769" s="29"/>
      <c r="T1769" s="29"/>
      <c r="U1769" s="31"/>
      <c r="V1769" s="31"/>
      <c r="W1769" s="31"/>
      <c r="X1769" s="31"/>
      <c r="Y1769" s="31"/>
    </row>
    <row r="1770" spans="1:25" x14ac:dyDescent="0.2">
      <c r="A1770" s="29"/>
      <c r="B1770" s="29"/>
      <c r="C1770" s="29"/>
      <c r="D1770" s="29"/>
      <c r="E1770" s="29"/>
      <c r="F1770" s="30"/>
      <c r="G1770" s="30"/>
      <c r="H1770" s="30"/>
      <c r="I1770" s="30"/>
      <c r="J1770" s="30"/>
      <c r="K1770" s="30"/>
      <c r="L1770" s="29"/>
      <c r="M1770" s="29"/>
      <c r="N1770" s="29"/>
      <c r="O1770" s="29"/>
      <c r="P1770" s="29"/>
      <c r="Q1770" s="29"/>
      <c r="R1770" s="29"/>
      <c r="S1770" s="29"/>
      <c r="T1770" s="29"/>
      <c r="U1770" s="31"/>
      <c r="V1770" s="31"/>
      <c r="W1770" s="31"/>
      <c r="X1770" s="31"/>
      <c r="Y1770" s="31"/>
    </row>
    <row r="1771" spans="1:25" x14ac:dyDescent="0.2">
      <c r="A1771" s="29"/>
      <c r="B1771" s="29"/>
      <c r="C1771" s="29"/>
      <c r="D1771" s="29"/>
      <c r="E1771" s="29"/>
      <c r="F1771" s="30"/>
      <c r="G1771" s="30"/>
      <c r="H1771" s="30"/>
      <c r="I1771" s="30"/>
      <c r="J1771" s="30"/>
      <c r="K1771" s="30"/>
      <c r="L1771" s="29"/>
      <c r="M1771" s="29"/>
      <c r="N1771" s="29"/>
      <c r="O1771" s="29"/>
      <c r="P1771" s="29"/>
      <c r="Q1771" s="29"/>
      <c r="R1771" s="29"/>
      <c r="S1771" s="29"/>
      <c r="T1771" s="29"/>
      <c r="U1771" s="31"/>
      <c r="V1771" s="31"/>
      <c r="W1771" s="31"/>
      <c r="X1771" s="31"/>
      <c r="Y1771" s="31"/>
    </row>
    <row r="1772" spans="1:25" x14ac:dyDescent="0.2">
      <c r="A1772" s="29"/>
      <c r="B1772" s="29"/>
      <c r="C1772" s="29"/>
      <c r="D1772" s="29"/>
      <c r="E1772" s="29"/>
      <c r="F1772" s="30"/>
      <c r="G1772" s="30"/>
      <c r="H1772" s="30"/>
      <c r="I1772" s="30"/>
      <c r="J1772" s="30"/>
      <c r="K1772" s="30"/>
      <c r="L1772" s="29"/>
      <c r="M1772" s="29"/>
      <c r="N1772" s="29"/>
      <c r="O1772" s="29"/>
      <c r="P1772" s="29"/>
      <c r="Q1772" s="29"/>
      <c r="R1772" s="29"/>
      <c r="S1772" s="29"/>
      <c r="T1772" s="29"/>
      <c r="U1772" s="31"/>
      <c r="V1772" s="31"/>
      <c r="W1772" s="31"/>
      <c r="X1772" s="31"/>
      <c r="Y1772" s="31"/>
    </row>
    <row r="1773" spans="1:25" x14ac:dyDescent="0.2">
      <c r="A1773" s="29"/>
      <c r="B1773" s="29"/>
      <c r="C1773" s="29"/>
      <c r="D1773" s="29"/>
      <c r="E1773" s="29"/>
      <c r="F1773" s="30"/>
      <c r="G1773" s="30"/>
      <c r="H1773" s="30"/>
      <c r="I1773" s="30"/>
      <c r="J1773" s="30"/>
      <c r="K1773" s="30"/>
      <c r="L1773" s="29"/>
      <c r="M1773" s="29"/>
      <c r="N1773" s="29"/>
      <c r="O1773" s="29"/>
      <c r="P1773" s="29"/>
      <c r="Q1773" s="29"/>
      <c r="R1773" s="29"/>
      <c r="S1773" s="29"/>
      <c r="T1773" s="29"/>
      <c r="U1773" s="31"/>
      <c r="V1773" s="31"/>
      <c r="W1773" s="31"/>
      <c r="X1773" s="31"/>
      <c r="Y1773" s="31"/>
    </row>
    <row r="1774" spans="1:25" x14ac:dyDescent="0.2">
      <c r="A1774" s="29"/>
      <c r="B1774" s="29"/>
      <c r="C1774" s="29"/>
      <c r="D1774" s="29"/>
      <c r="E1774" s="29"/>
      <c r="F1774" s="30"/>
      <c r="G1774" s="30"/>
      <c r="H1774" s="30"/>
      <c r="I1774" s="30"/>
      <c r="J1774" s="30"/>
      <c r="K1774" s="30"/>
      <c r="L1774" s="29"/>
      <c r="M1774" s="29"/>
      <c r="N1774" s="29"/>
      <c r="O1774" s="29"/>
      <c r="P1774" s="29"/>
      <c r="Q1774" s="29"/>
      <c r="R1774" s="29"/>
      <c r="S1774" s="29"/>
      <c r="T1774" s="29"/>
      <c r="U1774" s="31"/>
      <c r="V1774" s="31"/>
      <c r="W1774" s="31"/>
      <c r="X1774" s="31"/>
      <c r="Y1774" s="31"/>
    </row>
    <row r="1775" spans="1:25" x14ac:dyDescent="0.2">
      <c r="A1775" s="29"/>
      <c r="B1775" s="29"/>
      <c r="C1775" s="29"/>
      <c r="D1775" s="29"/>
      <c r="E1775" s="29"/>
      <c r="F1775" s="30"/>
      <c r="G1775" s="30"/>
      <c r="H1775" s="30"/>
      <c r="I1775" s="30"/>
      <c r="J1775" s="30"/>
      <c r="K1775" s="30"/>
      <c r="L1775" s="29"/>
      <c r="M1775" s="29"/>
      <c r="N1775" s="29"/>
      <c r="O1775" s="29"/>
      <c r="P1775" s="29"/>
      <c r="Q1775" s="29"/>
      <c r="R1775" s="29"/>
      <c r="S1775" s="29"/>
      <c r="T1775" s="29"/>
      <c r="U1775" s="31"/>
      <c r="V1775" s="31"/>
      <c r="W1775" s="31"/>
      <c r="X1775" s="31"/>
      <c r="Y1775" s="31"/>
    </row>
    <row r="1776" spans="1:25" x14ac:dyDescent="0.2">
      <c r="A1776" s="29"/>
      <c r="B1776" s="29"/>
      <c r="C1776" s="29"/>
      <c r="D1776" s="29"/>
      <c r="E1776" s="29"/>
      <c r="F1776" s="30"/>
      <c r="G1776" s="30"/>
      <c r="H1776" s="30"/>
      <c r="I1776" s="30"/>
      <c r="J1776" s="30"/>
      <c r="K1776" s="30"/>
      <c r="L1776" s="29"/>
      <c r="M1776" s="29"/>
      <c r="N1776" s="29"/>
      <c r="O1776" s="29"/>
      <c r="P1776" s="29"/>
      <c r="Q1776" s="29"/>
      <c r="R1776" s="29"/>
      <c r="S1776" s="29"/>
      <c r="T1776" s="29"/>
      <c r="U1776" s="31"/>
      <c r="V1776" s="31"/>
      <c r="W1776" s="31"/>
      <c r="X1776" s="31"/>
      <c r="Y1776" s="31"/>
    </row>
    <row r="1777" spans="1:25" x14ac:dyDescent="0.2">
      <c r="A1777" s="29"/>
      <c r="B1777" s="29"/>
      <c r="C1777" s="29"/>
      <c r="D1777" s="29"/>
      <c r="E1777" s="29"/>
      <c r="F1777" s="30"/>
      <c r="G1777" s="30"/>
      <c r="H1777" s="30"/>
      <c r="I1777" s="30"/>
      <c r="J1777" s="30"/>
      <c r="K1777" s="30"/>
      <c r="L1777" s="29"/>
      <c r="M1777" s="29"/>
      <c r="N1777" s="29"/>
      <c r="O1777" s="29"/>
      <c r="P1777" s="29"/>
      <c r="Q1777" s="29"/>
      <c r="R1777" s="29"/>
      <c r="S1777" s="29"/>
      <c r="T1777" s="29"/>
      <c r="U1777" s="31"/>
      <c r="V1777" s="31"/>
      <c r="W1777" s="31"/>
      <c r="X1777" s="31"/>
      <c r="Y1777" s="31"/>
    </row>
    <row r="1778" spans="1:25" x14ac:dyDescent="0.2">
      <c r="A1778" s="29"/>
      <c r="B1778" s="29"/>
      <c r="C1778" s="29"/>
      <c r="D1778" s="29"/>
      <c r="E1778" s="29"/>
      <c r="F1778" s="30"/>
      <c r="G1778" s="30"/>
      <c r="H1778" s="30"/>
      <c r="I1778" s="30"/>
      <c r="J1778" s="30"/>
      <c r="K1778" s="30"/>
      <c r="L1778" s="29"/>
      <c r="M1778" s="29"/>
      <c r="N1778" s="29"/>
      <c r="O1778" s="29"/>
      <c r="P1778" s="29"/>
      <c r="Q1778" s="29"/>
      <c r="R1778" s="29"/>
      <c r="S1778" s="29"/>
      <c r="T1778" s="29"/>
      <c r="U1778" s="31"/>
      <c r="V1778" s="31"/>
      <c r="W1778" s="31"/>
      <c r="X1778" s="31"/>
      <c r="Y1778" s="31"/>
    </row>
    <row r="1779" spans="1:25" x14ac:dyDescent="0.2">
      <c r="A1779" s="29"/>
      <c r="B1779" s="29"/>
      <c r="C1779" s="29"/>
      <c r="D1779" s="29"/>
      <c r="E1779" s="29"/>
      <c r="F1779" s="30"/>
      <c r="G1779" s="30"/>
      <c r="H1779" s="30"/>
      <c r="I1779" s="30"/>
      <c r="J1779" s="30"/>
      <c r="K1779" s="30"/>
      <c r="L1779" s="29"/>
      <c r="M1779" s="29"/>
      <c r="N1779" s="29"/>
      <c r="O1779" s="29"/>
      <c r="P1779" s="29"/>
      <c r="Q1779" s="29"/>
      <c r="R1779" s="29"/>
      <c r="S1779" s="29"/>
      <c r="T1779" s="29"/>
      <c r="U1779" s="31"/>
      <c r="V1779" s="31"/>
      <c r="W1779" s="31"/>
      <c r="X1779" s="31"/>
      <c r="Y1779" s="31"/>
    </row>
    <row r="1780" spans="1:25" x14ac:dyDescent="0.2">
      <c r="A1780" s="29"/>
      <c r="B1780" s="29"/>
      <c r="C1780" s="29"/>
      <c r="D1780" s="29"/>
      <c r="E1780" s="29"/>
      <c r="F1780" s="30"/>
      <c r="G1780" s="30"/>
      <c r="H1780" s="30"/>
      <c r="I1780" s="30"/>
      <c r="J1780" s="30"/>
      <c r="K1780" s="30"/>
      <c r="L1780" s="29"/>
      <c r="M1780" s="29"/>
      <c r="N1780" s="29"/>
      <c r="O1780" s="29"/>
      <c r="P1780" s="29"/>
      <c r="Q1780" s="29"/>
      <c r="R1780" s="29"/>
      <c r="S1780" s="29"/>
      <c r="T1780" s="29"/>
      <c r="U1780" s="31"/>
      <c r="V1780" s="31"/>
      <c r="W1780" s="31"/>
      <c r="X1780" s="31"/>
      <c r="Y1780" s="31"/>
    </row>
    <row r="1781" spans="1:25" x14ac:dyDescent="0.2">
      <c r="A1781" s="29"/>
      <c r="B1781" s="29"/>
      <c r="C1781" s="29"/>
      <c r="D1781" s="29"/>
      <c r="E1781" s="29"/>
      <c r="F1781" s="30"/>
      <c r="G1781" s="30"/>
      <c r="H1781" s="30"/>
      <c r="I1781" s="30"/>
      <c r="J1781" s="30"/>
      <c r="K1781" s="30"/>
      <c r="L1781" s="29"/>
      <c r="M1781" s="29"/>
      <c r="N1781" s="29"/>
      <c r="O1781" s="29"/>
      <c r="P1781" s="29"/>
      <c r="Q1781" s="29"/>
      <c r="R1781" s="29"/>
      <c r="S1781" s="29"/>
      <c r="T1781" s="29"/>
      <c r="U1781" s="31"/>
      <c r="V1781" s="31"/>
      <c r="W1781" s="31"/>
      <c r="X1781" s="31"/>
      <c r="Y1781" s="31"/>
    </row>
    <row r="1782" spans="1:25" x14ac:dyDescent="0.2">
      <c r="A1782" s="29"/>
      <c r="B1782" s="29"/>
      <c r="C1782" s="29"/>
      <c r="D1782" s="29"/>
      <c r="E1782" s="29"/>
      <c r="F1782" s="30"/>
      <c r="G1782" s="30"/>
      <c r="H1782" s="30"/>
      <c r="I1782" s="30"/>
      <c r="J1782" s="30"/>
      <c r="K1782" s="30"/>
      <c r="L1782" s="29"/>
      <c r="M1782" s="29"/>
      <c r="N1782" s="29"/>
      <c r="O1782" s="29"/>
      <c r="P1782" s="29"/>
      <c r="Q1782" s="29"/>
      <c r="R1782" s="29"/>
      <c r="S1782" s="29"/>
      <c r="T1782" s="29"/>
      <c r="U1782" s="31"/>
      <c r="V1782" s="31"/>
      <c r="W1782" s="31"/>
      <c r="X1782" s="31"/>
      <c r="Y1782" s="31"/>
    </row>
    <row r="1783" spans="1:25" x14ac:dyDescent="0.2">
      <c r="A1783" s="29"/>
      <c r="B1783" s="29"/>
      <c r="C1783" s="29"/>
      <c r="D1783" s="29"/>
      <c r="E1783" s="29"/>
      <c r="F1783" s="30"/>
      <c r="G1783" s="30"/>
      <c r="H1783" s="30"/>
      <c r="I1783" s="30"/>
      <c r="J1783" s="30"/>
      <c r="K1783" s="30"/>
      <c r="L1783" s="29"/>
      <c r="M1783" s="29"/>
      <c r="N1783" s="29"/>
      <c r="O1783" s="29"/>
      <c r="P1783" s="29"/>
      <c r="Q1783" s="29"/>
      <c r="R1783" s="29"/>
      <c r="S1783" s="29"/>
      <c r="T1783" s="29"/>
      <c r="U1783" s="31"/>
      <c r="V1783" s="31"/>
      <c r="W1783" s="31"/>
      <c r="X1783" s="31"/>
      <c r="Y1783" s="31"/>
    </row>
    <row r="1784" spans="1:25" x14ac:dyDescent="0.2">
      <c r="A1784" s="29"/>
      <c r="B1784" s="29"/>
      <c r="C1784" s="29"/>
      <c r="D1784" s="29"/>
      <c r="E1784" s="29"/>
      <c r="F1784" s="30"/>
      <c r="G1784" s="30"/>
      <c r="H1784" s="30"/>
      <c r="I1784" s="30"/>
      <c r="J1784" s="30"/>
      <c r="K1784" s="30"/>
      <c r="L1784" s="29"/>
      <c r="M1784" s="29"/>
      <c r="N1784" s="29"/>
      <c r="O1784" s="29"/>
      <c r="P1784" s="29"/>
      <c r="Q1784" s="29"/>
      <c r="R1784" s="29"/>
      <c r="S1784" s="29"/>
      <c r="T1784" s="29"/>
      <c r="U1784" s="31"/>
      <c r="V1784" s="31"/>
      <c r="W1784" s="31"/>
      <c r="X1784" s="31"/>
      <c r="Y1784" s="31"/>
    </row>
    <row r="1785" spans="1:25" x14ac:dyDescent="0.2">
      <c r="A1785" s="29"/>
      <c r="B1785" s="29"/>
      <c r="C1785" s="29"/>
      <c r="D1785" s="29"/>
      <c r="E1785" s="29"/>
      <c r="F1785" s="30"/>
      <c r="G1785" s="30"/>
      <c r="H1785" s="30"/>
      <c r="I1785" s="30"/>
      <c r="J1785" s="30"/>
      <c r="K1785" s="30"/>
      <c r="L1785" s="29"/>
      <c r="M1785" s="29"/>
      <c r="N1785" s="29"/>
      <c r="O1785" s="29"/>
      <c r="P1785" s="29"/>
      <c r="Q1785" s="29"/>
      <c r="R1785" s="29"/>
      <c r="S1785" s="29"/>
      <c r="T1785" s="29"/>
      <c r="U1785" s="31"/>
      <c r="V1785" s="31"/>
      <c r="W1785" s="31"/>
      <c r="X1785" s="31"/>
      <c r="Y1785" s="31"/>
    </row>
    <row r="1786" spans="1:25" x14ac:dyDescent="0.2">
      <c r="A1786" s="29"/>
      <c r="B1786" s="29"/>
      <c r="C1786" s="29"/>
      <c r="D1786" s="29"/>
      <c r="E1786" s="29"/>
      <c r="F1786" s="30"/>
      <c r="G1786" s="30"/>
      <c r="H1786" s="30"/>
      <c r="I1786" s="30"/>
      <c r="J1786" s="30"/>
      <c r="K1786" s="30"/>
      <c r="L1786" s="29"/>
      <c r="M1786" s="29"/>
      <c r="N1786" s="29"/>
      <c r="O1786" s="29"/>
      <c r="P1786" s="29"/>
      <c r="Q1786" s="29"/>
      <c r="R1786" s="29"/>
      <c r="S1786" s="29"/>
      <c r="T1786" s="29"/>
      <c r="U1786" s="31"/>
      <c r="V1786" s="31"/>
      <c r="W1786" s="31"/>
      <c r="X1786" s="31"/>
      <c r="Y1786" s="31"/>
    </row>
    <row r="1787" spans="1:25" x14ac:dyDescent="0.2">
      <c r="A1787" s="29"/>
      <c r="B1787" s="29"/>
      <c r="C1787" s="29"/>
      <c r="D1787" s="29"/>
      <c r="E1787" s="29"/>
      <c r="F1787" s="30"/>
      <c r="G1787" s="30"/>
      <c r="H1787" s="30"/>
      <c r="I1787" s="30"/>
      <c r="J1787" s="30"/>
      <c r="K1787" s="30"/>
      <c r="L1787" s="29"/>
      <c r="M1787" s="29"/>
      <c r="N1787" s="29"/>
      <c r="O1787" s="29"/>
      <c r="P1787" s="29"/>
      <c r="Q1787" s="29"/>
      <c r="R1787" s="29"/>
      <c r="S1787" s="29"/>
      <c r="T1787" s="29"/>
      <c r="U1787" s="31"/>
      <c r="V1787" s="31"/>
      <c r="W1787" s="31"/>
      <c r="X1787" s="31"/>
      <c r="Y1787" s="31"/>
    </row>
    <row r="1788" spans="1:25" x14ac:dyDescent="0.2">
      <c r="A1788" s="29"/>
      <c r="B1788" s="29"/>
      <c r="C1788" s="29"/>
      <c r="D1788" s="29"/>
      <c r="E1788" s="29"/>
      <c r="F1788" s="30"/>
      <c r="G1788" s="30"/>
      <c r="H1788" s="30"/>
      <c r="I1788" s="30"/>
      <c r="J1788" s="30"/>
      <c r="K1788" s="30"/>
      <c r="L1788" s="29"/>
      <c r="M1788" s="29"/>
      <c r="N1788" s="29"/>
      <c r="O1788" s="29"/>
      <c r="P1788" s="29"/>
      <c r="Q1788" s="29"/>
      <c r="R1788" s="29"/>
      <c r="S1788" s="29"/>
      <c r="T1788" s="29"/>
      <c r="U1788" s="31"/>
      <c r="V1788" s="31"/>
      <c r="W1788" s="31"/>
      <c r="X1788" s="31"/>
      <c r="Y1788" s="31"/>
    </row>
    <row r="1789" spans="1:25" x14ac:dyDescent="0.2">
      <c r="A1789" s="29"/>
      <c r="B1789" s="29"/>
      <c r="C1789" s="29"/>
      <c r="D1789" s="29"/>
      <c r="E1789" s="29"/>
      <c r="F1789" s="30"/>
      <c r="G1789" s="30"/>
      <c r="H1789" s="30"/>
      <c r="I1789" s="30"/>
      <c r="J1789" s="30"/>
      <c r="K1789" s="30"/>
      <c r="L1789" s="29"/>
      <c r="M1789" s="29"/>
      <c r="N1789" s="29"/>
      <c r="O1789" s="29"/>
      <c r="P1789" s="29"/>
      <c r="Q1789" s="29"/>
      <c r="R1789" s="29"/>
      <c r="S1789" s="29"/>
      <c r="T1789" s="29"/>
      <c r="U1789" s="31"/>
      <c r="V1789" s="31"/>
      <c r="W1789" s="31"/>
      <c r="X1789" s="31"/>
      <c r="Y1789" s="31"/>
    </row>
    <row r="1790" spans="1:25" x14ac:dyDescent="0.2">
      <c r="A1790" s="29"/>
      <c r="B1790" s="29"/>
      <c r="C1790" s="29"/>
      <c r="D1790" s="29"/>
      <c r="E1790" s="29"/>
      <c r="F1790" s="30"/>
      <c r="G1790" s="30"/>
      <c r="H1790" s="30"/>
      <c r="I1790" s="30"/>
      <c r="J1790" s="30"/>
      <c r="K1790" s="30"/>
      <c r="L1790" s="29"/>
      <c r="M1790" s="29"/>
      <c r="N1790" s="29"/>
      <c r="O1790" s="29"/>
      <c r="P1790" s="29"/>
      <c r="Q1790" s="29"/>
      <c r="R1790" s="29"/>
      <c r="S1790" s="29"/>
      <c r="T1790" s="29"/>
      <c r="U1790" s="31"/>
      <c r="V1790" s="31"/>
      <c r="W1790" s="31"/>
      <c r="X1790" s="31"/>
      <c r="Y1790" s="31"/>
    </row>
    <row r="1791" spans="1:25" x14ac:dyDescent="0.2">
      <c r="A1791" s="29"/>
      <c r="B1791" s="29"/>
      <c r="C1791" s="29"/>
      <c r="D1791" s="29"/>
      <c r="E1791" s="29"/>
      <c r="F1791" s="30"/>
      <c r="G1791" s="30"/>
      <c r="H1791" s="30"/>
      <c r="I1791" s="30"/>
      <c r="J1791" s="30"/>
      <c r="K1791" s="30"/>
      <c r="L1791" s="29"/>
      <c r="M1791" s="29"/>
      <c r="N1791" s="29"/>
      <c r="O1791" s="29"/>
      <c r="P1791" s="29"/>
      <c r="Q1791" s="29"/>
      <c r="R1791" s="29"/>
      <c r="S1791" s="29"/>
      <c r="T1791" s="29"/>
      <c r="U1791" s="31"/>
      <c r="V1791" s="31"/>
      <c r="W1791" s="31"/>
      <c r="X1791" s="31"/>
      <c r="Y1791" s="31"/>
    </row>
    <row r="1792" spans="1:25" x14ac:dyDescent="0.2">
      <c r="A1792" s="29"/>
      <c r="B1792" s="29"/>
      <c r="C1792" s="29"/>
      <c r="D1792" s="29"/>
      <c r="E1792" s="29"/>
      <c r="F1792" s="30"/>
      <c r="G1792" s="30"/>
      <c r="H1792" s="30"/>
      <c r="I1792" s="30"/>
      <c r="J1792" s="30"/>
      <c r="K1792" s="30"/>
      <c r="L1792" s="29"/>
      <c r="M1792" s="29"/>
      <c r="N1792" s="29"/>
      <c r="O1792" s="29"/>
      <c r="P1792" s="29"/>
      <c r="Q1792" s="29"/>
      <c r="R1792" s="29"/>
      <c r="S1792" s="29"/>
      <c r="T1792" s="29"/>
      <c r="U1792" s="31"/>
      <c r="V1792" s="31"/>
      <c r="W1792" s="31"/>
      <c r="X1792" s="31"/>
      <c r="Y1792" s="31"/>
    </row>
    <row r="1793" spans="1:25" x14ac:dyDescent="0.2">
      <c r="A1793" s="29"/>
      <c r="B1793" s="29"/>
      <c r="C1793" s="29"/>
      <c r="D1793" s="29"/>
      <c r="E1793" s="29"/>
      <c r="F1793" s="30"/>
      <c r="G1793" s="30"/>
      <c r="H1793" s="30"/>
      <c r="I1793" s="30"/>
      <c r="J1793" s="30"/>
      <c r="K1793" s="30"/>
      <c r="L1793" s="29"/>
      <c r="M1793" s="29"/>
      <c r="N1793" s="29"/>
      <c r="O1793" s="29"/>
      <c r="P1793" s="29"/>
      <c r="Q1793" s="29"/>
      <c r="R1793" s="29"/>
      <c r="S1793" s="29"/>
      <c r="T1793" s="29"/>
      <c r="U1793" s="31"/>
      <c r="V1793" s="31"/>
      <c r="W1793" s="31"/>
      <c r="X1793" s="31"/>
      <c r="Y1793" s="31"/>
    </row>
    <row r="1794" spans="1:25" x14ac:dyDescent="0.2">
      <c r="A1794" s="29"/>
      <c r="B1794" s="29"/>
      <c r="C1794" s="29"/>
      <c r="D1794" s="29"/>
      <c r="E1794" s="29"/>
      <c r="F1794" s="30"/>
      <c r="G1794" s="30"/>
      <c r="H1794" s="30"/>
      <c r="I1794" s="30"/>
      <c r="J1794" s="30"/>
      <c r="K1794" s="30"/>
      <c r="L1794" s="29"/>
      <c r="M1794" s="29"/>
      <c r="N1794" s="29"/>
      <c r="O1794" s="29"/>
      <c r="P1794" s="29"/>
      <c r="Q1794" s="29"/>
      <c r="R1794" s="29"/>
      <c r="S1794" s="29"/>
      <c r="T1794" s="29"/>
      <c r="U1794" s="31"/>
      <c r="V1794" s="31"/>
      <c r="W1794" s="31"/>
      <c r="X1794" s="31"/>
      <c r="Y1794" s="31"/>
    </row>
    <row r="1795" spans="1:25" x14ac:dyDescent="0.2">
      <c r="A1795" s="29"/>
      <c r="B1795" s="29"/>
      <c r="C1795" s="29"/>
      <c r="D1795" s="29"/>
      <c r="E1795" s="29"/>
      <c r="F1795" s="30"/>
      <c r="G1795" s="30"/>
      <c r="H1795" s="30"/>
      <c r="I1795" s="30"/>
      <c r="J1795" s="30"/>
      <c r="K1795" s="30"/>
      <c r="L1795" s="29"/>
      <c r="M1795" s="29"/>
      <c r="N1795" s="29"/>
      <c r="O1795" s="29"/>
      <c r="P1795" s="29"/>
      <c r="Q1795" s="29"/>
      <c r="R1795" s="29"/>
      <c r="S1795" s="29"/>
      <c r="T1795" s="29"/>
      <c r="U1795" s="31"/>
      <c r="V1795" s="31"/>
      <c r="W1795" s="31"/>
      <c r="X1795" s="31"/>
      <c r="Y1795" s="31"/>
    </row>
    <row r="1796" spans="1:25" x14ac:dyDescent="0.2">
      <c r="A1796" s="29"/>
      <c r="B1796" s="29"/>
      <c r="C1796" s="29"/>
      <c r="D1796" s="29"/>
      <c r="E1796" s="29"/>
      <c r="F1796" s="30"/>
      <c r="G1796" s="30"/>
      <c r="H1796" s="30"/>
      <c r="I1796" s="30"/>
      <c r="J1796" s="30"/>
      <c r="K1796" s="30"/>
      <c r="L1796" s="29"/>
      <c r="M1796" s="29"/>
      <c r="N1796" s="29"/>
      <c r="O1796" s="29"/>
      <c r="P1796" s="29"/>
      <c r="Q1796" s="29"/>
      <c r="R1796" s="29"/>
      <c r="S1796" s="29"/>
      <c r="T1796" s="29"/>
      <c r="U1796" s="31"/>
      <c r="V1796" s="31"/>
      <c r="W1796" s="31"/>
      <c r="X1796" s="31"/>
      <c r="Y1796" s="31"/>
    </row>
    <row r="1797" spans="1:25" x14ac:dyDescent="0.2">
      <c r="A1797" s="29"/>
      <c r="B1797" s="29"/>
      <c r="C1797" s="29"/>
      <c r="D1797" s="29"/>
      <c r="E1797" s="29"/>
      <c r="F1797" s="30"/>
      <c r="G1797" s="30"/>
      <c r="H1797" s="30"/>
      <c r="I1797" s="30"/>
      <c r="J1797" s="30"/>
      <c r="K1797" s="30"/>
      <c r="L1797" s="29"/>
      <c r="M1797" s="29"/>
      <c r="N1797" s="29"/>
      <c r="O1797" s="29"/>
      <c r="P1797" s="29"/>
      <c r="Q1797" s="29"/>
      <c r="R1797" s="29"/>
      <c r="S1797" s="29"/>
      <c r="T1797" s="29"/>
      <c r="U1797" s="31"/>
      <c r="V1797" s="31"/>
      <c r="W1797" s="31"/>
      <c r="X1797" s="31"/>
      <c r="Y1797" s="31"/>
    </row>
    <row r="1798" spans="1:25" x14ac:dyDescent="0.2">
      <c r="A1798" s="29"/>
      <c r="B1798" s="29"/>
      <c r="C1798" s="29"/>
      <c r="D1798" s="29"/>
      <c r="E1798" s="29"/>
      <c r="F1798" s="30"/>
      <c r="G1798" s="30"/>
      <c r="H1798" s="30"/>
      <c r="I1798" s="30"/>
      <c r="J1798" s="30"/>
      <c r="K1798" s="30"/>
      <c r="L1798" s="29"/>
      <c r="M1798" s="29"/>
      <c r="N1798" s="29"/>
      <c r="O1798" s="29"/>
      <c r="P1798" s="29"/>
      <c r="Q1798" s="29"/>
      <c r="R1798" s="29"/>
      <c r="S1798" s="29"/>
      <c r="T1798" s="29"/>
      <c r="U1798" s="31"/>
      <c r="V1798" s="31"/>
      <c r="W1798" s="31"/>
      <c r="X1798" s="31"/>
      <c r="Y1798" s="31"/>
    </row>
    <row r="1799" spans="1:25" x14ac:dyDescent="0.2">
      <c r="A1799" s="29"/>
      <c r="B1799" s="29"/>
      <c r="C1799" s="29"/>
      <c r="D1799" s="29"/>
      <c r="E1799" s="29"/>
      <c r="F1799" s="30"/>
      <c r="G1799" s="30"/>
      <c r="H1799" s="30"/>
      <c r="I1799" s="30"/>
      <c r="J1799" s="30"/>
      <c r="K1799" s="30"/>
      <c r="L1799" s="29"/>
      <c r="M1799" s="29"/>
      <c r="N1799" s="29"/>
      <c r="O1799" s="29"/>
      <c r="P1799" s="29"/>
      <c r="Q1799" s="29"/>
      <c r="R1799" s="29"/>
      <c r="S1799" s="29"/>
      <c r="T1799" s="29"/>
      <c r="U1799" s="31"/>
      <c r="V1799" s="31"/>
      <c r="W1799" s="31"/>
      <c r="X1799" s="31"/>
      <c r="Y1799" s="31"/>
    </row>
    <row r="1800" spans="1:25" x14ac:dyDescent="0.2">
      <c r="A1800" s="29"/>
      <c r="B1800" s="29"/>
      <c r="C1800" s="29"/>
      <c r="D1800" s="29"/>
      <c r="E1800" s="29"/>
      <c r="F1800" s="30"/>
      <c r="G1800" s="30"/>
      <c r="H1800" s="30"/>
      <c r="I1800" s="30"/>
      <c r="J1800" s="30"/>
      <c r="K1800" s="30"/>
      <c r="L1800" s="29"/>
      <c r="M1800" s="29"/>
      <c r="N1800" s="29"/>
      <c r="O1800" s="29"/>
      <c r="P1800" s="29"/>
      <c r="Q1800" s="29"/>
      <c r="R1800" s="29"/>
      <c r="S1800" s="29"/>
      <c r="T1800" s="29"/>
      <c r="U1800" s="31"/>
      <c r="V1800" s="31"/>
      <c r="W1800" s="31"/>
      <c r="X1800" s="31"/>
      <c r="Y1800" s="31"/>
    </row>
    <row r="1801" spans="1:25" x14ac:dyDescent="0.2">
      <c r="A1801" s="29"/>
      <c r="B1801" s="29"/>
      <c r="C1801" s="29"/>
      <c r="D1801" s="29"/>
      <c r="E1801" s="29"/>
      <c r="F1801" s="30"/>
      <c r="G1801" s="30"/>
      <c r="H1801" s="30"/>
      <c r="I1801" s="30"/>
      <c r="J1801" s="30"/>
      <c r="K1801" s="30"/>
      <c r="L1801" s="29"/>
      <c r="M1801" s="29"/>
      <c r="N1801" s="29"/>
      <c r="O1801" s="29"/>
      <c r="P1801" s="29"/>
      <c r="Q1801" s="29"/>
      <c r="R1801" s="29"/>
      <c r="S1801" s="29"/>
      <c r="T1801" s="29"/>
      <c r="U1801" s="31"/>
      <c r="V1801" s="31"/>
      <c r="W1801" s="31"/>
      <c r="X1801" s="31"/>
      <c r="Y1801" s="31"/>
    </row>
    <row r="1802" spans="1:25" x14ac:dyDescent="0.2">
      <c r="A1802" s="29"/>
      <c r="B1802" s="29"/>
      <c r="C1802" s="29"/>
      <c r="D1802" s="29"/>
      <c r="E1802" s="29"/>
      <c r="F1802" s="30"/>
      <c r="G1802" s="30"/>
      <c r="H1802" s="30"/>
      <c r="I1802" s="30"/>
      <c r="J1802" s="30"/>
      <c r="K1802" s="30"/>
      <c r="L1802" s="29"/>
      <c r="M1802" s="29"/>
      <c r="N1802" s="29"/>
      <c r="O1802" s="29"/>
      <c r="P1802" s="29"/>
      <c r="Q1802" s="29"/>
      <c r="R1802" s="29"/>
      <c r="S1802" s="29"/>
      <c r="T1802" s="29"/>
      <c r="U1802" s="31"/>
      <c r="V1802" s="31"/>
      <c r="W1802" s="31"/>
      <c r="X1802" s="31"/>
      <c r="Y1802" s="31"/>
    </row>
    <row r="1803" spans="1:25" x14ac:dyDescent="0.2">
      <c r="A1803" s="29"/>
      <c r="B1803" s="29"/>
      <c r="C1803" s="29"/>
      <c r="D1803" s="29"/>
      <c r="E1803" s="29"/>
      <c r="F1803" s="30"/>
      <c r="G1803" s="30"/>
      <c r="H1803" s="30"/>
      <c r="I1803" s="30"/>
      <c r="J1803" s="30"/>
      <c r="K1803" s="30"/>
      <c r="L1803" s="29"/>
      <c r="M1803" s="29"/>
      <c r="N1803" s="29"/>
      <c r="O1803" s="29"/>
      <c r="P1803" s="29"/>
      <c r="Q1803" s="29"/>
      <c r="R1803" s="29"/>
      <c r="S1803" s="29"/>
      <c r="T1803" s="29"/>
      <c r="U1803" s="31"/>
      <c r="V1803" s="31"/>
      <c r="W1803" s="31"/>
      <c r="X1803" s="31"/>
      <c r="Y1803" s="31"/>
    </row>
    <row r="1804" spans="1:25" x14ac:dyDescent="0.2">
      <c r="A1804" s="29"/>
      <c r="B1804" s="29"/>
      <c r="C1804" s="29"/>
      <c r="D1804" s="29"/>
      <c r="E1804" s="29"/>
      <c r="F1804" s="30"/>
      <c r="G1804" s="30"/>
      <c r="H1804" s="30"/>
      <c r="I1804" s="30"/>
      <c r="J1804" s="30"/>
      <c r="K1804" s="30"/>
      <c r="L1804" s="29"/>
      <c r="M1804" s="29"/>
      <c r="N1804" s="29"/>
      <c r="O1804" s="29"/>
      <c r="P1804" s="29"/>
      <c r="Q1804" s="29"/>
      <c r="R1804" s="29"/>
      <c r="S1804" s="29"/>
      <c r="T1804" s="29"/>
      <c r="U1804" s="31"/>
      <c r="V1804" s="31"/>
      <c r="W1804" s="31"/>
      <c r="X1804" s="31"/>
      <c r="Y1804" s="31"/>
    </row>
    <row r="1805" spans="1:25" x14ac:dyDescent="0.2">
      <c r="A1805" s="29"/>
      <c r="B1805" s="29"/>
      <c r="C1805" s="29"/>
      <c r="D1805" s="29"/>
      <c r="E1805" s="29"/>
      <c r="F1805" s="30"/>
      <c r="G1805" s="30"/>
      <c r="H1805" s="30"/>
      <c r="I1805" s="30"/>
      <c r="J1805" s="30"/>
      <c r="K1805" s="30"/>
      <c r="L1805" s="29"/>
      <c r="M1805" s="29"/>
      <c r="N1805" s="29"/>
      <c r="O1805" s="29"/>
      <c r="P1805" s="29"/>
      <c r="Q1805" s="29"/>
      <c r="R1805" s="29"/>
      <c r="S1805" s="29"/>
      <c r="T1805" s="29"/>
      <c r="U1805" s="31"/>
      <c r="V1805" s="31"/>
      <c r="W1805" s="31"/>
      <c r="X1805" s="31"/>
      <c r="Y1805" s="31"/>
    </row>
    <row r="1806" spans="1:25" x14ac:dyDescent="0.2">
      <c r="A1806" s="29"/>
      <c r="B1806" s="29"/>
      <c r="C1806" s="29"/>
      <c r="D1806" s="29"/>
      <c r="E1806" s="29"/>
      <c r="F1806" s="30"/>
      <c r="G1806" s="30"/>
      <c r="H1806" s="30"/>
      <c r="I1806" s="30"/>
      <c r="J1806" s="30"/>
      <c r="K1806" s="30"/>
      <c r="L1806" s="29"/>
      <c r="M1806" s="29"/>
      <c r="N1806" s="29"/>
      <c r="O1806" s="29"/>
      <c r="P1806" s="29"/>
      <c r="Q1806" s="29"/>
      <c r="R1806" s="29"/>
      <c r="S1806" s="29"/>
      <c r="T1806" s="29"/>
      <c r="U1806" s="31"/>
      <c r="V1806" s="31"/>
      <c r="W1806" s="31"/>
      <c r="X1806" s="31"/>
      <c r="Y1806" s="31"/>
    </row>
    <row r="1807" spans="1:25" x14ac:dyDescent="0.2">
      <c r="A1807" s="29"/>
      <c r="B1807" s="29"/>
      <c r="C1807" s="29"/>
      <c r="D1807" s="29"/>
      <c r="E1807" s="29"/>
      <c r="F1807" s="30"/>
      <c r="G1807" s="30"/>
      <c r="H1807" s="30"/>
      <c r="I1807" s="30"/>
      <c r="J1807" s="30"/>
      <c r="K1807" s="30"/>
      <c r="L1807" s="29"/>
      <c r="M1807" s="29"/>
      <c r="N1807" s="29"/>
      <c r="O1807" s="29"/>
      <c r="P1807" s="29"/>
      <c r="Q1807" s="29"/>
      <c r="R1807" s="29"/>
      <c r="S1807" s="29"/>
      <c r="T1807" s="29"/>
      <c r="U1807" s="31"/>
      <c r="V1807" s="31"/>
      <c r="W1807" s="31"/>
      <c r="X1807" s="31"/>
      <c r="Y1807" s="31"/>
    </row>
    <row r="1808" spans="1:25" x14ac:dyDescent="0.2">
      <c r="A1808" s="29"/>
      <c r="B1808" s="29"/>
      <c r="C1808" s="29"/>
      <c r="D1808" s="29"/>
      <c r="E1808" s="29"/>
      <c r="F1808" s="30"/>
      <c r="G1808" s="30"/>
      <c r="H1808" s="30"/>
      <c r="I1808" s="30"/>
      <c r="J1808" s="30"/>
      <c r="K1808" s="30"/>
      <c r="L1808" s="29"/>
      <c r="M1808" s="29"/>
      <c r="N1808" s="29"/>
      <c r="O1808" s="29"/>
      <c r="P1808" s="29"/>
      <c r="Q1808" s="29"/>
      <c r="R1808" s="29"/>
      <c r="S1808" s="29"/>
      <c r="T1808" s="29"/>
      <c r="U1808" s="31"/>
      <c r="V1808" s="31"/>
      <c r="W1808" s="31"/>
      <c r="X1808" s="31"/>
      <c r="Y1808" s="31"/>
    </row>
    <row r="1809" spans="1:25" x14ac:dyDescent="0.2">
      <c r="A1809" s="29"/>
      <c r="B1809" s="29"/>
      <c r="C1809" s="29"/>
      <c r="D1809" s="29"/>
      <c r="E1809" s="29"/>
      <c r="F1809" s="30"/>
      <c r="G1809" s="30"/>
      <c r="H1809" s="30"/>
      <c r="I1809" s="30"/>
      <c r="J1809" s="30"/>
      <c r="K1809" s="30"/>
      <c r="L1809" s="29"/>
      <c r="M1809" s="29"/>
      <c r="N1809" s="29"/>
      <c r="O1809" s="29"/>
      <c r="P1809" s="29"/>
      <c r="Q1809" s="29"/>
      <c r="R1809" s="29"/>
      <c r="S1809" s="29"/>
      <c r="T1809" s="29"/>
      <c r="U1809" s="31"/>
      <c r="V1809" s="31"/>
      <c r="W1809" s="31"/>
      <c r="X1809" s="31"/>
      <c r="Y1809" s="31"/>
    </row>
    <row r="1810" spans="1:25" x14ac:dyDescent="0.2">
      <c r="A1810" s="29"/>
      <c r="B1810" s="29"/>
      <c r="C1810" s="29"/>
      <c r="D1810" s="29"/>
      <c r="E1810" s="29"/>
      <c r="F1810" s="30"/>
      <c r="G1810" s="30"/>
      <c r="H1810" s="30"/>
      <c r="I1810" s="30"/>
      <c r="J1810" s="30"/>
      <c r="K1810" s="30"/>
      <c r="L1810" s="29"/>
      <c r="M1810" s="29"/>
      <c r="N1810" s="29"/>
      <c r="O1810" s="29"/>
      <c r="P1810" s="29"/>
      <c r="Q1810" s="29"/>
      <c r="R1810" s="29"/>
      <c r="S1810" s="29"/>
      <c r="T1810" s="29"/>
      <c r="U1810" s="31"/>
      <c r="V1810" s="31"/>
      <c r="W1810" s="31"/>
      <c r="X1810" s="31"/>
      <c r="Y1810" s="31"/>
    </row>
    <row r="1811" spans="1:25" x14ac:dyDescent="0.2">
      <c r="A1811" s="29"/>
      <c r="B1811" s="29"/>
      <c r="C1811" s="29"/>
      <c r="D1811" s="29"/>
      <c r="E1811" s="29"/>
      <c r="F1811" s="30"/>
      <c r="G1811" s="30"/>
      <c r="H1811" s="30"/>
      <c r="I1811" s="30"/>
      <c r="J1811" s="30"/>
      <c r="K1811" s="30"/>
      <c r="L1811" s="29"/>
      <c r="M1811" s="29"/>
      <c r="N1811" s="29"/>
      <c r="O1811" s="29"/>
      <c r="P1811" s="29"/>
      <c r="Q1811" s="29"/>
      <c r="R1811" s="29"/>
      <c r="S1811" s="29"/>
      <c r="T1811" s="29"/>
      <c r="U1811" s="31"/>
      <c r="V1811" s="31"/>
      <c r="W1811" s="31"/>
      <c r="X1811" s="31"/>
      <c r="Y1811" s="31"/>
    </row>
    <row r="1812" spans="1:25" x14ac:dyDescent="0.2">
      <c r="A1812" s="29"/>
      <c r="B1812" s="29"/>
      <c r="C1812" s="29"/>
      <c r="D1812" s="29"/>
      <c r="E1812" s="29"/>
      <c r="F1812" s="30"/>
      <c r="G1812" s="30"/>
      <c r="H1812" s="30"/>
      <c r="I1812" s="30"/>
      <c r="J1812" s="30"/>
      <c r="K1812" s="30"/>
      <c r="L1812" s="29"/>
      <c r="M1812" s="29"/>
      <c r="N1812" s="29"/>
      <c r="O1812" s="29"/>
      <c r="P1812" s="29"/>
      <c r="Q1812" s="29"/>
      <c r="R1812" s="29"/>
      <c r="S1812" s="29"/>
      <c r="T1812" s="29"/>
      <c r="U1812" s="31"/>
      <c r="V1812" s="31"/>
      <c r="W1812" s="31"/>
      <c r="X1812" s="31"/>
      <c r="Y1812" s="31"/>
    </row>
    <row r="1813" spans="1:25" x14ac:dyDescent="0.2">
      <c r="A1813" s="29"/>
      <c r="B1813" s="29"/>
      <c r="C1813" s="29"/>
      <c r="D1813" s="29"/>
      <c r="E1813" s="29"/>
      <c r="F1813" s="30"/>
      <c r="G1813" s="30"/>
      <c r="H1813" s="30"/>
      <c r="I1813" s="30"/>
      <c r="J1813" s="30"/>
      <c r="K1813" s="30"/>
      <c r="L1813" s="29"/>
      <c r="M1813" s="29"/>
      <c r="N1813" s="29"/>
      <c r="O1813" s="29"/>
      <c r="P1813" s="29"/>
      <c r="Q1813" s="29"/>
      <c r="R1813" s="29"/>
      <c r="S1813" s="29"/>
      <c r="T1813" s="29"/>
      <c r="U1813" s="31"/>
      <c r="V1813" s="31"/>
      <c r="W1813" s="31"/>
      <c r="X1813" s="31"/>
      <c r="Y1813" s="31"/>
    </row>
    <row r="1814" spans="1:25" x14ac:dyDescent="0.2">
      <c r="A1814" s="29"/>
      <c r="B1814" s="29"/>
      <c r="C1814" s="29"/>
      <c r="D1814" s="29"/>
      <c r="E1814" s="29"/>
      <c r="F1814" s="30"/>
      <c r="G1814" s="30"/>
      <c r="H1814" s="30"/>
      <c r="I1814" s="30"/>
      <c r="J1814" s="30"/>
      <c r="K1814" s="30"/>
      <c r="L1814" s="29"/>
      <c r="M1814" s="29"/>
      <c r="N1814" s="29"/>
      <c r="O1814" s="29"/>
      <c r="P1814" s="29"/>
      <c r="Q1814" s="29"/>
      <c r="R1814" s="29"/>
      <c r="S1814" s="29"/>
      <c r="T1814" s="29"/>
      <c r="U1814" s="31"/>
      <c r="V1814" s="31"/>
      <c r="W1814" s="31"/>
      <c r="X1814" s="31"/>
      <c r="Y1814" s="31"/>
    </row>
    <row r="1815" spans="1:25" x14ac:dyDescent="0.2">
      <c r="A1815" s="29"/>
      <c r="B1815" s="29"/>
      <c r="C1815" s="29"/>
      <c r="D1815" s="29"/>
      <c r="E1815" s="29"/>
      <c r="F1815" s="30"/>
      <c r="G1815" s="30"/>
      <c r="H1815" s="30"/>
      <c r="I1815" s="30"/>
      <c r="J1815" s="30"/>
      <c r="K1815" s="30"/>
      <c r="L1815" s="29"/>
      <c r="M1815" s="29"/>
      <c r="N1815" s="29"/>
      <c r="O1815" s="29"/>
      <c r="P1815" s="29"/>
      <c r="Q1815" s="29"/>
      <c r="R1815" s="29"/>
      <c r="S1815" s="29"/>
      <c r="T1815" s="29"/>
      <c r="U1815" s="31"/>
      <c r="V1815" s="31"/>
      <c r="W1815" s="31"/>
      <c r="X1815" s="31"/>
      <c r="Y1815" s="31"/>
    </row>
    <row r="1816" spans="1:25" x14ac:dyDescent="0.2">
      <c r="A1816" s="29"/>
      <c r="B1816" s="29"/>
      <c r="C1816" s="29"/>
      <c r="D1816" s="29"/>
      <c r="E1816" s="29"/>
      <c r="F1816" s="30"/>
      <c r="G1816" s="30"/>
      <c r="H1816" s="30"/>
      <c r="I1816" s="30"/>
      <c r="J1816" s="30"/>
      <c r="K1816" s="30"/>
      <c r="L1816" s="29"/>
      <c r="M1816" s="29"/>
      <c r="N1816" s="29"/>
      <c r="O1816" s="29"/>
      <c r="P1816" s="29"/>
      <c r="Q1816" s="29"/>
      <c r="R1816" s="29"/>
      <c r="S1816" s="29"/>
      <c r="T1816" s="29"/>
      <c r="U1816" s="31"/>
      <c r="V1816" s="31"/>
      <c r="W1816" s="31"/>
      <c r="X1816" s="31"/>
      <c r="Y1816" s="31"/>
    </row>
    <row r="1817" spans="1:25" x14ac:dyDescent="0.2">
      <c r="A1817" s="29"/>
      <c r="B1817" s="29"/>
      <c r="C1817" s="29"/>
      <c r="D1817" s="29"/>
      <c r="E1817" s="29"/>
      <c r="F1817" s="30"/>
      <c r="G1817" s="30"/>
      <c r="H1817" s="30"/>
      <c r="I1817" s="30"/>
      <c r="J1817" s="30"/>
      <c r="K1817" s="30"/>
      <c r="L1817" s="29"/>
      <c r="M1817" s="29"/>
      <c r="N1817" s="29"/>
      <c r="O1817" s="29"/>
      <c r="P1817" s="29"/>
      <c r="Q1817" s="29"/>
      <c r="R1817" s="29"/>
      <c r="S1817" s="29"/>
      <c r="T1817" s="29"/>
      <c r="U1817" s="31"/>
      <c r="V1817" s="31"/>
      <c r="W1817" s="31"/>
      <c r="X1817" s="31"/>
      <c r="Y1817" s="31"/>
    </row>
    <row r="1818" spans="1:25" x14ac:dyDescent="0.2">
      <c r="A1818" s="29"/>
      <c r="B1818" s="29"/>
      <c r="C1818" s="29"/>
      <c r="D1818" s="29"/>
      <c r="E1818" s="29"/>
      <c r="F1818" s="30"/>
      <c r="G1818" s="30"/>
      <c r="H1818" s="30"/>
      <c r="I1818" s="30"/>
      <c r="J1818" s="30"/>
      <c r="K1818" s="30"/>
      <c r="L1818" s="29"/>
      <c r="M1818" s="29"/>
      <c r="N1818" s="29"/>
      <c r="O1818" s="29"/>
      <c r="P1818" s="29"/>
      <c r="Q1818" s="29"/>
      <c r="R1818" s="29"/>
      <c r="S1818" s="29"/>
      <c r="T1818" s="29"/>
      <c r="U1818" s="31"/>
      <c r="V1818" s="31"/>
      <c r="W1818" s="31"/>
      <c r="X1818" s="31"/>
      <c r="Y1818" s="31"/>
    </row>
    <row r="1819" spans="1:25" x14ac:dyDescent="0.2">
      <c r="A1819" s="29"/>
      <c r="B1819" s="29"/>
      <c r="C1819" s="29"/>
      <c r="D1819" s="29"/>
      <c r="E1819" s="29"/>
      <c r="F1819" s="30"/>
      <c r="G1819" s="30"/>
      <c r="H1819" s="30"/>
      <c r="I1819" s="30"/>
      <c r="J1819" s="30"/>
      <c r="K1819" s="30"/>
      <c r="L1819" s="29"/>
      <c r="M1819" s="29"/>
      <c r="N1819" s="29"/>
      <c r="O1819" s="29"/>
      <c r="P1819" s="29"/>
      <c r="Q1819" s="29"/>
      <c r="R1819" s="29"/>
      <c r="S1819" s="29"/>
      <c r="T1819" s="29"/>
      <c r="U1819" s="31"/>
      <c r="V1819" s="31"/>
      <c r="W1819" s="31"/>
      <c r="X1819" s="31"/>
      <c r="Y1819" s="31"/>
    </row>
    <row r="1820" spans="1:25" x14ac:dyDescent="0.2">
      <c r="A1820" s="29"/>
      <c r="B1820" s="29"/>
      <c r="C1820" s="29"/>
      <c r="D1820" s="29"/>
      <c r="E1820" s="29"/>
      <c r="F1820" s="30"/>
      <c r="G1820" s="30"/>
      <c r="H1820" s="30"/>
      <c r="I1820" s="30"/>
      <c r="J1820" s="30"/>
      <c r="K1820" s="30"/>
      <c r="L1820" s="29"/>
      <c r="M1820" s="29"/>
      <c r="N1820" s="29"/>
      <c r="O1820" s="29"/>
      <c r="P1820" s="29"/>
      <c r="Q1820" s="29"/>
      <c r="R1820" s="29"/>
      <c r="S1820" s="29"/>
      <c r="T1820" s="29"/>
      <c r="U1820" s="31"/>
      <c r="V1820" s="31"/>
      <c r="W1820" s="31"/>
      <c r="X1820" s="31"/>
      <c r="Y1820" s="31"/>
    </row>
    <row r="1821" spans="1:25" x14ac:dyDescent="0.2">
      <c r="A1821" s="29"/>
      <c r="B1821" s="29"/>
      <c r="C1821" s="29"/>
      <c r="D1821" s="29"/>
      <c r="E1821" s="29"/>
      <c r="F1821" s="30"/>
      <c r="G1821" s="30"/>
      <c r="H1821" s="30"/>
      <c r="I1821" s="30"/>
      <c r="J1821" s="30"/>
      <c r="K1821" s="30"/>
      <c r="L1821" s="29"/>
      <c r="M1821" s="29"/>
      <c r="N1821" s="29"/>
      <c r="O1821" s="29"/>
      <c r="P1821" s="29"/>
      <c r="Q1821" s="29"/>
      <c r="R1821" s="29"/>
      <c r="S1821" s="29"/>
      <c r="T1821" s="29"/>
      <c r="U1821" s="31"/>
      <c r="V1821" s="31"/>
      <c r="W1821" s="31"/>
      <c r="X1821" s="31"/>
      <c r="Y1821" s="31"/>
    </row>
    <row r="1822" spans="1:25" x14ac:dyDescent="0.2">
      <c r="A1822" s="29"/>
      <c r="B1822" s="29"/>
      <c r="C1822" s="29"/>
      <c r="D1822" s="29"/>
      <c r="E1822" s="29"/>
      <c r="F1822" s="30"/>
      <c r="G1822" s="30"/>
      <c r="H1822" s="30"/>
      <c r="I1822" s="30"/>
      <c r="J1822" s="30"/>
      <c r="K1822" s="30"/>
      <c r="L1822" s="29"/>
      <c r="M1822" s="29"/>
      <c r="N1822" s="29"/>
      <c r="O1822" s="29"/>
      <c r="P1822" s="29"/>
      <c r="Q1822" s="29"/>
      <c r="R1822" s="29"/>
      <c r="S1822" s="29"/>
      <c r="T1822" s="29"/>
      <c r="U1822" s="31"/>
      <c r="V1822" s="31"/>
      <c r="W1822" s="31"/>
      <c r="X1822" s="31"/>
      <c r="Y1822" s="31"/>
    </row>
    <row r="1823" spans="1:25" x14ac:dyDescent="0.2">
      <c r="A1823" s="29"/>
      <c r="B1823" s="29"/>
      <c r="C1823" s="29"/>
      <c r="D1823" s="29"/>
      <c r="E1823" s="29"/>
      <c r="F1823" s="30"/>
      <c r="G1823" s="30"/>
      <c r="H1823" s="30"/>
      <c r="I1823" s="30"/>
      <c r="J1823" s="30"/>
      <c r="K1823" s="30"/>
      <c r="L1823" s="29"/>
      <c r="M1823" s="29"/>
      <c r="N1823" s="29"/>
      <c r="O1823" s="29"/>
      <c r="P1823" s="29"/>
      <c r="Q1823" s="29"/>
      <c r="R1823" s="29"/>
      <c r="S1823" s="29"/>
      <c r="T1823" s="29"/>
      <c r="U1823" s="31"/>
      <c r="V1823" s="31"/>
      <c r="W1823" s="31"/>
      <c r="X1823" s="31"/>
      <c r="Y1823" s="31"/>
    </row>
    <row r="1824" spans="1:25" x14ac:dyDescent="0.2">
      <c r="A1824" s="29"/>
      <c r="B1824" s="29"/>
      <c r="C1824" s="29"/>
      <c r="D1824" s="29"/>
      <c r="E1824" s="29"/>
      <c r="F1824" s="30"/>
      <c r="G1824" s="30"/>
      <c r="H1824" s="30"/>
      <c r="I1824" s="30"/>
      <c r="J1824" s="30"/>
      <c r="K1824" s="30"/>
      <c r="L1824" s="29"/>
      <c r="M1824" s="29"/>
      <c r="N1824" s="29"/>
      <c r="O1824" s="29"/>
      <c r="P1824" s="29"/>
      <c r="Q1824" s="29"/>
      <c r="R1824" s="29"/>
      <c r="S1824" s="29"/>
      <c r="T1824" s="29"/>
      <c r="U1824" s="31"/>
      <c r="V1824" s="31"/>
      <c r="W1824" s="31"/>
      <c r="X1824" s="31"/>
      <c r="Y1824" s="31"/>
    </row>
    <row r="1825" spans="1:25" x14ac:dyDescent="0.2">
      <c r="A1825" s="29"/>
      <c r="B1825" s="29"/>
      <c r="C1825" s="29"/>
      <c r="D1825" s="29"/>
      <c r="E1825" s="29"/>
      <c r="F1825" s="30"/>
      <c r="G1825" s="30"/>
      <c r="H1825" s="30"/>
      <c r="I1825" s="30"/>
      <c r="J1825" s="30"/>
      <c r="K1825" s="30"/>
      <c r="L1825" s="29"/>
      <c r="M1825" s="29"/>
      <c r="N1825" s="29"/>
      <c r="O1825" s="29"/>
      <c r="P1825" s="29"/>
      <c r="Q1825" s="29"/>
      <c r="R1825" s="29"/>
      <c r="S1825" s="29"/>
      <c r="T1825" s="29"/>
      <c r="U1825" s="31"/>
      <c r="V1825" s="31"/>
      <c r="W1825" s="31"/>
      <c r="X1825" s="31"/>
      <c r="Y1825" s="31"/>
    </row>
    <row r="1826" spans="1:25" x14ac:dyDescent="0.2">
      <c r="A1826" s="29"/>
      <c r="B1826" s="29"/>
      <c r="C1826" s="29"/>
      <c r="D1826" s="29"/>
      <c r="E1826" s="29"/>
      <c r="F1826" s="30"/>
      <c r="G1826" s="30"/>
      <c r="H1826" s="30"/>
      <c r="I1826" s="30"/>
      <c r="J1826" s="30"/>
      <c r="K1826" s="30"/>
      <c r="L1826" s="29"/>
      <c r="M1826" s="29"/>
      <c r="N1826" s="29"/>
      <c r="O1826" s="29"/>
      <c r="P1826" s="29"/>
      <c r="Q1826" s="29"/>
      <c r="R1826" s="29"/>
      <c r="S1826" s="29"/>
      <c r="T1826" s="29"/>
      <c r="U1826" s="31"/>
      <c r="V1826" s="31"/>
      <c r="W1826" s="31"/>
      <c r="X1826" s="31"/>
      <c r="Y1826" s="31"/>
    </row>
    <row r="1827" spans="1:25" x14ac:dyDescent="0.2">
      <c r="A1827" s="29"/>
      <c r="B1827" s="29"/>
      <c r="C1827" s="29"/>
      <c r="D1827" s="29"/>
      <c r="E1827" s="29"/>
      <c r="F1827" s="30"/>
      <c r="G1827" s="30"/>
      <c r="H1827" s="30"/>
      <c r="I1827" s="30"/>
      <c r="J1827" s="30"/>
      <c r="K1827" s="30"/>
      <c r="L1827" s="29"/>
      <c r="M1827" s="29"/>
      <c r="N1827" s="29"/>
      <c r="O1827" s="29"/>
      <c r="P1827" s="29"/>
      <c r="Q1827" s="29"/>
      <c r="R1827" s="29"/>
      <c r="S1827" s="29"/>
      <c r="T1827" s="29"/>
      <c r="U1827" s="31"/>
      <c r="V1827" s="31"/>
      <c r="W1827" s="31"/>
      <c r="X1827" s="31"/>
      <c r="Y1827" s="31"/>
    </row>
    <row r="1828" spans="1:25" x14ac:dyDescent="0.2">
      <c r="A1828" s="29"/>
      <c r="B1828" s="29"/>
      <c r="C1828" s="29"/>
      <c r="D1828" s="29"/>
      <c r="E1828" s="29"/>
      <c r="F1828" s="30"/>
      <c r="G1828" s="30"/>
      <c r="H1828" s="30"/>
      <c r="I1828" s="30"/>
      <c r="J1828" s="30"/>
      <c r="K1828" s="30"/>
      <c r="L1828" s="29"/>
      <c r="M1828" s="29"/>
      <c r="N1828" s="29"/>
      <c r="O1828" s="29"/>
      <c r="P1828" s="29"/>
      <c r="Q1828" s="29"/>
      <c r="R1828" s="29"/>
      <c r="S1828" s="29"/>
      <c r="T1828" s="29"/>
      <c r="U1828" s="31"/>
      <c r="V1828" s="31"/>
      <c r="W1828" s="31"/>
      <c r="X1828" s="31"/>
      <c r="Y1828" s="31"/>
    </row>
    <row r="1829" spans="1:25" x14ac:dyDescent="0.2">
      <c r="A1829" s="29"/>
      <c r="B1829" s="29"/>
      <c r="C1829" s="29"/>
      <c r="D1829" s="29"/>
      <c r="E1829" s="29"/>
      <c r="F1829" s="30"/>
      <c r="G1829" s="30"/>
      <c r="H1829" s="30"/>
      <c r="I1829" s="30"/>
      <c r="J1829" s="30"/>
      <c r="K1829" s="30"/>
      <c r="L1829" s="29"/>
      <c r="M1829" s="29"/>
      <c r="N1829" s="29"/>
      <c r="O1829" s="29"/>
      <c r="P1829" s="29"/>
      <c r="Q1829" s="29"/>
      <c r="R1829" s="29"/>
      <c r="S1829" s="29"/>
      <c r="T1829" s="29"/>
      <c r="U1829" s="31"/>
      <c r="V1829" s="31"/>
      <c r="W1829" s="31"/>
      <c r="X1829" s="31"/>
      <c r="Y1829" s="31"/>
    </row>
    <row r="1830" spans="1:25" x14ac:dyDescent="0.2">
      <c r="A1830" s="29"/>
      <c r="B1830" s="29"/>
      <c r="C1830" s="29"/>
      <c r="D1830" s="29"/>
      <c r="E1830" s="29"/>
      <c r="F1830" s="30"/>
      <c r="G1830" s="30"/>
      <c r="H1830" s="30"/>
      <c r="I1830" s="30"/>
      <c r="J1830" s="30"/>
      <c r="K1830" s="30"/>
      <c r="L1830" s="29"/>
      <c r="M1830" s="29"/>
      <c r="N1830" s="29"/>
      <c r="O1830" s="29"/>
      <c r="P1830" s="29"/>
      <c r="Q1830" s="29"/>
      <c r="R1830" s="29"/>
      <c r="S1830" s="29"/>
      <c r="T1830" s="29"/>
      <c r="U1830" s="31"/>
      <c r="V1830" s="31"/>
      <c r="W1830" s="31"/>
      <c r="X1830" s="31"/>
      <c r="Y1830" s="31"/>
    </row>
    <row r="1831" spans="1:25" x14ac:dyDescent="0.2">
      <c r="A1831" s="29"/>
      <c r="B1831" s="29"/>
      <c r="C1831" s="29"/>
      <c r="D1831" s="29"/>
      <c r="E1831" s="29"/>
      <c r="F1831" s="30"/>
      <c r="G1831" s="30"/>
      <c r="H1831" s="30"/>
      <c r="I1831" s="30"/>
      <c r="J1831" s="30"/>
      <c r="K1831" s="30"/>
      <c r="L1831" s="29"/>
      <c r="M1831" s="29"/>
      <c r="N1831" s="29"/>
      <c r="O1831" s="29"/>
      <c r="P1831" s="29"/>
      <c r="Q1831" s="29"/>
      <c r="R1831" s="29"/>
      <c r="S1831" s="29"/>
      <c r="T1831" s="29"/>
      <c r="U1831" s="31"/>
      <c r="V1831" s="31"/>
      <c r="W1831" s="31"/>
      <c r="X1831" s="31"/>
      <c r="Y1831" s="31"/>
    </row>
    <row r="1832" spans="1:25" x14ac:dyDescent="0.2">
      <c r="A1832" s="29"/>
      <c r="B1832" s="29"/>
      <c r="C1832" s="29"/>
      <c r="D1832" s="29"/>
      <c r="E1832" s="29"/>
      <c r="F1832" s="30"/>
      <c r="G1832" s="30"/>
      <c r="H1832" s="30"/>
      <c r="I1832" s="30"/>
      <c r="J1832" s="30"/>
      <c r="K1832" s="30"/>
      <c r="L1832" s="29"/>
      <c r="M1832" s="29"/>
      <c r="N1832" s="29"/>
      <c r="O1832" s="29"/>
      <c r="P1832" s="29"/>
      <c r="Q1832" s="29"/>
      <c r="R1832" s="29"/>
      <c r="S1832" s="29"/>
      <c r="T1832" s="29"/>
      <c r="U1832" s="31"/>
      <c r="V1832" s="31"/>
      <c r="W1832" s="31"/>
      <c r="X1832" s="31"/>
      <c r="Y1832" s="31"/>
    </row>
    <row r="1833" spans="1:25" x14ac:dyDescent="0.2">
      <c r="A1833" s="29"/>
      <c r="B1833" s="29"/>
      <c r="C1833" s="29"/>
      <c r="D1833" s="29"/>
      <c r="E1833" s="29"/>
      <c r="F1833" s="30"/>
      <c r="G1833" s="30"/>
      <c r="H1833" s="30"/>
      <c r="I1833" s="30"/>
      <c r="J1833" s="30"/>
      <c r="K1833" s="30"/>
      <c r="L1833" s="29"/>
      <c r="M1833" s="29"/>
      <c r="N1833" s="29"/>
      <c r="O1833" s="29"/>
      <c r="P1833" s="29"/>
      <c r="Q1833" s="29"/>
      <c r="R1833" s="29"/>
      <c r="S1833" s="29"/>
      <c r="T1833" s="29"/>
      <c r="U1833" s="31"/>
      <c r="V1833" s="31"/>
      <c r="W1833" s="31"/>
      <c r="X1833" s="31"/>
      <c r="Y1833" s="31"/>
    </row>
    <row r="1834" spans="1:25" x14ac:dyDescent="0.2">
      <c r="A1834" s="29"/>
      <c r="B1834" s="29"/>
      <c r="C1834" s="29"/>
      <c r="D1834" s="29"/>
      <c r="E1834" s="29"/>
      <c r="F1834" s="30"/>
      <c r="G1834" s="30"/>
      <c r="H1834" s="30"/>
      <c r="I1834" s="30"/>
      <c r="J1834" s="30"/>
      <c r="K1834" s="30"/>
      <c r="L1834" s="29"/>
      <c r="M1834" s="29"/>
      <c r="N1834" s="29"/>
      <c r="O1834" s="29"/>
      <c r="P1834" s="29"/>
      <c r="Q1834" s="29"/>
      <c r="R1834" s="29"/>
      <c r="S1834" s="29"/>
      <c r="T1834" s="29"/>
      <c r="U1834" s="31"/>
      <c r="V1834" s="31"/>
      <c r="W1834" s="31"/>
      <c r="X1834" s="31"/>
      <c r="Y1834" s="31"/>
    </row>
    <row r="1835" spans="1:25" x14ac:dyDescent="0.2">
      <c r="A1835" s="29"/>
      <c r="B1835" s="29"/>
      <c r="C1835" s="29"/>
      <c r="D1835" s="29"/>
      <c r="E1835" s="29"/>
      <c r="F1835" s="30"/>
      <c r="G1835" s="30"/>
      <c r="H1835" s="30"/>
      <c r="I1835" s="30"/>
      <c r="J1835" s="30"/>
      <c r="K1835" s="30"/>
      <c r="L1835" s="29"/>
      <c r="M1835" s="29"/>
      <c r="N1835" s="29"/>
      <c r="O1835" s="29"/>
      <c r="P1835" s="29"/>
      <c r="Q1835" s="29"/>
      <c r="R1835" s="29"/>
      <c r="S1835" s="29"/>
      <c r="T1835" s="29"/>
      <c r="U1835" s="31"/>
      <c r="V1835" s="31"/>
      <c r="W1835" s="31"/>
      <c r="X1835" s="31"/>
      <c r="Y1835" s="31"/>
    </row>
    <row r="1836" spans="1:25" x14ac:dyDescent="0.2">
      <c r="A1836" s="29"/>
      <c r="B1836" s="29"/>
      <c r="C1836" s="29"/>
      <c r="D1836" s="29"/>
      <c r="E1836" s="29"/>
      <c r="F1836" s="30"/>
      <c r="G1836" s="30"/>
      <c r="H1836" s="30"/>
      <c r="I1836" s="30"/>
      <c r="J1836" s="30"/>
      <c r="K1836" s="30"/>
      <c r="L1836" s="29"/>
      <c r="M1836" s="29"/>
      <c r="N1836" s="29"/>
      <c r="O1836" s="29"/>
      <c r="P1836" s="29"/>
      <c r="Q1836" s="29"/>
      <c r="R1836" s="29"/>
      <c r="S1836" s="29"/>
      <c r="T1836" s="29"/>
      <c r="U1836" s="31"/>
      <c r="V1836" s="31"/>
      <c r="W1836" s="31"/>
      <c r="X1836" s="31"/>
      <c r="Y1836" s="31"/>
    </row>
    <row r="1837" spans="1:25" x14ac:dyDescent="0.2">
      <c r="A1837" s="29"/>
      <c r="B1837" s="29"/>
      <c r="C1837" s="29"/>
      <c r="D1837" s="29"/>
      <c r="E1837" s="29"/>
      <c r="F1837" s="30"/>
      <c r="G1837" s="30"/>
      <c r="H1837" s="30"/>
      <c r="I1837" s="30"/>
      <c r="J1837" s="30"/>
      <c r="K1837" s="30"/>
      <c r="L1837" s="29"/>
      <c r="M1837" s="29"/>
      <c r="N1837" s="29"/>
      <c r="O1837" s="29"/>
      <c r="P1837" s="29"/>
      <c r="Q1837" s="29"/>
      <c r="R1837" s="29"/>
      <c r="S1837" s="29"/>
      <c r="T1837" s="29"/>
      <c r="U1837" s="31"/>
      <c r="V1837" s="31"/>
      <c r="W1837" s="31"/>
      <c r="X1837" s="31"/>
      <c r="Y1837" s="31"/>
    </row>
    <row r="1838" spans="1:25" x14ac:dyDescent="0.2">
      <c r="A1838" s="29"/>
      <c r="B1838" s="29"/>
      <c r="C1838" s="29"/>
      <c r="D1838" s="29"/>
      <c r="E1838" s="29"/>
      <c r="F1838" s="30"/>
      <c r="G1838" s="30"/>
      <c r="H1838" s="30"/>
      <c r="I1838" s="30"/>
      <c r="J1838" s="30"/>
      <c r="K1838" s="30"/>
      <c r="L1838" s="29"/>
      <c r="M1838" s="29"/>
      <c r="N1838" s="29"/>
      <c r="O1838" s="29"/>
      <c r="P1838" s="29"/>
      <c r="Q1838" s="29"/>
      <c r="R1838" s="29"/>
      <c r="S1838" s="29"/>
      <c r="T1838" s="29"/>
      <c r="U1838" s="31"/>
      <c r="V1838" s="31"/>
      <c r="W1838" s="31"/>
      <c r="X1838" s="31"/>
      <c r="Y1838" s="31"/>
    </row>
    <row r="1839" spans="1:25" x14ac:dyDescent="0.2">
      <c r="A1839" s="29"/>
      <c r="B1839" s="29"/>
      <c r="C1839" s="29"/>
      <c r="D1839" s="29"/>
      <c r="E1839" s="29"/>
      <c r="F1839" s="30"/>
      <c r="G1839" s="30"/>
      <c r="H1839" s="30"/>
      <c r="I1839" s="30"/>
      <c r="J1839" s="30"/>
      <c r="K1839" s="30"/>
      <c r="L1839" s="29"/>
      <c r="M1839" s="29"/>
      <c r="N1839" s="29"/>
      <c r="O1839" s="29"/>
      <c r="P1839" s="29"/>
      <c r="Q1839" s="29"/>
      <c r="R1839" s="29"/>
      <c r="S1839" s="29"/>
      <c r="T1839" s="29"/>
      <c r="U1839" s="31"/>
      <c r="V1839" s="31"/>
      <c r="W1839" s="31"/>
      <c r="X1839" s="31"/>
      <c r="Y1839" s="31"/>
    </row>
    <row r="1840" spans="1:25" x14ac:dyDescent="0.2">
      <c r="A1840" s="29"/>
      <c r="B1840" s="29"/>
      <c r="C1840" s="29"/>
      <c r="D1840" s="29"/>
      <c r="E1840" s="29"/>
      <c r="F1840" s="30"/>
      <c r="G1840" s="30"/>
      <c r="H1840" s="30"/>
      <c r="I1840" s="30"/>
      <c r="J1840" s="30"/>
      <c r="K1840" s="30"/>
      <c r="L1840" s="29"/>
      <c r="M1840" s="29"/>
      <c r="N1840" s="29"/>
      <c r="O1840" s="29"/>
      <c r="P1840" s="29"/>
      <c r="Q1840" s="29"/>
      <c r="R1840" s="29"/>
      <c r="S1840" s="29"/>
      <c r="T1840" s="29"/>
      <c r="U1840" s="31"/>
      <c r="V1840" s="31"/>
      <c r="W1840" s="31"/>
      <c r="X1840" s="31"/>
      <c r="Y1840" s="31"/>
    </row>
    <row r="1841" spans="1:25" x14ac:dyDescent="0.2">
      <c r="A1841" s="29"/>
      <c r="B1841" s="29"/>
      <c r="C1841" s="29"/>
      <c r="D1841" s="29"/>
      <c r="E1841" s="29"/>
      <c r="F1841" s="30"/>
      <c r="G1841" s="30"/>
      <c r="H1841" s="30"/>
      <c r="I1841" s="30"/>
      <c r="J1841" s="30"/>
      <c r="K1841" s="30"/>
      <c r="L1841" s="29"/>
      <c r="M1841" s="29"/>
      <c r="N1841" s="29"/>
      <c r="O1841" s="29"/>
      <c r="P1841" s="29"/>
      <c r="Q1841" s="29"/>
      <c r="R1841" s="29"/>
      <c r="S1841" s="29"/>
      <c r="T1841" s="29"/>
      <c r="U1841" s="31"/>
      <c r="V1841" s="31"/>
      <c r="W1841" s="31"/>
      <c r="X1841" s="31"/>
      <c r="Y1841" s="31"/>
    </row>
    <row r="1842" spans="1:25" x14ac:dyDescent="0.2">
      <c r="A1842" s="29"/>
      <c r="B1842" s="29"/>
      <c r="C1842" s="29"/>
      <c r="D1842" s="29"/>
      <c r="E1842" s="29"/>
      <c r="F1842" s="30"/>
      <c r="G1842" s="30"/>
      <c r="H1842" s="30"/>
      <c r="I1842" s="30"/>
      <c r="J1842" s="30"/>
      <c r="K1842" s="30"/>
      <c r="L1842" s="29"/>
      <c r="M1842" s="29"/>
      <c r="N1842" s="29"/>
      <c r="O1842" s="29"/>
      <c r="P1842" s="29"/>
      <c r="Q1842" s="29"/>
      <c r="R1842" s="29"/>
      <c r="S1842" s="29"/>
      <c r="T1842" s="29"/>
      <c r="U1842" s="31"/>
      <c r="V1842" s="31"/>
      <c r="W1842" s="31"/>
      <c r="X1842" s="31"/>
      <c r="Y1842" s="31"/>
    </row>
    <row r="1843" spans="1:25" x14ac:dyDescent="0.2">
      <c r="A1843" s="29"/>
      <c r="B1843" s="29"/>
      <c r="C1843" s="29"/>
      <c r="D1843" s="29"/>
      <c r="E1843" s="29"/>
      <c r="F1843" s="30"/>
      <c r="G1843" s="30"/>
      <c r="H1843" s="30"/>
      <c r="I1843" s="30"/>
      <c r="J1843" s="30"/>
      <c r="K1843" s="30"/>
      <c r="L1843" s="29"/>
      <c r="M1843" s="29"/>
      <c r="N1843" s="29"/>
      <c r="O1843" s="29"/>
      <c r="P1843" s="29"/>
      <c r="Q1843" s="29"/>
      <c r="R1843" s="29"/>
      <c r="S1843" s="29"/>
      <c r="T1843" s="29"/>
      <c r="U1843" s="31"/>
      <c r="V1843" s="31"/>
      <c r="W1843" s="31"/>
      <c r="X1843" s="31"/>
      <c r="Y1843" s="31"/>
    </row>
    <row r="1844" spans="1:25" x14ac:dyDescent="0.2">
      <c r="A1844" s="29"/>
      <c r="B1844" s="29"/>
      <c r="C1844" s="29"/>
      <c r="D1844" s="29"/>
      <c r="E1844" s="29"/>
      <c r="F1844" s="30"/>
      <c r="G1844" s="30"/>
      <c r="H1844" s="30"/>
      <c r="I1844" s="30"/>
      <c r="J1844" s="30"/>
      <c r="K1844" s="30"/>
      <c r="L1844" s="29"/>
      <c r="M1844" s="29"/>
      <c r="N1844" s="29"/>
      <c r="O1844" s="29"/>
      <c r="P1844" s="29"/>
      <c r="Q1844" s="29"/>
      <c r="R1844" s="29"/>
      <c r="S1844" s="29"/>
      <c r="T1844" s="29"/>
      <c r="U1844" s="31"/>
      <c r="V1844" s="31"/>
      <c r="W1844" s="31"/>
      <c r="X1844" s="31"/>
      <c r="Y1844" s="31"/>
    </row>
    <row r="1845" spans="1:25" x14ac:dyDescent="0.2">
      <c r="A1845" s="29"/>
      <c r="B1845" s="29"/>
      <c r="C1845" s="29"/>
      <c r="D1845" s="29"/>
      <c r="E1845" s="29"/>
      <c r="F1845" s="30"/>
      <c r="G1845" s="30"/>
      <c r="H1845" s="30"/>
      <c r="I1845" s="30"/>
      <c r="J1845" s="30"/>
      <c r="K1845" s="30"/>
      <c r="L1845" s="29"/>
      <c r="M1845" s="29"/>
      <c r="N1845" s="29"/>
      <c r="O1845" s="29"/>
      <c r="P1845" s="29"/>
      <c r="Q1845" s="29"/>
      <c r="R1845" s="29"/>
      <c r="S1845" s="29"/>
      <c r="T1845" s="29"/>
      <c r="U1845" s="31"/>
      <c r="V1845" s="31"/>
      <c r="W1845" s="31"/>
      <c r="X1845" s="31"/>
      <c r="Y1845" s="31"/>
    </row>
    <row r="1846" spans="1:25" x14ac:dyDescent="0.2">
      <c r="A1846" s="29"/>
      <c r="B1846" s="29"/>
      <c r="C1846" s="29"/>
      <c r="D1846" s="29"/>
      <c r="E1846" s="29"/>
      <c r="F1846" s="30"/>
      <c r="G1846" s="30"/>
      <c r="H1846" s="30"/>
      <c r="I1846" s="30"/>
      <c r="J1846" s="30"/>
      <c r="K1846" s="30"/>
      <c r="L1846" s="29"/>
      <c r="M1846" s="29"/>
      <c r="N1846" s="29"/>
      <c r="O1846" s="29"/>
      <c r="P1846" s="29"/>
      <c r="Q1846" s="29"/>
      <c r="R1846" s="29"/>
      <c r="S1846" s="29"/>
      <c r="T1846" s="29"/>
      <c r="U1846" s="31"/>
      <c r="V1846" s="31"/>
      <c r="W1846" s="31"/>
      <c r="X1846" s="31"/>
      <c r="Y1846" s="31"/>
    </row>
    <row r="1847" spans="1:25" x14ac:dyDescent="0.2">
      <c r="A1847" s="29"/>
      <c r="B1847" s="29"/>
      <c r="C1847" s="29"/>
      <c r="D1847" s="29"/>
      <c r="E1847" s="29"/>
      <c r="F1847" s="30"/>
      <c r="G1847" s="30"/>
      <c r="H1847" s="30"/>
      <c r="I1847" s="30"/>
      <c r="J1847" s="30"/>
      <c r="K1847" s="30"/>
      <c r="L1847" s="29"/>
      <c r="M1847" s="29"/>
      <c r="N1847" s="29"/>
      <c r="O1847" s="29"/>
      <c r="P1847" s="29"/>
      <c r="Q1847" s="29"/>
      <c r="R1847" s="29"/>
      <c r="S1847" s="29"/>
      <c r="T1847" s="29"/>
      <c r="U1847" s="31"/>
      <c r="V1847" s="31"/>
      <c r="W1847" s="31"/>
      <c r="X1847" s="31"/>
      <c r="Y1847" s="31"/>
    </row>
    <row r="1848" spans="1:25" x14ac:dyDescent="0.2">
      <c r="A1848" s="29"/>
      <c r="B1848" s="29"/>
      <c r="C1848" s="29"/>
      <c r="D1848" s="29"/>
      <c r="E1848" s="29"/>
      <c r="F1848" s="30"/>
      <c r="G1848" s="30"/>
      <c r="H1848" s="30"/>
      <c r="I1848" s="30"/>
      <c r="J1848" s="30"/>
      <c r="K1848" s="30"/>
      <c r="L1848" s="29"/>
      <c r="M1848" s="29"/>
      <c r="N1848" s="29"/>
      <c r="O1848" s="29"/>
      <c r="P1848" s="29"/>
      <c r="Q1848" s="29"/>
      <c r="R1848" s="29"/>
      <c r="S1848" s="29"/>
      <c r="T1848" s="29"/>
      <c r="U1848" s="31"/>
      <c r="V1848" s="31"/>
      <c r="W1848" s="31"/>
      <c r="X1848" s="31"/>
      <c r="Y1848" s="31"/>
    </row>
    <row r="1849" spans="1:25" x14ac:dyDescent="0.2">
      <c r="A1849" s="29"/>
      <c r="B1849" s="29"/>
      <c r="C1849" s="29"/>
      <c r="D1849" s="29"/>
      <c r="E1849" s="29"/>
      <c r="F1849" s="30"/>
      <c r="G1849" s="30"/>
      <c r="H1849" s="30"/>
      <c r="I1849" s="30"/>
      <c r="J1849" s="30"/>
      <c r="K1849" s="30"/>
      <c r="L1849" s="29"/>
      <c r="M1849" s="29"/>
      <c r="N1849" s="29"/>
      <c r="O1849" s="29"/>
      <c r="P1849" s="29"/>
      <c r="Q1849" s="29"/>
      <c r="R1849" s="29"/>
      <c r="S1849" s="29"/>
      <c r="T1849" s="29"/>
      <c r="U1849" s="31"/>
      <c r="V1849" s="31"/>
      <c r="W1849" s="31"/>
      <c r="X1849" s="31"/>
      <c r="Y1849" s="31"/>
    </row>
    <row r="1850" spans="1:25" x14ac:dyDescent="0.2">
      <c r="A1850" s="29"/>
      <c r="B1850" s="29"/>
      <c r="C1850" s="29"/>
      <c r="D1850" s="29"/>
      <c r="E1850" s="29"/>
      <c r="F1850" s="30"/>
      <c r="G1850" s="30"/>
      <c r="H1850" s="30"/>
      <c r="I1850" s="30"/>
      <c r="J1850" s="30"/>
      <c r="K1850" s="30"/>
      <c r="L1850" s="29"/>
      <c r="M1850" s="29"/>
      <c r="N1850" s="29"/>
      <c r="O1850" s="29"/>
      <c r="P1850" s="29"/>
      <c r="Q1850" s="29"/>
      <c r="R1850" s="29"/>
      <c r="S1850" s="29"/>
      <c r="T1850" s="29"/>
      <c r="U1850" s="31"/>
      <c r="V1850" s="31"/>
      <c r="W1850" s="31"/>
      <c r="X1850" s="31"/>
      <c r="Y1850" s="31"/>
    </row>
    <row r="1851" spans="1:25" x14ac:dyDescent="0.2">
      <c r="A1851" s="29"/>
      <c r="B1851" s="29"/>
      <c r="C1851" s="29"/>
      <c r="D1851" s="29"/>
      <c r="E1851" s="29"/>
      <c r="F1851" s="30"/>
      <c r="G1851" s="30"/>
      <c r="H1851" s="30"/>
      <c r="I1851" s="30"/>
      <c r="J1851" s="30"/>
      <c r="K1851" s="30"/>
      <c r="L1851" s="29"/>
      <c r="M1851" s="29"/>
      <c r="N1851" s="29"/>
      <c r="O1851" s="29"/>
      <c r="P1851" s="29"/>
      <c r="Q1851" s="29"/>
      <c r="R1851" s="29"/>
      <c r="S1851" s="29"/>
      <c r="T1851" s="29"/>
      <c r="U1851" s="31"/>
      <c r="V1851" s="31"/>
      <c r="W1851" s="31"/>
      <c r="X1851" s="31"/>
      <c r="Y1851" s="31"/>
    </row>
    <row r="1852" spans="1:25" x14ac:dyDescent="0.2">
      <c r="A1852" s="29"/>
      <c r="B1852" s="29"/>
      <c r="C1852" s="29"/>
      <c r="D1852" s="29"/>
      <c r="E1852" s="29"/>
      <c r="F1852" s="30"/>
      <c r="G1852" s="30"/>
      <c r="H1852" s="30"/>
      <c r="I1852" s="30"/>
      <c r="J1852" s="30"/>
      <c r="K1852" s="30"/>
      <c r="L1852" s="29"/>
      <c r="M1852" s="29"/>
      <c r="N1852" s="29"/>
      <c r="O1852" s="29"/>
      <c r="P1852" s="29"/>
      <c r="Q1852" s="29"/>
      <c r="R1852" s="29"/>
      <c r="S1852" s="29"/>
      <c r="T1852" s="29"/>
      <c r="U1852" s="31"/>
      <c r="V1852" s="31"/>
      <c r="W1852" s="31"/>
      <c r="X1852" s="31"/>
      <c r="Y1852" s="31"/>
    </row>
    <row r="1853" spans="1:25" x14ac:dyDescent="0.2">
      <c r="A1853" s="29"/>
      <c r="B1853" s="29"/>
      <c r="C1853" s="29"/>
      <c r="D1853" s="29"/>
      <c r="E1853" s="29"/>
      <c r="F1853" s="30"/>
      <c r="G1853" s="30"/>
      <c r="H1853" s="30"/>
      <c r="I1853" s="30"/>
      <c r="J1853" s="30"/>
      <c r="K1853" s="30"/>
      <c r="L1853" s="29"/>
      <c r="M1853" s="29"/>
      <c r="N1853" s="29"/>
      <c r="O1853" s="29"/>
      <c r="P1853" s="29"/>
      <c r="Q1853" s="29"/>
      <c r="R1853" s="29"/>
      <c r="S1853" s="29"/>
      <c r="T1853" s="29"/>
      <c r="U1853" s="31"/>
      <c r="V1853" s="31"/>
      <c r="W1853" s="31"/>
      <c r="X1853" s="31"/>
      <c r="Y1853" s="31"/>
    </row>
    <row r="1854" spans="1:25" x14ac:dyDescent="0.2">
      <c r="A1854" s="29"/>
      <c r="B1854" s="29"/>
      <c r="C1854" s="29"/>
      <c r="D1854" s="29"/>
      <c r="E1854" s="29"/>
      <c r="F1854" s="30"/>
      <c r="G1854" s="30"/>
      <c r="H1854" s="30"/>
      <c r="I1854" s="30"/>
      <c r="J1854" s="30"/>
      <c r="K1854" s="30"/>
      <c r="L1854" s="29"/>
      <c r="M1854" s="29"/>
      <c r="N1854" s="29"/>
      <c r="O1854" s="29"/>
      <c r="P1854" s="29"/>
      <c r="Q1854" s="29"/>
      <c r="R1854" s="29"/>
      <c r="S1854" s="29"/>
      <c r="T1854" s="29"/>
      <c r="U1854" s="31"/>
      <c r="V1854" s="31"/>
      <c r="W1854" s="31"/>
      <c r="X1854" s="31"/>
      <c r="Y1854" s="31"/>
    </row>
    <row r="1855" spans="1:25" x14ac:dyDescent="0.2">
      <c r="A1855" s="29"/>
      <c r="B1855" s="29"/>
      <c r="C1855" s="29"/>
      <c r="D1855" s="29"/>
      <c r="E1855" s="29"/>
      <c r="F1855" s="30"/>
      <c r="G1855" s="30"/>
      <c r="H1855" s="30"/>
      <c r="I1855" s="30"/>
      <c r="J1855" s="30"/>
      <c r="K1855" s="30"/>
      <c r="L1855" s="29"/>
      <c r="M1855" s="29"/>
      <c r="N1855" s="29"/>
      <c r="O1855" s="29"/>
      <c r="P1855" s="29"/>
      <c r="Q1855" s="29"/>
      <c r="R1855" s="29"/>
      <c r="S1855" s="29"/>
      <c r="T1855" s="29"/>
      <c r="U1855" s="31"/>
      <c r="V1855" s="31"/>
      <c r="W1855" s="31"/>
      <c r="X1855" s="31"/>
      <c r="Y1855" s="31"/>
    </row>
    <row r="1856" spans="1:25" x14ac:dyDescent="0.2">
      <c r="A1856" s="29"/>
      <c r="B1856" s="29"/>
      <c r="C1856" s="29"/>
      <c r="D1856" s="29"/>
      <c r="E1856" s="29"/>
      <c r="F1856" s="30"/>
      <c r="G1856" s="30"/>
      <c r="H1856" s="30"/>
      <c r="I1856" s="30"/>
      <c r="J1856" s="30"/>
      <c r="K1856" s="30"/>
      <c r="L1856" s="29"/>
      <c r="M1856" s="29"/>
      <c r="N1856" s="29"/>
      <c r="O1856" s="29"/>
      <c r="P1856" s="29"/>
      <c r="Q1856" s="29"/>
      <c r="R1856" s="29"/>
      <c r="S1856" s="29"/>
      <c r="T1856" s="29"/>
      <c r="U1856" s="31"/>
      <c r="V1856" s="31"/>
      <c r="W1856" s="31"/>
      <c r="X1856" s="31"/>
      <c r="Y1856" s="31"/>
    </row>
    <row r="1857" spans="1:25" x14ac:dyDescent="0.2">
      <c r="A1857" s="29"/>
      <c r="B1857" s="29"/>
      <c r="C1857" s="29"/>
      <c r="D1857" s="29"/>
      <c r="E1857" s="29"/>
      <c r="F1857" s="30"/>
      <c r="G1857" s="30"/>
      <c r="H1857" s="30"/>
      <c r="I1857" s="30"/>
      <c r="J1857" s="30"/>
      <c r="K1857" s="30"/>
      <c r="L1857" s="29"/>
      <c r="M1857" s="29"/>
      <c r="N1857" s="29"/>
      <c r="O1857" s="29"/>
      <c r="P1857" s="29"/>
      <c r="Q1857" s="29"/>
      <c r="R1857" s="29"/>
      <c r="S1857" s="29"/>
      <c r="T1857" s="29"/>
      <c r="U1857" s="31"/>
      <c r="V1857" s="31"/>
      <c r="W1857" s="31"/>
      <c r="X1857" s="31"/>
      <c r="Y1857" s="31"/>
    </row>
    <row r="1858" spans="1:25" x14ac:dyDescent="0.2">
      <c r="A1858" s="29"/>
      <c r="B1858" s="29"/>
      <c r="C1858" s="29"/>
      <c r="D1858" s="29"/>
      <c r="E1858" s="29"/>
      <c r="F1858" s="30"/>
      <c r="G1858" s="30"/>
      <c r="H1858" s="30"/>
      <c r="I1858" s="30"/>
      <c r="J1858" s="30"/>
      <c r="K1858" s="30"/>
      <c r="L1858" s="29"/>
      <c r="M1858" s="29"/>
      <c r="N1858" s="29"/>
      <c r="O1858" s="29"/>
      <c r="P1858" s="29"/>
      <c r="Q1858" s="29"/>
      <c r="R1858" s="29"/>
      <c r="S1858" s="29"/>
      <c r="T1858" s="29"/>
      <c r="U1858" s="31"/>
      <c r="V1858" s="31"/>
      <c r="W1858" s="31"/>
      <c r="X1858" s="31"/>
      <c r="Y1858" s="31"/>
    </row>
    <row r="1859" spans="1:25" x14ac:dyDescent="0.2">
      <c r="A1859" s="29"/>
      <c r="B1859" s="29"/>
      <c r="C1859" s="29"/>
      <c r="D1859" s="29"/>
      <c r="E1859" s="29"/>
      <c r="F1859" s="30"/>
      <c r="G1859" s="30"/>
      <c r="H1859" s="30"/>
      <c r="I1859" s="30"/>
      <c r="J1859" s="30"/>
      <c r="K1859" s="30"/>
      <c r="L1859" s="29"/>
      <c r="M1859" s="29"/>
      <c r="N1859" s="29"/>
      <c r="O1859" s="29"/>
      <c r="P1859" s="29"/>
      <c r="Q1859" s="29"/>
      <c r="R1859" s="29"/>
      <c r="S1859" s="29"/>
      <c r="T1859" s="29"/>
      <c r="U1859" s="31"/>
      <c r="V1859" s="31"/>
      <c r="W1859" s="31"/>
      <c r="X1859" s="31"/>
      <c r="Y1859" s="31"/>
    </row>
    <row r="1860" spans="1:25" x14ac:dyDescent="0.2">
      <c r="A1860" s="29"/>
      <c r="B1860" s="29"/>
      <c r="C1860" s="29"/>
      <c r="D1860" s="29"/>
      <c r="E1860" s="29"/>
      <c r="F1860" s="30"/>
      <c r="G1860" s="30"/>
      <c r="H1860" s="30"/>
      <c r="I1860" s="30"/>
      <c r="J1860" s="30"/>
      <c r="K1860" s="30"/>
      <c r="L1860" s="29"/>
      <c r="M1860" s="29"/>
      <c r="N1860" s="29"/>
      <c r="O1860" s="29"/>
      <c r="P1860" s="29"/>
      <c r="Q1860" s="29"/>
      <c r="R1860" s="29"/>
      <c r="S1860" s="29"/>
      <c r="T1860" s="29"/>
      <c r="U1860" s="31"/>
      <c r="V1860" s="31"/>
      <c r="W1860" s="31"/>
      <c r="X1860" s="31"/>
      <c r="Y1860" s="31"/>
    </row>
    <row r="1861" spans="1:25" x14ac:dyDescent="0.2">
      <c r="A1861" s="29"/>
      <c r="B1861" s="29"/>
      <c r="C1861" s="29"/>
      <c r="D1861" s="29"/>
      <c r="E1861" s="29"/>
      <c r="F1861" s="30"/>
      <c r="G1861" s="30"/>
      <c r="H1861" s="30"/>
      <c r="I1861" s="30"/>
      <c r="J1861" s="30"/>
      <c r="K1861" s="30"/>
      <c r="L1861" s="29"/>
      <c r="M1861" s="29"/>
      <c r="N1861" s="29"/>
      <c r="O1861" s="29"/>
      <c r="P1861" s="29"/>
      <c r="Q1861" s="29"/>
      <c r="R1861" s="29"/>
      <c r="S1861" s="29"/>
      <c r="T1861" s="29"/>
      <c r="U1861" s="31"/>
      <c r="V1861" s="31"/>
      <c r="W1861" s="31"/>
      <c r="X1861" s="31"/>
      <c r="Y1861" s="31"/>
    </row>
    <row r="1862" spans="1:25" x14ac:dyDescent="0.2">
      <c r="A1862" s="29"/>
      <c r="B1862" s="29"/>
      <c r="C1862" s="29"/>
      <c r="D1862" s="29"/>
      <c r="E1862" s="29"/>
      <c r="F1862" s="30"/>
      <c r="G1862" s="30"/>
      <c r="H1862" s="30"/>
      <c r="I1862" s="30"/>
      <c r="J1862" s="30"/>
      <c r="K1862" s="30"/>
      <c r="L1862" s="29"/>
      <c r="M1862" s="29"/>
      <c r="N1862" s="29"/>
      <c r="O1862" s="29"/>
      <c r="P1862" s="29"/>
      <c r="Q1862" s="29"/>
      <c r="R1862" s="29"/>
      <c r="S1862" s="29"/>
      <c r="T1862" s="29"/>
      <c r="U1862" s="31"/>
      <c r="V1862" s="31"/>
      <c r="W1862" s="31"/>
      <c r="X1862" s="31"/>
      <c r="Y1862" s="31"/>
    </row>
    <row r="1863" spans="1:25" x14ac:dyDescent="0.2">
      <c r="A1863" s="29"/>
      <c r="B1863" s="29"/>
      <c r="C1863" s="29"/>
      <c r="D1863" s="29"/>
      <c r="E1863" s="29"/>
      <c r="F1863" s="30"/>
      <c r="G1863" s="30"/>
      <c r="H1863" s="30"/>
      <c r="I1863" s="30"/>
      <c r="J1863" s="30"/>
      <c r="K1863" s="30"/>
      <c r="L1863" s="29"/>
      <c r="M1863" s="29"/>
      <c r="N1863" s="29"/>
      <c r="O1863" s="29"/>
      <c r="P1863" s="29"/>
      <c r="Q1863" s="29"/>
      <c r="R1863" s="29"/>
      <c r="S1863" s="29"/>
      <c r="T1863" s="29"/>
      <c r="U1863" s="31"/>
      <c r="V1863" s="31"/>
      <c r="W1863" s="31"/>
      <c r="X1863" s="31"/>
      <c r="Y1863" s="31"/>
    </row>
    <row r="1864" spans="1:25" x14ac:dyDescent="0.2">
      <c r="A1864" s="29"/>
      <c r="B1864" s="29"/>
      <c r="C1864" s="29"/>
      <c r="D1864" s="29"/>
      <c r="E1864" s="29"/>
      <c r="F1864" s="30"/>
      <c r="G1864" s="30"/>
      <c r="H1864" s="30"/>
      <c r="I1864" s="30"/>
      <c r="J1864" s="30"/>
      <c r="K1864" s="30"/>
      <c r="L1864" s="29"/>
      <c r="M1864" s="29"/>
      <c r="N1864" s="29"/>
      <c r="O1864" s="29"/>
      <c r="P1864" s="29"/>
      <c r="Q1864" s="29"/>
      <c r="R1864" s="29"/>
      <c r="S1864" s="29"/>
      <c r="T1864" s="29"/>
      <c r="U1864" s="31"/>
      <c r="V1864" s="31"/>
      <c r="W1864" s="31"/>
      <c r="X1864" s="31"/>
      <c r="Y1864" s="31"/>
    </row>
    <row r="1865" spans="1:25" x14ac:dyDescent="0.2">
      <c r="A1865" s="29"/>
      <c r="B1865" s="29"/>
      <c r="C1865" s="29"/>
      <c r="D1865" s="29"/>
      <c r="E1865" s="29"/>
      <c r="F1865" s="30"/>
      <c r="G1865" s="30"/>
      <c r="H1865" s="30"/>
      <c r="I1865" s="30"/>
      <c r="J1865" s="30"/>
      <c r="K1865" s="30"/>
      <c r="L1865" s="29"/>
      <c r="M1865" s="29"/>
      <c r="N1865" s="29"/>
      <c r="O1865" s="29"/>
      <c r="P1865" s="29"/>
      <c r="Q1865" s="29"/>
      <c r="R1865" s="29"/>
      <c r="S1865" s="29"/>
      <c r="T1865" s="29"/>
      <c r="U1865" s="31"/>
      <c r="V1865" s="31"/>
      <c r="W1865" s="31"/>
      <c r="X1865" s="31"/>
      <c r="Y1865" s="31"/>
    </row>
    <row r="1866" spans="1:25" x14ac:dyDescent="0.2">
      <c r="A1866" s="29"/>
      <c r="B1866" s="29"/>
      <c r="C1866" s="29"/>
      <c r="D1866" s="29"/>
      <c r="E1866" s="29"/>
      <c r="F1866" s="30"/>
      <c r="G1866" s="30"/>
      <c r="H1866" s="30"/>
      <c r="I1866" s="30"/>
      <c r="J1866" s="30"/>
      <c r="K1866" s="30"/>
      <c r="L1866" s="29"/>
      <c r="M1866" s="29"/>
      <c r="N1866" s="29"/>
      <c r="O1866" s="29"/>
      <c r="P1866" s="29"/>
      <c r="Q1866" s="29"/>
      <c r="R1866" s="29"/>
      <c r="S1866" s="29"/>
      <c r="T1866" s="29"/>
      <c r="U1866" s="31"/>
      <c r="V1866" s="31"/>
      <c r="W1866" s="31"/>
      <c r="X1866" s="31"/>
      <c r="Y1866" s="31"/>
    </row>
    <row r="1867" spans="1:25" x14ac:dyDescent="0.2">
      <c r="A1867" s="29"/>
      <c r="B1867" s="29"/>
      <c r="C1867" s="29"/>
      <c r="D1867" s="29"/>
      <c r="E1867" s="29"/>
      <c r="F1867" s="30"/>
      <c r="G1867" s="30"/>
      <c r="H1867" s="30"/>
      <c r="I1867" s="30"/>
      <c r="J1867" s="30"/>
      <c r="K1867" s="30"/>
      <c r="L1867" s="29"/>
      <c r="M1867" s="29"/>
      <c r="N1867" s="29"/>
      <c r="O1867" s="29"/>
      <c r="P1867" s="29"/>
      <c r="Q1867" s="29"/>
      <c r="R1867" s="29"/>
      <c r="S1867" s="29"/>
      <c r="T1867" s="29"/>
      <c r="U1867" s="31"/>
      <c r="V1867" s="31"/>
      <c r="W1867" s="31"/>
      <c r="X1867" s="31"/>
      <c r="Y1867" s="31"/>
    </row>
    <row r="1868" spans="1:25" x14ac:dyDescent="0.2">
      <c r="A1868" s="29"/>
      <c r="B1868" s="29"/>
      <c r="C1868" s="29"/>
      <c r="D1868" s="29"/>
      <c r="E1868" s="29"/>
      <c r="F1868" s="30"/>
      <c r="G1868" s="30"/>
      <c r="H1868" s="30"/>
      <c r="I1868" s="30"/>
      <c r="J1868" s="30"/>
      <c r="K1868" s="30"/>
      <c r="L1868" s="29"/>
      <c r="M1868" s="29"/>
      <c r="N1868" s="29"/>
      <c r="O1868" s="29"/>
      <c r="P1868" s="29"/>
      <c r="Q1868" s="29"/>
      <c r="R1868" s="29"/>
      <c r="S1868" s="29"/>
      <c r="T1868" s="29"/>
      <c r="U1868" s="31"/>
      <c r="V1868" s="31"/>
      <c r="W1868" s="31"/>
      <c r="X1868" s="31"/>
      <c r="Y1868" s="31"/>
    </row>
    <row r="1869" spans="1:25" x14ac:dyDescent="0.2">
      <c r="A1869" s="29"/>
      <c r="B1869" s="29"/>
      <c r="C1869" s="29"/>
      <c r="D1869" s="29"/>
      <c r="E1869" s="29"/>
      <c r="F1869" s="30"/>
      <c r="G1869" s="30"/>
      <c r="H1869" s="30"/>
      <c r="I1869" s="30"/>
      <c r="J1869" s="30"/>
      <c r="K1869" s="30"/>
      <c r="L1869" s="29"/>
      <c r="M1869" s="29"/>
      <c r="N1869" s="29"/>
      <c r="O1869" s="29"/>
      <c r="P1869" s="29"/>
      <c r="Q1869" s="29"/>
      <c r="R1869" s="29"/>
      <c r="S1869" s="29"/>
      <c r="T1869" s="29"/>
      <c r="U1869" s="31"/>
      <c r="V1869" s="31"/>
      <c r="W1869" s="31"/>
      <c r="X1869" s="31"/>
      <c r="Y1869" s="31"/>
    </row>
    <row r="1870" spans="1:25" x14ac:dyDescent="0.2">
      <c r="A1870" s="29"/>
      <c r="B1870" s="29"/>
      <c r="C1870" s="29"/>
      <c r="D1870" s="29"/>
      <c r="E1870" s="29"/>
      <c r="F1870" s="30"/>
      <c r="G1870" s="30"/>
      <c r="H1870" s="30"/>
      <c r="I1870" s="30"/>
      <c r="J1870" s="30"/>
      <c r="K1870" s="30"/>
      <c r="L1870" s="29"/>
      <c r="M1870" s="29"/>
      <c r="N1870" s="29"/>
      <c r="O1870" s="29"/>
      <c r="P1870" s="29"/>
      <c r="Q1870" s="29"/>
      <c r="R1870" s="29"/>
      <c r="S1870" s="29"/>
      <c r="T1870" s="29"/>
      <c r="U1870" s="31"/>
      <c r="V1870" s="31"/>
      <c r="W1870" s="31"/>
      <c r="X1870" s="31"/>
      <c r="Y1870" s="31"/>
    </row>
    <row r="1871" spans="1:25" x14ac:dyDescent="0.2">
      <c r="A1871" s="29"/>
      <c r="B1871" s="29"/>
      <c r="C1871" s="29"/>
      <c r="D1871" s="29"/>
      <c r="E1871" s="29"/>
      <c r="F1871" s="30"/>
      <c r="G1871" s="30"/>
      <c r="H1871" s="30"/>
      <c r="I1871" s="30"/>
      <c r="J1871" s="30"/>
      <c r="K1871" s="30"/>
      <c r="L1871" s="29"/>
      <c r="M1871" s="29"/>
      <c r="N1871" s="29"/>
      <c r="O1871" s="29"/>
      <c r="P1871" s="29"/>
      <c r="Q1871" s="29"/>
      <c r="R1871" s="29"/>
      <c r="S1871" s="29"/>
      <c r="T1871" s="29"/>
      <c r="U1871" s="31"/>
      <c r="V1871" s="31"/>
      <c r="W1871" s="31"/>
      <c r="X1871" s="31"/>
      <c r="Y1871" s="31"/>
    </row>
    <row r="1872" spans="1:25" x14ac:dyDescent="0.2">
      <c r="A1872" s="29"/>
      <c r="B1872" s="29"/>
      <c r="C1872" s="29"/>
      <c r="D1872" s="29"/>
      <c r="E1872" s="29"/>
      <c r="F1872" s="30"/>
      <c r="G1872" s="30"/>
      <c r="H1872" s="30"/>
      <c r="I1872" s="30"/>
      <c r="J1872" s="30"/>
      <c r="K1872" s="30"/>
      <c r="L1872" s="29"/>
      <c r="M1872" s="29"/>
      <c r="N1872" s="29"/>
      <c r="O1872" s="29"/>
      <c r="P1872" s="29"/>
      <c r="Q1872" s="29"/>
      <c r="R1872" s="29"/>
      <c r="S1872" s="29"/>
      <c r="T1872" s="29"/>
      <c r="U1872" s="31"/>
      <c r="V1872" s="31"/>
      <c r="W1872" s="31"/>
      <c r="X1872" s="31"/>
      <c r="Y1872" s="31"/>
    </row>
    <row r="1873" spans="1:25" x14ac:dyDescent="0.2">
      <c r="A1873" s="29"/>
      <c r="B1873" s="29"/>
      <c r="C1873" s="29"/>
      <c r="D1873" s="29"/>
      <c r="E1873" s="29"/>
      <c r="F1873" s="30"/>
      <c r="G1873" s="30"/>
      <c r="H1873" s="30"/>
      <c r="I1873" s="30"/>
      <c r="J1873" s="30"/>
      <c r="K1873" s="30"/>
      <c r="L1873" s="29"/>
      <c r="M1873" s="29"/>
      <c r="N1873" s="29"/>
      <c r="O1873" s="29"/>
      <c r="P1873" s="29"/>
      <c r="Q1873" s="29"/>
      <c r="R1873" s="29"/>
      <c r="S1873" s="29"/>
      <c r="T1873" s="29"/>
      <c r="U1873" s="31"/>
      <c r="V1873" s="31"/>
      <c r="W1873" s="31"/>
      <c r="X1873" s="31"/>
      <c r="Y1873" s="31"/>
    </row>
    <row r="1874" spans="1:25" x14ac:dyDescent="0.2">
      <c r="A1874" s="29"/>
      <c r="B1874" s="29"/>
      <c r="C1874" s="29"/>
      <c r="D1874" s="29"/>
      <c r="E1874" s="29"/>
      <c r="F1874" s="30"/>
      <c r="G1874" s="30"/>
      <c r="H1874" s="30"/>
      <c r="I1874" s="30"/>
      <c r="J1874" s="30"/>
      <c r="K1874" s="30"/>
      <c r="L1874" s="29"/>
      <c r="M1874" s="29"/>
      <c r="N1874" s="29"/>
      <c r="O1874" s="29"/>
      <c r="P1874" s="29"/>
      <c r="Q1874" s="29"/>
      <c r="R1874" s="29"/>
      <c r="S1874" s="29"/>
      <c r="T1874" s="29"/>
      <c r="U1874" s="31"/>
      <c r="V1874" s="31"/>
      <c r="W1874" s="31"/>
      <c r="X1874" s="31"/>
      <c r="Y1874" s="31"/>
    </row>
    <row r="1875" spans="1:25" x14ac:dyDescent="0.2">
      <c r="A1875" s="29"/>
      <c r="B1875" s="29"/>
      <c r="C1875" s="29"/>
      <c r="D1875" s="29"/>
      <c r="E1875" s="29"/>
      <c r="F1875" s="30"/>
      <c r="G1875" s="30"/>
      <c r="H1875" s="30"/>
      <c r="I1875" s="30"/>
      <c r="J1875" s="30"/>
      <c r="K1875" s="30"/>
      <c r="L1875" s="29"/>
      <c r="M1875" s="29"/>
      <c r="N1875" s="29"/>
      <c r="O1875" s="29"/>
      <c r="P1875" s="29"/>
      <c r="Q1875" s="29"/>
      <c r="R1875" s="29"/>
      <c r="S1875" s="29"/>
      <c r="T1875" s="29"/>
      <c r="U1875" s="31"/>
      <c r="V1875" s="31"/>
      <c r="W1875" s="31"/>
      <c r="X1875" s="31"/>
      <c r="Y1875" s="31"/>
    </row>
    <row r="1876" spans="1:25" x14ac:dyDescent="0.2">
      <c r="A1876" s="29"/>
      <c r="B1876" s="29"/>
      <c r="C1876" s="29"/>
      <c r="D1876" s="29"/>
      <c r="E1876" s="29"/>
      <c r="F1876" s="30"/>
      <c r="G1876" s="30"/>
      <c r="H1876" s="30"/>
      <c r="I1876" s="30"/>
      <c r="J1876" s="30"/>
      <c r="K1876" s="30"/>
      <c r="L1876" s="29"/>
      <c r="M1876" s="29"/>
      <c r="N1876" s="29"/>
      <c r="O1876" s="29"/>
      <c r="P1876" s="29"/>
      <c r="Q1876" s="29"/>
      <c r="R1876" s="29"/>
      <c r="S1876" s="29"/>
      <c r="T1876" s="29"/>
      <c r="U1876" s="31"/>
      <c r="V1876" s="31"/>
      <c r="W1876" s="31"/>
      <c r="X1876" s="31"/>
      <c r="Y1876" s="31"/>
    </row>
    <row r="1877" spans="1:25" x14ac:dyDescent="0.2">
      <c r="A1877" s="29"/>
      <c r="B1877" s="29"/>
      <c r="C1877" s="29"/>
      <c r="D1877" s="29"/>
      <c r="E1877" s="29"/>
      <c r="F1877" s="30"/>
      <c r="G1877" s="30"/>
      <c r="H1877" s="30"/>
      <c r="I1877" s="30"/>
      <c r="J1877" s="30"/>
      <c r="K1877" s="30"/>
      <c r="L1877" s="29"/>
      <c r="M1877" s="29"/>
      <c r="N1877" s="29"/>
      <c r="O1877" s="29"/>
      <c r="P1877" s="29"/>
      <c r="Q1877" s="29"/>
      <c r="R1877" s="29"/>
      <c r="S1877" s="29"/>
      <c r="T1877" s="29"/>
      <c r="U1877" s="31"/>
      <c r="V1877" s="31"/>
      <c r="W1877" s="31"/>
      <c r="X1877" s="31"/>
      <c r="Y1877" s="31"/>
    </row>
    <row r="1878" spans="1:25" x14ac:dyDescent="0.2">
      <c r="A1878" s="29"/>
      <c r="B1878" s="29"/>
      <c r="C1878" s="29"/>
      <c r="D1878" s="29"/>
      <c r="E1878" s="29"/>
      <c r="F1878" s="30"/>
      <c r="G1878" s="30"/>
      <c r="H1878" s="30"/>
      <c r="I1878" s="30"/>
      <c r="J1878" s="30"/>
      <c r="K1878" s="30"/>
      <c r="L1878" s="29"/>
      <c r="M1878" s="29"/>
      <c r="N1878" s="29"/>
      <c r="O1878" s="29"/>
      <c r="P1878" s="29"/>
      <c r="Q1878" s="29"/>
      <c r="R1878" s="29"/>
      <c r="S1878" s="29"/>
      <c r="T1878" s="29"/>
      <c r="U1878" s="31"/>
      <c r="V1878" s="31"/>
      <c r="W1878" s="31"/>
      <c r="X1878" s="31"/>
      <c r="Y1878" s="31"/>
    </row>
    <row r="1879" spans="1:25" x14ac:dyDescent="0.2">
      <c r="A1879" s="29"/>
      <c r="B1879" s="29"/>
      <c r="C1879" s="29"/>
      <c r="D1879" s="29"/>
      <c r="E1879" s="29"/>
      <c r="F1879" s="30"/>
      <c r="G1879" s="30"/>
      <c r="H1879" s="30"/>
      <c r="I1879" s="30"/>
      <c r="J1879" s="30"/>
      <c r="K1879" s="30"/>
      <c r="L1879" s="29"/>
      <c r="M1879" s="29"/>
      <c r="N1879" s="29"/>
      <c r="O1879" s="29"/>
      <c r="P1879" s="29"/>
      <c r="Q1879" s="29"/>
      <c r="R1879" s="29"/>
      <c r="S1879" s="29"/>
      <c r="T1879" s="29"/>
      <c r="U1879" s="31"/>
      <c r="V1879" s="31"/>
      <c r="W1879" s="31"/>
      <c r="X1879" s="31"/>
      <c r="Y1879" s="31"/>
    </row>
    <row r="1880" spans="1:25" x14ac:dyDescent="0.2">
      <c r="A1880" s="29"/>
      <c r="B1880" s="29"/>
      <c r="C1880" s="29"/>
      <c r="D1880" s="29"/>
      <c r="E1880" s="29"/>
      <c r="F1880" s="30"/>
      <c r="G1880" s="30"/>
      <c r="H1880" s="30"/>
      <c r="I1880" s="30"/>
      <c r="J1880" s="30"/>
      <c r="K1880" s="30"/>
      <c r="L1880" s="29"/>
      <c r="M1880" s="29"/>
      <c r="N1880" s="29"/>
      <c r="O1880" s="29"/>
      <c r="P1880" s="29"/>
      <c r="Q1880" s="29"/>
      <c r="R1880" s="29"/>
      <c r="S1880" s="29"/>
      <c r="T1880" s="29"/>
      <c r="U1880" s="31"/>
      <c r="V1880" s="31"/>
      <c r="W1880" s="31"/>
      <c r="X1880" s="31"/>
      <c r="Y1880" s="31"/>
    </row>
    <row r="1881" spans="1:25" x14ac:dyDescent="0.2">
      <c r="A1881" s="29"/>
      <c r="B1881" s="29"/>
      <c r="C1881" s="29"/>
      <c r="D1881" s="29"/>
      <c r="E1881" s="29"/>
      <c r="F1881" s="30"/>
      <c r="G1881" s="30"/>
      <c r="H1881" s="30"/>
      <c r="I1881" s="30"/>
      <c r="J1881" s="30"/>
      <c r="K1881" s="30"/>
      <c r="L1881" s="29"/>
      <c r="M1881" s="29"/>
      <c r="N1881" s="29"/>
      <c r="O1881" s="29"/>
      <c r="P1881" s="29"/>
      <c r="Q1881" s="29"/>
      <c r="R1881" s="29"/>
      <c r="S1881" s="29"/>
      <c r="T1881" s="29"/>
      <c r="U1881" s="31"/>
      <c r="V1881" s="31"/>
      <c r="W1881" s="31"/>
      <c r="X1881" s="31"/>
      <c r="Y1881" s="31"/>
    </row>
    <row r="1882" spans="1:25" x14ac:dyDescent="0.2">
      <c r="A1882" s="29"/>
      <c r="B1882" s="29"/>
      <c r="C1882" s="29"/>
      <c r="D1882" s="29"/>
      <c r="E1882" s="29"/>
      <c r="F1882" s="30"/>
      <c r="G1882" s="30"/>
      <c r="H1882" s="30"/>
      <c r="I1882" s="30"/>
      <c r="J1882" s="30"/>
      <c r="K1882" s="30"/>
      <c r="L1882" s="29"/>
      <c r="M1882" s="29"/>
      <c r="N1882" s="29"/>
      <c r="O1882" s="29"/>
      <c r="P1882" s="29"/>
      <c r="Q1882" s="29"/>
      <c r="R1882" s="29"/>
      <c r="S1882" s="29"/>
      <c r="T1882" s="29"/>
      <c r="U1882" s="31"/>
      <c r="V1882" s="31"/>
      <c r="W1882" s="31"/>
      <c r="X1882" s="31"/>
      <c r="Y1882" s="31"/>
    </row>
    <row r="1883" spans="1:25" x14ac:dyDescent="0.2">
      <c r="A1883" s="29"/>
      <c r="B1883" s="29"/>
      <c r="C1883" s="29"/>
      <c r="D1883" s="29"/>
      <c r="E1883" s="29"/>
      <c r="F1883" s="30"/>
      <c r="G1883" s="30"/>
      <c r="H1883" s="30"/>
      <c r="I1883" s="30"/>
      <c r="J1883" s="30"/>
      <c r="K1883" s="30"/>
      <c r="L1883" s="29"/>
      <c r="M1883" s="29"/>
      <c r="N1883" s="29"/>
      <c r="O1883" s="29"/>
      <c r="P1883" s="29"/>
      <c r="Q1883" s="29"/>
      <c r="R1883" s="29"/>
      <c r="S1883" s="29"/>
      <c r="T1883" s="29"/>
      <c r="U1883" s="31"/>
      <c r="V1883" s="31"/>
      <c r="W1883" s="31"/>
      <c r="X1883" s="31"/>
      <c r="Y1883" s="31"/>
    </row>
    <row r="1884" spans="1:25" x14ac:dyDescent="0.2">
      <c r="A1884" s="29"/>
      <c r="B1884" s="29"/>
      <c r="C1884" s="29"/>
      <c r="D1884" s="29"/>
      <c r="E1884" s="29"/>
      <c r="F1884" s="30"/>
      <c r="G1884" s="30"/>
      <c r="H1884" s="30"/>
      <c r="I1884" s="30"/>
      <c r="J1884" s="30"/>
      <c r="K1884" s="30"/>
      <c r="L1884" s="29"/>
      <c r="M1884" s="29"/>
      <c r="N1884" s="29"/>
      <c r="O1884" s="29"/>
      <c r="P1884" s="29"/>
      <c r="Q1884" s="29"/>
      <c r="R1884" s="29"/>
      <c r="S1884" s="29"/>
      <c r="T1884" s="29"/>
      <c r="U1884" s="31"/>
      <c r="V1884" s="31"/>
      <c r="W1884" s="31"/>
      <c r="X1884" s="31"/>
      <c r="Y1884" s="31"/>
    </row>
    <row r="1885" spans="1:25" x14ac:dyDescent="0.2">
      <c r="A1885" s="29"/>
      <c r="B1885" s="29"/>
      <c r="C1885" s="29"/>
      <c r="D1885" s="29"/>
      <c r="E1885" s="29"/>
      <c r="F1885" s="30"/>
      <c r="G1885" s="30"/>
      <c r="H1885" s="30"/>
      <c r="I1885" s="30"/>
      <c r="J1885" s="30"/>
      <c r="K1885" s="30"/>
      <c r="L1885" s="29"/>
      <c r="M1885" s="29"/>
      <c r="N1885" s="29"/>
      <c r="O1885" s="29"/>
      <c r="P1885" s="29"/>
      <c r="Q1885" s="29"/>
      <c r="R1885" s="29"/>
      <c r="S1885" s="29"/>
      <c r="T1885" s="29"/>
      <c r="U1885" s="31"/>
      <c r="V1885" s="31"/>
      <c r="W1885" s="31"/>
      <c r="X1885" s="31"/>
      <c r="Y1885" s="31"/>
    </row>
    <row r="1886" spans="1:25" x14ac:dyDescent="0.2">
      <c r="A1886" s="29"/>
      <c r="B1886" s="29"/>
      <c r="C1886" s="29"/>
      <c r="D1886" s="29"/>
      <c r="E1886" s="29"/>
      <c r="F1886" s="30"/>
      <c r="G1886" s="30"/>
      <c r="H1886" s="30"/>
      <c r="I1886" s="30"/>
      <c r="J1886" s="30"/>
      <c r="K1886" s="30"/>
      <c r="L1886" s="29"/>
      <c r="M1886" s="29"/>
      <c r="N1886" s="29"/>
      <c r="O1886" s="29"/>
      <c r="P1886" s="29"/>
      <c r="Q1886" s="29"/>
      <c r="R1886" s="29"/>
      <c r="S1886" s="29"/>
      <c r="T1886" s="29"/>
      <c r="U1886" s="31"/>
      <c r="V1886" s="31"/>
      <c r="W1886" s="31"/>
      <c r="X1886" s="31"/>
      <c r="Y1886" s="31"/>
    </row>
    <row r="1887" spans="1:25" x14ac:dyDescent="0.2">
      <c r="A1887" s="29"/>
      <c r="B1887" s="29"/>
      <c r="C1887" s="29"/>
      <c r="D1887" s="29"/>
      <c r="E1887" s="29"/>
      <c r="F1887" s="30"/>
      <c r="G1887" s="30"/>
      <c r="H1887" s="30"/>
      <c r="I1887" s="30"/>
      <c r="J1887" s="30"/>
      <c r="K1887" s="30"/>
      <c r="L1887" s="29"/>
      <c r="M1887" s="29"/>
      <c r="N1887" s="29"/>
      <c r="O1887" s="29"/>
      <c r="P1887" s="29"/>
      <c r="Q1887" s="29"/>
      <c r="R1887" s="29"/>
      <c r="S1887" s="29"/>
      <c r="T1887" s="29"/>
      <c r="U1887" s="31"/>
      <c r="V1887" s="31"/>
      <c r="W1887" s="31"/>
      <c r="X1887" s="31"/>
      <c r="Y1887" s="31"/>
    </row>
    <row r="1888" spans="1:25" x14ac:dyDescent="0.2">
      <c r="A1888" s="29"/>
      <c r="B1888" s="29"/>
      <c r="C1888" s="29"/>
      <c r="D1888" s="29"/>
      <c r="E1888" s="29"/>
      <c r="F1888" s="30"/>
      <c r="G1888" s="30"/>
      <c r="H1888" s="30"/>
      <c r="I1888" s="30"/>
      <c r="J1888" s="30"/>
      <c r="K1888" s="30"/>
      <c r="L1888" s="29"/>
      <c r="M1888" s="29"/>
      <c r="N1888" s="29"/>
      <c r="O1888" s="29"/>
      <c r="P1888" s="29"/>
      <c r="Q1888" s="29"/>
      <c r="R1888" s="29"/>
      <c r="S1888" s="29"/>
      <c r="T1888" s="29"/>
      <c r="U1888" s="31"/>
      <c r="V1888" s="31"/>
      <c r="W1888" s="31"/>
      <c r="X1888" s="31"/>
      <c r="Y1888" s="31"/>
    </row>
    <row r="1889" spans="1:25" x14ac:dyDescent="0.2">
      <c r="A1889" s="29"/>
      <c r="B1889" s="29"/>
      <c r="C1889" s="29"/>
      <c r="D1889" s="29"/>
      <c r="E1889" s="29"/>
      <c r="F1889" s="30"/>
      <c r="G1889" s="30"/>
      <c r="H1889" s="30"/>
      <c r="I1889" s="30"/>
      <c r="J1889" s="30"/>
      <c r="K1889" s="30"/>
      <c r="L1889" s="29"/>
      <c r="M1889" s="29"/>
      <c r="N1889" s="29"/>
      <c r="O1889" s="29"/>
      <c r="P1889" s="29"/>
      <c r="Q1889" s="29"/>
      <c r="R1889" s="29"/>
      <c r="S1889" s="29"/>
      <c r="T1889" s="29"/>
      <c r="U1889" s="31"/>
      <c r="V1889" s="31"/>
      <c r="W1889" s="31"/>
      <c r="X1889" s="31"/>
      <c r="Y1889" s="31"/>
    </row>
    <row r="1890" spans="1:25" x14ac:dyDescent="0.2">
      <c r="A1890" s="29"/>
      <c r="B1890" s="29"/>
      <c r="C1890" s="29"/>
      <c r="D1890" s="29"/>
      <c r="E1890" s="29"/>
      <c r="F1890" s="30"/>
      <c r="G1890" s="30"/>
      <c r="H1890" s="30"/>
      <c r="I1890" s="30"/>
      <c r="J1890" s="30"/>
      <c r="K1890" s="30"/>
      <c r="L1890" s="29"/>
      <c r="M1890" s="29"/>
      <c r="N1890" s="29"/>
      <c r="O1890" s="29"/>
      <c r="P1890" s="29"/>
      <c r="Q1890" s="29"/>
      <c r="R1890" s="29"/>
      <c r="S1890" s="29"/>
      <c r="T1890" s="29"/>
      <c r="U1890" s="31"/>
      <c r="V1890" s="31"/>
      <c r="W1890" s="31"/>
      <c r="X1890" s="31"/>
      <c r="Y1890" s="31"/>
    </row>
    <row r="1891" spans="1:25" x14ac:dyDescent="0.2">
      <c r="A1891" s="29"/>
      <c r="B1891" s="29"/>
      <c r="C1891" s="29"/>
      <c r="D1891" s="29"/>
      <c r="E1891" s="29"/>
      <c r="F1891" s="30"/>
      <c r="G1891" s="30"/>
      <c r="H1891" s="30"/>
      <c r="I1891" s="30"/>
      <c r="J1891" s="30"/>
      <c r="K1891" s="30"/>
      <c r="L1891" s="29"/>
      <c r="M1891" s="29"/>
      <c r="N1891" s="29"/>
      <c r="O1891" s="29"/>
      <c r="P1891" s="29"/>
      <c r="Q1891" s="29"/>
      <c r="R1891" s="29"/>
      <c r="S1891" s="29"/>
      <c r="T1891" s="29"/>
      <c r="U1891" s="31"/>
      <c r="V1891" s="31"/>
      <c r="W1891" s="31"/>
      <c r="X1891" s="31"/>
      <c r="Y1891" s="31"/>
    </row>
    <row r="1892" spans="1:25" x14ac:dyDescent="0.2">
      <c r="A1892" s="29"/>
      <c r="B1892" s="29"/>
      <c r="C1892" s="29"/>
      <c r="D1892" s="29"/>
      <c r="E1892" s="29"/>
      <c r="F1892" s="30"/>
      <c r="G1892" s="30"/>
      <c r="H1892" s="30"/>
      <c r="I1892" s="30"/>
      <c r="J1892" s="30"/>
      <c r="K1892" s="30"/>
      <c r="L1892" s="29"/>
      <c r="M1892" s="29"/>
      <c r="N1892" s="29"/>
      <c r="O1892" s="29"/>
      <c r="P1892" s="29"/>
      <c r="Q1892" s="29"/>
      <c r="R1892" s="29"/>
      <c r="S1892" s="29"/>
      <c r="T1892" s="29"/>
      <c r="U1892" s="31"/>
      <c r="V1892" s="31"/>
      <c r="W1892" s="31"/>
      <c r="X1892" s="31"/>
      <c r="Y1892" s="31"/>
    </row>
    <row r="1893" spans="1:25" x14ac:dyDescent="0.2">
      <c r="A1893" s="29"/>
      <c r="B1893" s="29"/>
      <c r="C1893" s="29"/>
      <c r="D1893" s="29"/>
      <c r="E1893" s="29"/>
      <c r="F1893" s="30"/>
      <c r="G1893" s="30"/>
      <c r="H1893" s="30"/>
      <c r="I1893" s="30"/>
      <c r="J1893" s="30"/>
      <c r="K1893" s="30"/>
      <c r="L1893" s="29"/>
      <c r="M1893" s="29"/>
      <c r="N1893" s="29"/>
      <c r="O1893" s="29"/>
      <c r="P1893" s="29"/>
      <c r="Q1893" s="29"/>
      <c r="R1893" s="29"/>
      <c r="S1893" s="29"/>
      <c r="T1893" s="29"/>
      <c r="U1893" s="31"/>
      <c r="V1893" s="31"/>
      <c r="W1893" s="31"/>
      <c r="X1893" s="31"/>
      <c r="Y1893" s="31"/>
    </row>
    <row r="1894" spans="1:25" x14ac:dyDescent="0.2">
      <c r="A1894" s="29"/>
      <c r="B1894" s="29"/>
      <c r="C1894" s="29"/>
      <c r="D1894" s="29"/>
      <c r="E1894" s="29"/>
      <c r="F1894" s="30"/>
      <c r="G1894" s="30"/>
      <c r="H1894" s="30"/>
      <c r="I1894" s="30"/>
      <c r="J1894" s="30"/>
      <c r="K1894" s="30"/>
      <c r="L1894" s="29"/>
      <c r="M1894" s="29"/>
      <c r="N1894" s="29"/>
      <c r="O1894" s="29"/>
      <c r="P1894" s="29"/>
      <c r="Q1894" s="29"/>
      <c r="R1894" s="29"/>
      <c r="S1894" s="29"/>
      <c r="T1894" s="29"/>
      <c r="U1894" s="31"/>
      <c r="V1894" s="31"/>
      <c r="W1894" s="31"/>
      <c r="X1894" s="31"/>
      <c r="Y1894" s="31"/>
    </row>
    <row r="1895" spans="1:25" x14ac:dyDescent="0.2">
      <c r="A1895" s="29"/>
      <c r="B1895" s="29"/>
      <c r="C1895" s="29"/>
      <c r="D1895" s="29"/>
      <c r="E1895" s="29"/>
      <c r="F1895" s="30"/>
      <c r="G1895" s="30"/>
      <c r="H1895" s="30"/>
      <c r="I1895" s="30"/>
      <c r="J1895" s="30"/>
      <c r="K1895" s="30"/>
      <c r="L1895" s="29"/>
      <c r="M1895" s="29"/>
      <c r="N1895" s="29"/>
      <c r="O1895" s="29"/>
      <c r="P1895" s="29"/>
      <c r="Q1895" s="29"/>
      <c r="R1895" s="29"/>
      <c r="S1895" s="29"/>
      <c r="T1895" s="29"/>
      <c r="U1895" s="31"/>
      <c r="V1895" s="31"/>
      <c r="W1895" s="31"/>
      <c r="X1895" s="31"/>
      <c r="Y1895" s="31"/>
    </row>
    <row r="1896" spans="1:25" x14ac:dyDescent="0.2">
      <c r="A1896" s="29"/>
      <c r="B1896" s="29"/>
      <c r="C1896" s="29"/>
      <c r="D1896" s="29"/>
      <c r="E1896" s="29"/>
      <c r="F1896" s="30"/>
      <c r="G1896" s="30"/>
      <c r="H1896" s="30"/>
      <c r="I1896" s="30"/>
      <c r="J1896" s="30"/>
      <c r="K1896" s="30"/>
      <c r="L1896" s="29"/>
      <c r="M1896" s="29"/>
      <c r="N1896" s="29"/>
      <c r="O1896" s="29"/>
      <c r="P1896" s="29"/>
      <c r="Q1896" s="29"/>
      <c r="R1896" s="29"/>
      <c r="S1896" s="29"/>
      <c r="T1896" s="29"/>
      <c r="U1896" s="31"/>
      <c r="V1896" s="31"/>
      <c r="W1896" s="31"/>
      <c r="X1896" s="31"/>
      <c r="Y1896" s="31"/>
    </row>
    <row r="1897" spans="1:25" x14ac:dyDescent="0.2">
      <c r="A1897" s="29"/>
      <c r="B1897" s="29"/>
      <c r="C1897" s="29"/>
      <c r="D1897" s="29"/>
      <c r="E1897" s="29"/>
      <c r="F1897" s="30"/>
      <c r="G1897" s="30"/>
      <c r="H1897" s="30"/>
      <c r="I1897" s="30"/>
      <c r="J1897" s="30"/>
      <c r="K1897" s="30"/>
      <c r="L1897" s="29"/>
      <c r="M1897" s="29"/>
      <c r="N1897" s="29"/>
      <c r="O1897" s="29"/>
      <c r="P1897" s="29"/>
      <c r="Q1897" s="29"/>
      <c r="R1897" s="29"/>
      <c r="S1897" s="29"/>
      <c r="T1897" s="29"/>
      <c r="U1897" s="31"/>
      <c r="V1897" s="31"/>
      <c r="W1897" s="31"/>
      <c r="X1897" s="31"/>
      <c r="Y1897" s="31"/>
    </row>
    <row r="1898" spans="1:25" x14ac:dyDescent="0.2">
      <c r="A1898" s="29"/>
      <c r="B1898" s="29"/>
      <c r="C1898" s="29"/>
      <c r="D1898" s="29"/>
      <c r="E1898" s="29"/>
      <c r="F1898" s="30"/>
      <c r="G1898" s="30"/>
      <c r="H1898" s="30"/>
      <c r="I1898" s="30"/>
      <c r="J1898" s="30"/>
      <c r="K1898" s="30"/>
      <c r="L1898" s="29"/>
      <c r="M1898" s="29"/>
      <c r="N1898" s="29"/>
      <c r="O1898" s="29"/>
      <c r="P1898" s="29"/>
      <c r="Q1898" s="29"/>
      <c r="R1898" s="29"/>
      <c r="S1898" s="29"/>
      <c r="T1898" s="29"/>
      <c r="U1898" s="31"/>
      <c r="V1898" s="31"/>
      <c r="W1898" s="31"/>
      <c r="X1898" s="31"/>
      <c r="Y1898" s="31"/>
    </row>
    <row r="1899" spans="1:25" x14ac:dyDescent="0.2">
      <c r="A1899" s="29"/>
      <c r="B1899" s="29"/>
      <c r="C1899" s="29"/>
      <c r="D1899" s="29"/>
      <c r="E1899" s="29"/>
      <c r="F1899" s="30"/>
      <c r="G1899" s="30"/>
      <c r="H1899" s="30"/>
      <c r="I1899" s="30"/>
      <c r="J1899" s="30"/>
      <c r="K1899" s="30"/>
      <c r="L1899" s="29"/>
      <c r="M1899" s="29"/>
      <c r="N1899" s="29"/>
      <c r="O1899" s="29"/>
      <c r="P1899" s="29"/>
      <c r="Q1899" s="29"/>
      <c r="R1899" s="29"/>
      <c r="S1899" s="29"/>
      <c r="T1899" s="29"/>
      <c r="U1899" s="31"/>
      <c r="V1899" s="31"/>
      <c r="W1899" s="31"/>
      <c r="X1899" s="31"/>
      <c r="Y1899" s="31"/>
    </row>
    <row r="1900" spans="1:25" x14ac:dyDescent="0.2">
      <c r="A1900" s="29"/>
      <c r="B1900" s="29"/>
      <c r="C1900" s="29"/>
      <c r="D1900" s="29"/>
      <c r="E1900" s="29"/>
      <c r="F1900" s="30"/>
      <c r="G1900" s="30"/>
      <c r="H1900" s="30"/>
      <c r="I1900" s="30"/>
      <c r="J1900" s="30"/>
      <c r="K1900" s="30"/>
      <c r="L1900" s="29"/>
      <c r="M1900" s="29"/>
      <c r="N1900" s="29"/>
      <c r="O1900" s="29"/>
      <c r="P1900" s="29"/>
      <c r="Q1900" s="29"/>
      <c r="R1900" s="29"/>
      <c r="S1900" s="29"/>
      <c r="T1900" s="29"/>
      <c r="U1900" s="31"/>
      <c r="V1900" s="31"/>
      <c r="W1900" s="31"/>
      <c r="X1900" s="31"/>
      <c r="Y1900" s="31"/>
    </row>
    <row r="1901" spans="1:25" x14ac:dyDescent="0.2">
      <c r="A1901" s="29"/>
      <c r="B1901" s="29"/>
      <c r="C1901" s="29"/>
      <c r="D1901" s="29"/>
      <c r="E1901" s="29"/>
      <c r="F1901" s="30"/>
      <c r="G1901" s="30"/>
      <c r="H1901" s="30"/>
      <c r="I1901" s="30"/>
      <c r="J1901" s="30"/>
      <c r="K1901" s="30"/>
      <c r="L1901" s="29"/>
      <c r="M1901" s="29"/>
      <c r="N1901" s="29"/>
      <c r="O1901" s="29"/>
      <c r="P1901" s="29"/>
      <c r="Q1901" s="29"/>
      <c r="R1901" s="29"/>
      <c r="S1901" s="29"/>
      <c r="T1901" s="29"/>
      <c r="U1901" s="31"/>
      <c r="V1901" s="31"/>
      <c r="W1901" s="31"/>
      <c r="X1901" s="31"/>
      <c r="Y1901" s="31"/>
    </row>
    <row r="1902" spans="1:25" x14ac:dyDescent="0.2">
      <c r="A1902" s="29"/>
      <c r="B1902" s="29"/>
      <c r="C1902" s="29"/>
      <c r="D1902" s="29"/>
      <c r="E1902" s="29"/>
      <c r="F1902" s="30"/>
      <c r="G1902" s="30"/>
      <c r="H1902" s="30"/>
      <c r="I1902" s="30"/>
      <c r="J1902" s="30"/>
      <c r="K1902" s="30"/>
      <c r="L1902" s="29"/>
      <c r="M1902" s="29"/>
      <c r="N1902" s="29"/>
      <c r="O1902" s="29"/>
      <c r="P1902" s="29"/>
      <c r="Q1902" s="29"/>
      <c r="R1902" s="29"/>
      <c r="S1902" s="29"/>
      <c r="T1902" s="29"/>
      <c r="U1902" s="31"/>
      <c r="V1902" s="31"/>
      <c r="W1902" s="31"/>
      <c r="X1902" s="31"/>
      <c r="Y1902" s="31"/>
    </row>
    <row r="1903" spans="1:25" x14ac:dyDescent="0.2">
      <c r="A1903" s="29"/>
      <c r="B1903" s="29"/>
      <c r="C1903" s="29"/>
      <c r="D1903" s="29"/>
      <c r="E1903" s="29"/>
      <c r="F1903" s="30"/>
      <c r="G1903" s="30"/>
      <c r="H1903" s="30"/>
      <c r="I1903" s="30"/>
      <c r="J1903" s="30"/>
      <c r="K1903" s="30"/>
      <c r="L1903" s="29"/>
      <c r="M1903" s="29"/>
      <c r="N1903" s="29"/>
      <c r="O1903" s="29"/>
      <c r="P1903" s="29"/>
      <c r="Q1903" s="29"/>
      <c r="R1903" s="29"/>
      <c r="S1903" s="29"/>
      <c r="T1903" s="29"/>
      <c r="U1903" s="31"/>
      <c r="V1903" s="31"/>
      <c r="W1903" s="31"/>
      <c r="X1903" s="31"/>
      <c r="Y1903" s="31"/>
    </row>
    <row r="1904" spans="1:25" x14ac:dyDescent="0.2">
      <c r="A1904" s="29"/>
      <c r="B1904" s="29"/>
      <c r="C1904" s="29"/>
      <c r="D1904" s="29"/>
      <c r="E1904" s="29"/>
      <c r="F1904" s="30"/>
      <c r="G1904" s="30"/>
      <c r="H1904" s="30"/>
      <c r="I1904" s="30"/>
      <c r="J1904" s="30"/>
      <c r="K1904" s="30"/>
      <c r="L1904" s="29"/>
      <c r="M1904" s="29"/>
      <c r="N1904" s="29"/>
      <c r="O1904" s="29"/>
      <c r="P1904" s="29"/>
      <c r="Q1904" s="29"/>
      <c r="R1904" s="29"/>
      <c r="S1904" s="29"/>
      <c r="T1904" s="29"/>
      <c r="U1904" s="31"/>
      <c r="V1904" s="31"/>
      <c r="W1904" s="31"/>
      <c r="X1904" s="31"/>
      <c r="Y1904" s="31"/>
    </row>
    <row r="1905" spans="1:25" x14ac:dyDescent="0.2">
      <c r="A1905" s="29"/>
      <c r="B1905" s="29"/>
      <c r="C1905" s="29"/>
      <c r="D1905" s="29"/>
      <c r="E1905" s="29"/>
      <c r="F1905" s="30"/>
      <c r="G1905" s="30"/>
      <c r="H1905" s="30"/>
      <c r="I1905" s="30"/>
      <c r="J1905" s="30"/>
      <c r="K1905" s="30"/>
      <c r="L1905" s="29"/>
      <c r="M1905" s="29"/>
      <c r="N1905" s="29"/>
      <c r="O1905" s="29"/>
      <c r="P1905" s="29"/>
      <c r="Q1905" s="29"/>
      <c r="R1905" s="29"/>
      <c r="S1905" s="29"/>
      <c r="T1905" s="29"/>
      <c r="U1905" s="31"/>
      <c r="V1905" s="31"/>
      <c r="W1905" s="31"/>
      <c r="X1905" s="31"/>
      <c r="Y1905" s="31"/>
    </row>
    <row r="1906" spans="1:25" x14ac:dyDescent="0.2">
      <c r="A1906" s="29"/>
      <c r="B1906" s="29"/>
      <c r="C1906" s="29"/>
      <c r="D1906" s="29"/>
      <c r="E1906" s="29"/>
      <c r="F1906" s="30"/>
      <c r="G1906" s="30"/>
      <c r="H1906" s="30"/>
      <c r="I1906" s="30"/>
      <c r="J1906" s="30"/>
      <c r="K1906" s="30"/>
      <c r="L1906" s="29"/>
      <c r="M1906" s="29"/>
      <c r="N1906" s="29"/>
      <c r="O1906" s="29"/>
      <c r="P1906" s="29"/>
      <c r="Q1906" s="29"/>
      <c r="R1906" s="29"/>
      <c r="S1906" s="29"/>
      <c r="T1906" s="29"/>
      <c r="U1906" s="31"/>
      <c r="V1906" s="31"/>
      <c r="W1906" s="31"/>
      <c r="X1906" s="31"/>
      <c r="Y1906" s="31"/>
    </row>
    <row r="1907" spans="1:25" x14ac:dyDescent="0.2">
      <c r="A1907" s="29"/>
      <c r="B1907" s="29"/>
      <c r="C1907" s="29"/>
      <c r="D1907" s="29"/>
      <c r="E1907" s="29"/>
      <c r="F1907" s="30"/>
      <c r="G1907" s="30"/>
      <c r="H1907" s="30"/>
      <c r="I1907" s="30"/>
      <c r="J1907" s="30"/>
      <c r="K1907" s="30"/>
      <c r="L1907" s="29"/>
      <c r="M1907" s="29"/>
      <c r="N1907" s="29"/>
      <c r="O1907" s="29"/>
      <c r="P1907" s="29"/>
      <c r="Q1907" s="29"/>
      <c r="R1907" s="29"/>
      <c r="S1907" s="29"/>
      <c r="T1907" s="29"/>
      <c r="U1907" s="31"/>
      <c r="V1907" s="31"/>
      <c r="W1907" s="31"/>
      <c r="X1907" s="31"/>
      <c r="Y1907" s="31"/>
    </row>
    <row r="1908" spans="1:25" x14ac:dyDescent="0.2">
      <c r="A1908" s="29"/>
      <c r="B1908" s="29"/>
      <c r="C1908" s="29"/>
      <c r="D1908" s="29"/>
      <c r="E1908" s="29"/>
      <c r="F1908" s="30"/>
      <c r="G1908" s="30"/>
      <c r="H1908" s="30"/>
      <c r="I1908" s="30"/>
      <c r="J1908" s="30"/>
      <c r="K1908" s="30"/>
      <c r="L1908" s="29"/>
      <c r="M1908" s="29"/>
      <c r="N1908" s="29"/>
      <c r="O1908" s="29"/>
      <c r="P1908" s="29"/>
      <c r="Q1908" s="29"/>
      <c r="R1908" s="29"/>
      <c r="S1908" s="29"/>
      <c r="T1908" s="29"/>
      <c r="U1908" s="31"/>
      <c r="V1908" s="31"/>
      <c r="W1908" s="31"/>
      <c r="X1908" s="31"/>
      <c r="Y1908" s="31"/>
    </row>
    <row r="1909" spans="1:25" x14ac:dyDescent="0.2">
      <c r="A1909" s="29"/>
      <c r="B1909" s="29"/>
      <c r="C1909" s="29"/>
      <c r="D1909" s="29"/>
      <c r="E1909" s="29"/>
      <c r="F1909" s="30"/>
      <c r="G1909" s="30"/>
      <c r="H1909" s="30"/>
      <c r="I1909" s="30"/>
      <c r="J1909" s="30"/>
      <c r="K1909" s="30"/>
      <c r="L1909" s="29"/>
      <c r="M1909" s="29"/>
      <c r="N1909" s="29"/>
      <c r="O1909" s="29"/>
      <c r="P1909" s="29"/>
      <c r="Q1909" s="29"/>
      <c r="R1909" s="29"/>
      <c r="S1909" s="29"/>
      <c r="T1909" s="29"/>
      <c r="U1909" s="31"/>
      <c r="V1909" s="31"/>
      <c r="W1909" s="31"/>
      <c r="X1909" s="31"/>
      <c r="Y1909" s="31"/>
    </row>
    <row r="1910" spans="1:25" x14ac:dyDescent="0.2">
      <c r="A1910" s="29"/>
      <c r="B1910" s="29"/>
      <c r="C1910" s="29"/>
      <c r="D1910" s="29"/>
      <c r="E1910" s="29"/>
      <c r="F1910" s="30"/>
      <c r="G1910" s="30"/>
      <c r="H1910" s="30"/>
      <c r="I1910" s="30"/>
      <c r="J1910" s="30"/>
      <c r="K1910" s="30"/>
      <c r="L1910" s="29"/>
      <c r="M1910" s="29"/>
      <c r="N1910" s="29"/>
      <c r="O1910" s="29"/>
      <c r="P1910" s="29"/>
      <c r="Q1910" s="29"/>
      <c r="R1910" s="29"/>
      <c r="S1910" s="29"/>
      <c r="T1910" s="29"/>
      <c r="U1910" s="31"/>
      <c r="V1910" s="31"/>
      <c r="W1910" s="31"/>
      <c r="X1910" s="31"/>
      <c r="Y1910" s="31"/>
    </row>
    <row r="1911" spans="1:25" x14ac:dyDescent="0.2">
      <c r="A1911" s="29"/>
      <c r="B1911" s="29"/>
      <c r="C1911" s="29"/>
      <c r="D1911" s="29"/>
      <c r="E1911" s="29"/>
      <c r="F1911" s="30"/>
      <c r="G1911" s="30"/>
      <c r="H1911" s="30"/>
      <c r="I1911" s="30"/>
      <c r="J1911" s="30"/>
      <c r="K1911" s="30"/>
      <c r="L1911" s="29"/>
      <c r="M1911" s="29"/>
      <c r="N1911" s="29"/>
      <c r="O1911" s="29"/>
      <c r="P1911" s="29"/>
      <c r="Q1911" s="29"/>
      <c r="R1911" s="29"/>
      <c r="S1911" s="29"/>
      <c r="T1911" s="29"/>
      <c r="U1911" s="31"/>
      <c r="V1911" s="31"/>
      <c r="W1911" s="31"/>
      <c r="X1911" s="31"/>
      <c r="Y1911" s="31"/>
    </row>
    <row r="1912" spans="1:25" x14ac:dyDescent="0.2">
      <c r="A1912" s="29"/>
      <c r="B1912" s="29"/>
      <c r="C1912" s="29"/>
      <c r="D1912" s="29"/>
      <c r="E1912" s="29"/>
      <c r="F1912" s="30"/>
      <c r="G1912" s="30"/>
      <c r="H1912" s="30"/>
      <c r="I1912" s="30"/>
      <c r="J1912" s="30"/>
      <c r="K1912" s="30"/>
      <c r="L1912" s="29"/>
      <c r="M1912" s="29"/>
      <c r="N1912" s="29"/>
      <c r="O1912" s="29"/>
      <c r="P1912" s="29"/>
      <c r="Q1912" s="29"/>
      <c r="R1912" s="29"/>
      <c r="S1912" s="29"/>
      <c r="T1912" s="29"/>
      <c r="U1912" s="31"/>
      <c r="V1912" s="31"/>
      <c r="W1912" s="31"/>
      <c r="X1912" s="31"/>
      <c r="Y1912" s="31"/>
    </row>
    <row r="1913" spans="1:25" x14ac:dyDescent="0.2">
      <c r="A1913" s="29"/>
      <c r="B1913" s="29"/>
      <c r="C1913" s="29"/>
      <c r="D1913" s="29"/>
      <c r="E1913" s="29"/>
      <c r="F1913" s="30"/>
      <c r="G1913" s="30"/>
      <c r="H1913" s="30"/>
      <c r="I1913" s="30"/>
      <c r="J1913" s="30"/>
      <c r="K1913" s="30"/>
      <c r="L1913" s="29"/>
      <c r="M1913" s="29"/>
      <c r="N1913" s="29"/>
      <c r="O1913" s="29"/>
      <c r="P1913" s="29"/>
      <c r="Q1913" s="29"/>
      <c r="R1913" s="29"/>
      <c r="S1913" s="29"/>
      <c r="T1913" s="29"/>
      <c r="U1913" s="31"/>
      <c r="V1913" s="31"/>
      <c r="W1913" s="31"/>
      <c r="X1913" s="31"/>
      <c r="Y1913" s="31"/>
    </row>
    <row r="1914" spans="1:25" x14ac:dyDescent="0.2">
      <c r="A1914" s="29"/>
      <c r="B1914" s="29"/>
      <c r="C1914" s="29"/>
      <c r="D1914" s="29"/>
      <c r="E1914" s="29"/>
      <c r="F1914" s="30"/>
      <c r="G1914" s="30"/>
      <c r="H1914" s="30"/>
      <c r="I1914" s="30"/>
      <c r="J1914" s="30"/>
      <c r="K1914" s="30"/>
      <c r="L1914" s="29"/>
      <c r="M1914" s="29"/>
      <c r="N1914" s="29"/>
      <c r="O1914" s="29"/>
      <c r="P1914" s="29"/>
      <c r="Q1914" s="29"/>
      <c r="R1914" s="29"/>
      <c r="S1914" s="29"/>
      <c r="T1914" s="29"/>
      <c r="U1914" s="31"/>
      <c r="V1914" s="31"/>
      <c r="W1914" s="31"/>
      <c r="X1914" s="31"/>
      <c r="Y1914" s="31"/>
    </row>
    <row r="1915" spans="1:25" x14ac:dyDescent="0.2">
      <c r="A1915" s="29"/>
      <c r="B1915" s="29"/>
      <c r="C1915" s="29"/>
      <c r="D1915" s="29"/>
      <c r="E1915" s="29"/>
      <c r="F1915" s="30"/>
      <c r="G1915" s="30"/>
      <c r="H1915" s="30"/>
      <c r="I1915" s="30"/>
      <c r="J1915" s="30"/>
      <c r="K1915" s="30"/>
      <c r="L1915" s="29"/>
      <c r="M1915" s="29"/>
      <c r="N1915" s="29"/>
      <c r="O1915" s="29"/>
      <c r="P1915" s="29"/>
      <c r="Q1915" s="29"/>
      <c r="R1915" s="29"/>
      <c r="S1915" s="29"/>
      <c r="T1915" s="29"/>
      <c r="U1915" s="31"/>
      <c r="V1915" s="31"/>
      <c r="W1915" s="31"/>
      <c r="X1915" s="31"/>
      <c r="Y1915" s="31"/>
    </row>
    <row r="1916" spans="1:25" x14ac:dyDescent="0.2">
      <c r="A1916" s="29"/>
      <c r="B1916" s="29"/>
      <c r="C1916" s="29"/>
      <c r="D1916" s="29"/>
      <c r="E1916" s="29"/>
      <c r="F1916" s="30"/>
      <c r="G1916" s="30"/>
      <c r="H1916" s="30"/>
      <c r="I1916" s="30"/>
      <c r="J1916" s="30"/>
      <c r="K1916" s="30"/>
      <c r="L1916" s="29"/>
      <c r="M1916" s="29"/>
      <c r="N1916" s="29"/>
      <c r="O1916" s="29"/>
      <c r="P1916" s="29"/>
      <c r="Q1916" s="29"/>
      <c r="R1916" s="29"/>
      <c r="S1916" s="29"/>
      <c r="T1916" s="29"/>
      <c r="U1916" s="31"/>
      <c r="V1916" s="31"/>
      <c r="W1916" s="31"/>
      <c r="X1916" s="31"/>
      <c r="Y1916" s="31"/>
    </row>
    <row r="1917" spans="1:25" x14ac:dyDescent="0.2">
      <c r="A1917" s="29"/>
      <c r="B1917" s="29"/>
      <c r="C1917" s="29"/>
      <c r="D1917" s="29"/>
      <c r="E1917" s="29"/>
      <c r="F1917" s="30"/>
      <c r="G1917" s="30"/>
      <c r="H1917" s="30"/>
      <c r="I1917" s="30"/>
      <c r="J1917" s="30"/>
      <c r="K1917" s="30"/>
      <c r="L1917" s="29"/>
      <c r="M1917" s="29"/>
      <c r="N1917" s="29"/>
      <c r="O1917" s="29"/>
      <c r="P1917" s="29"/>
      <c r="Q1917" s="29"/>
      <c r="R1917" s="29"/>
      <c r="S1917" s="29"/>
      <c r="T1917" s="29"/>
      <c r="U1917" s="31"/>
      <c r="V1917" s="31"/>
      <c r="W1917" s="31"/>
      <c r="X1917" s="31"/>
      <c r="Y1917" s="31"/>
    </row>
    <row r="1918" spans="1:25" x14ac:dyDescent="0.2">
      <c r="A1918" s="29"/>
      <c r="B1918" s="29"/>
      <c r="C1918" s="29"/>
      <c r="D1918" s="29"/>
      <c r="E1918" s="29"/>
      <c r="F1918" s="30"/>
      <c r="G1918" s="30"/>
      <c r="H1918" s="30"/>
      <c r="I1918" s="30"/>
      <c r="J1918" s="30"/>
      <c r="K1918" s="30"/>
      <c r="L1918" s="29"/>
      <c r="M1918" s="29"/>
      <c r="N1918" s="29"/>
      <c r="O1918" s="29"/>
      <c r="P1918" s="29"/>
      <c r="Q1918" s="29"/>
      <c r="R1918" s="29"/>
      <c r="S1918" s="29"/>
      <c r="T1918" s="29"/>
      <c r="U1918" s="31"/>
      <c r="V1918" s="31"/>
      <c r="W1918" s="31"/>
      <c r="X1918" s="31"/>
      <c r="Y1918" s="31"/>
    </row>
    <row r="1919" spans="1:25" x14ac:dyDescent="0.2">
      <c r="A1919" s="29"/>
      <c r="B1919" s="29"/>
      <c r="C1919" s="29"/>
      <c r="D1919" s="29"/>
      <c r="E1919" s="29"/>
      <c r="F1919" s="30"/>
      <c r="G1919" s="30"/>
      <c r="H1919" s="30"/>
      <c r="I1919" s="30"/>
      <c r="J1919" s="30"/>
      <c r="K1919" s="30"/>
      <c r="L1919" s="29"/>
      <c r="M1919" s="29"/>
      <c r="N1919" s="29"/>
      <c r="O1919" s="29"/>
      <c r="P1919" s="29"/>
      <c r="Q1919" s="29"/>
      <c r="R1919" s="29"/>
      <c r="S1919" s="29"/>
      <c r="T1919" s="29"/>
      <c r="U1919" s="31"/>
      <c r="V1919" s="31"/>
      <c r="W1919" s="31"/>
      <c r="X1919" s="31"/>
      <c r="Y1919" s="31"/>
    </row>
    <row r="1920" spans="1:25" x14ac:dyDescent="0.2">
      <c r="A1920" s="29"/>
      <c r="B1920" s="29"/>
      <c r="C1920" s="29"/>
      <c r="D1920" s="29"/>
      <c r="E1920" s="29"/>
      <c r="F1920" s="30"/>
      <c r="G1920" s="30"/>
      <c r="H1920" s="30"/>
      <c r="I1920" s="30"/>
      <c r="J1920" s="30"/>
      <c r="K1920" s="30"/>
      <c r="L1920" s="29"/>
      <c r="M1920" s="29"/>
      <c r="N1920" s="29"/>
      <c r="O1920" s="29"/>
      <c r="P1920" s="29"/>
      <c r="Q1920" s="29"/>
      <c r="R1920" s="29"/>
      <c r="S1920" s="29"/>
      <c r="T1920" s="29"/>
      <c r="U1920" s="31"/>
      <c r="V1920" s="31"/>
      <c r="W1920" s="31"/>
      <c r="X1920" s="31"/>
      <c r="Y1920" s="31"/>
    </row>
    <row r="1921" spans="1:25" x14ac:dyDescent="0.2">
      <c r="A1921" s="29"/>
      <c r="B1921" s="29"/>
      <c r="C1921" s="29"/>
      <c r="D1921" s="29"/>
      <c r="E1921" s="29"/>
      <c r="F1921" s="30"/>
      <c r="G1921" s="30"/>
      <c r="H1921" s="30"/>
      <c r="I1921" s="30"/>
      <c r="J1921" s="30"/>
      <c r="K1921" s="30"/>
      <c r="L1921" s="29"/>
      <c r="M1921" s="29"/>
      <c r="N1921" s="29"/>
      <c r="O1921" s="29"/>
      <c r="P1921" s="29"/>
      <c r="Q1921" s="29"/>
      <c r="R1921" s="29"/>
      <c r="S1921" s="29"/>
      <c r="T1921" s="29"/>
      <c r="U1921" s="31"/>
      <c r="V1921" s="31"/>
      <c r="W1921" s="31"/>
      <c r="X1921" s="31"/>
      <c r="Y1921" s="31"/>
    </row>
    <row r="1922" spans="1:25" x14ac:dyDescent="0.2">
      <c r="A1922" s="29"/>
      <c r="B1922" s="29"/>
      <c r="C1922" s="29"/>
      <c r="D1922" s="29"/>
      <c r="E1922" s="29"/>
      <c r="F1922" s="30"/>
      <c r="G1922" s="30"/>
      <c r="H1922" s="30"/>
      <c r="I1922" s="30"/>
      <c r="J1922" s="30"/>
      <c r="K1922" s="30"/>
      <c r="L1922" s="29"/>
      <c r="M1922" s="29"/>
      <c r="N1922" s="29"/>
      <c r="O1922" s="29"/>
      <c r="P1922" s="29"/>
      <c r="Q1922" s="29"/>
      <c r="R1922" s="29"/>
      <c r="S1922" s="29"/>
      <c r="T1922" s="29"/>
      <c r="U1922" s="31"/>
      <c r="V1922" s="31"/>
      <c r="W1922" s="31"/>
      <c r="X1922" s="31"/>
      <c r="Y1922" s="31"/>
    </row>
    <row r="1923" spans="1:25" x14ac:dyDescent="0.2">
      <c r="A1923" s="29"/>
      <c r="B1923" s="29"/>
      <c r="C1923" s="29"/>
      <c r="D1923" s="29"/>
      <c r="E1923" s="29"/>
      <c r="F1923" s="30"/>
      <c r="G1923" s="30"/>
      <c r="H1923" s="30"/>
      <c r="I1923" s="30"/>
      <c r="J1923" s="30"/>
      <c r="K1923" s="30"/>
      <c r="L1923" s="29"/>
      <c r="M1923" s="29"/>
      <c r="N1923" s="29"/>
      <c r="O1923" s="29"/>
      <c r="P1923" s="29"/>
      <c r="Q1923" s="29"/>
      <c r="R1923" s="29"/>
      <c r="S1923" s="29"/>
      <c r="T1923" s="29"/>
      <c r="U1923" s="31"/>
      <c r="V1923" s="31"/>
      <c r="W1923" s="31"/>
      <c r="X1923" s="31"/>
      <c r="Y1923" s="31"/>
    </row>
    <row r="1924" spans="1:25" x14ac:dyDescent="0.2">
      <c r="A1924" s="29"/>
      <c r="B1924" s="29"/>
      <c r="C1924" s="29"/>
      <c r="D1924" s="29"/>
      <c r="E1924" s="29"/>
      <c r="F1924" s="30"/>
      <c r="G1924" s="30"/>
      <c r="H1924" s="30"/>
      <c r="I1924" s="30"/>
      <c r="J1924" s="30"/>
      <c r="K1924" s="30"/>
      <c r="L1924" s="29"/>
      <c r="M1924" s="29"/>
      <c r="N1924" s="29"/>
      <c r="O1924" s="29"/>
      <c r="P1924" s="29"/>
      <c r="Q1924" s="29"/>
      <c r="R1924" s="29"/>
      <c r="S1924" s="29"/>
      <c r="T1924" s="29"/>
      <c r="U1924" s="31"/>
      <c r="V1924" s="31"/>
      <c r="W1924" s="31"/>
      <c r="X1924" s="31"/>
      <c r="Y1924" s="31"/>
    </row>
    <row r="1925" spans="1:25" x14ac:dyDescent="0.2">
      <c r="A1925" s="29"/>
      <c r="B1925" s="29"/>
      <c r="C1925" s="29"/>
      <c r="D1925" s="29"/>
      <c r="E1925" s="29"/>
      <c r="F1925" s="30"/>
      <c r="G1925" s="30"/>
      <c r="H1925" s="30"/>
      <c r="I1925" s="30"/>
      <c r="J1925" s="30"/>
      <c r="K1925" s="30"/>
      <c r="L1925" s="29"/>
      <c r="M1925" s="29"/>
      <c r="N1925" s="29"/>
      <c r="O1925" s="29"/>
      <c r="P1925" s="29"/>
      <c r="Q1925" s="29"/>
      <c r="R1925" s="29"/>
      <c r="S1925" s="29"/>
      <c r="T1925" s="29"/>
      <c r="U1925" s="31"/>
      <c r="V1925" s="31"/>
      <c r="W1925" s="31"/>
      <c r="X1925" s="31"/>
      <c r="Y1925" s="31"/>
    </row>
    <row r="1926" spans="1:25" x14ac:dyDescent="0.2">
      <c r="A1926" s="29"/>
      <c r="B1926" s="29"/>
      <c r="C1926" s="29"/>
      <c r="D1926" s="29"/>
      <c r="E1926" s="29"/>
      <c r="F1926" s="30"/>
      <c r="G1926" s="30"/>
      <c r="H1926" s="30"/>
      <c r="I1926" s="30"/>
      <c r="J1926" s="30"/>
      <c r="K1926" s="30"/>
      <c r="L1926" s="29"/>
      <c r="M1926" s="29"/>
      <c r="N1926" s="29"/>
      <c r="O1926" s="29"/>
      <c r="P1926" s="29"/>
      <c r="Q1926" s="29"/>
      <c r="R1926" s="29"/>
      <c r="S1926" s="29"/>
      <c r="T1926" s="29"/>
      <c r="U1926" s="31"/>
      <c r="V1926" s="31"/>
      <c r="W1926" s="31"/>
      <c r="X1926" s="31"/>
      <c r="Y1926" s="31"/>
    </row>
    <row r="1927" spans="1:25" x14ac:dyDescent="0.2">
      <c r="A1927" s="29"/>
      <c r="B1927" s="29"/>
      <c r="C1927" s="29"/>
      <c r="D1927" s="29"/>
      <c r="E1927" s="29"/>
      <c r="F1927" s="30"/>
      <c r="G1927" s="30"/>
      <c r="H1927" s="30"/>
      <c r="I1927" s="30"/>
      <c r="J1927" s="30"/>
      <c r="K1927" s="30"/>
      <c r="L1927" s="29"/>
      <c r="M1927" s="29"/>
      <c r="N1927" s="29"/>
      <c r="O1927" s="29"/>
      <c r="P1927" s="29"/>
      <c r="Q1927" s="29"/>
      <c r="R1927" s="29"/>
      <c r="S1927" s="29"/>
      <c r="T1927" s="29"/>
      <c r="U1927" s="31"/>
      <c r="V1927" s="31"/>
      <c r="W1927" s="31"/>
      <c r="X1927" s="31"/>
      <c r="Y1927" s="31"/>
    </row>
    <row r="1928" spans="1:25" x14ac:dyDescent="0.2">
      <c r="A1928" s="29"/>
      <c r="B1928" s="29"/>
      <c r="C1928" s="29"/>
      <c r="D1928" s="29"/>
      <c r="E1928" s="29"/>
      <c r="F1928" s="30"/>
      <c r="G1928" s="30"/>
      <c r="H1928" s="30"/>
      <c r="I1928" s="30"/>
      <c r="J1928" s="30"/>
      <c r="K1928" s="30"/>
      <c r="L1928" s="29"/>
      <c r="M1928" s="29"/>
      <c r="N1928" s="29"/>
      <c r="O1928" s="29"/>
      <c r="P1928" s="29"/>
      <c r="Q1928" s="29"/>
      <c r="R1928" s="29"/>
      <c r="S1928" s="29"/>
      <c r="T1928" s="29"/>
      <c r="U1928" s="31"/>
      <c r="V1928" s="31"/>
      <c r="W1928" s="31"/>
      <c r="X1928" s="31"/>
      <c r="Y1928" s="31"/>
    </row>
    <row r="1929" spans="1:25" x14ac:dyDescent="0.2">
      <c r="A1929" s="29"/>
      <c r="B1929" s="29"/>
      <c r="C1929" s="29"/>
      <c r="D1929" s="29"/>
      <c r="E1929" s="29"/>
      <c r="F1929" s="30"/>
      <c r="G1929" s="30"/>
      <c r="H1929" s="30"/>
      <c r="I1929" s="30"/>
      <c r="J1929" s="30"/>
      <c r="K1929" s="30"/>
      <c r="L1929" s="29"/>
      <c r="M1929" s="29"/>
      <c r="N1929" s="29"/>
      <c r="O1929" s="29"/>
      <c r="P1929" s="29"/>
      <c r="Q1929" s="29"/>
      <c r="R1929" s="29"/>
      <c r="S1929" s="29"/>
      <c r="T1929" s="29"/>
      <c r="U1929" s="31"/>
      <c r="V1929" s="31"/>
      <c r="W1929" s="31"/>
      <c r="X1929" s="31"/>
      <c r="Y1929" s="31"/>
    </row>
    <row r="1930" spans="1:25" x14ac:dyDescent="0.2">
      <c r="A1930" s="29"/>
      <c r="B1930" s="29"/>
      <c r="C1930" s="29"/>
      <c r="D1930" s="29"/>
      <c r="E1930" s="29"/>
      <c r="F1930" s="30"/>
      <c r="G1930" s="30"/>
      <c r="H1930" s="30"/>
      <c r="I1930" s="30"/>
      <c r="J1930" s="30"/>
      <c r="K1930" s="30"/>
      <c r="L1930" s="29"/>
      <c r="M1930" s="29"/>
      <c r="N1930" s="29"/>
      <c r="O1930" s="29"/>
      <c r="P1930" s="29"/>
      <c r="Q1930" s="29"/>
      <c r="R1930" s="29"/>
      <c r="S1930" s="29"/>
      <c r="T1930" s="29"/>
      <c r="U1930" s="31"/>
      <c r="V1930" s="31"/>
      <c r="W1930" s="31"/>
      <c r="X1930" s="31"/>
      <c r="Y1930" s="31"/>
    </row>
    <row r="1931" spans="1:25" x14ac:dyDescent="0.2">
      <c r="A1931" s="29"/>
      <c r="B1931" s="29"/>
      <c r="C1931" s="29"/>
      <c r="D1931" s="29"/>
      <c r="E1931" s="29"/>
      <c r="F1931" s="30"/>
      <c r="G1931" s="30"/>
      <c r="H1931" s="30"/>
      <c r="I1931" s="30"/>
      <c r="J1931" s="30"/>
      <c r="K1931" s="30"/>
      <c r="L1931" s="29"/>
      <c r="M1931" s="29"/>
      <c r="N1931" s="29"/>
      <c r="O1931" s="29"/>
      <c r="P1931" s="29"/>
      <c r="Q1931" s="29"/>
      <c r="R1931" s="29"/>
      <c r="S1931" s="29"/>
      <c r="T1931" s="29"/>
      <c r="U1931" s="31"/>
      <c r="V1931" s="31"/>
      <c r="W1931" s="31"/>
      <c r="X1931" s="31"/>
      <c r="Y1931" s="31"/>
    </row>
    <row r="1932" spans="1:25" x14ac:dyDescent="0.2">
      <c r="A1932" s="29"/>
      <c r="B1932" s="29"/>
      <c r="C1932" s="29"/>
      <c r="D1932" s="29"/>
      <c r="E1932" s="29"/>
      <c r="F1932" s="30"/>
      <c r="G1932" s="30"/>
      <c r="H1932" s="30"/>
      <c r="I1932" s="30"/>
      <c r="J1932" s="30"/>
      <c r="K1932" s="30"/>
      <c r="L1932" s="29"/>
      <c r="M1932" s="29"/>
      <c r="N1932" s="29"/>
      <c r="O1932" s="29"/>
      <c r="P1932" s="29"/>
      <c r="Q1932" s="29"/>
      <c r="R1932" s="29"/>
      <c r="S1932" s="29"/>
      <c r="T1932" s="29"/>
      <c r="U1932" s="31"/>
      <c r="V1932" s="31"/>
      <c r="W1932" s="31"/>
      <c r="X1932" s="31"/>
      <c r="Y1932" s="31"/>
    </row>
    <row r="1933" spans="1:25" x14ac:dyDescent="0.2">
      <c r="A1933" s="29"/>
      <c r="B1933" s="29"/>
      <c r="C1933" s="29"/>
      <c r="D1933" s="29"/>
      <c r="E1933" s="29"/>
      <c r="F1933" s="30"/>
      <c r="G1933" s="30"/>
      <c r="H1933" s="30"/>
      <c r="I1933" s="30"/>
      <c r="J1933" s="30"/>
      <c r="K1933" s="30"/>
      <c r="L1933" s="29"/>
      <c r="M1933" s="29"/>
      <c r="N1933" s="29"/>
      <c r="O1933" s="29"/>
      <c r="P1933" s="29"/>
      <c r="Q1933" s="29"/>
      <c r="R1933" s="29"/>
      <c r="S1933" s="29"/>
      <c r="T1933" s="29"/>
      <c r="U1933" s="31"/>
      <c r="V1933" s="31"/>
      <c r="W1933" s="31"/>
      <c r="X1933" s="31"/>
      <c r="Y1933" s="31"/>
    </row>
    <row r="1934" spans="1:25" x14ac:dyDescent="0.2">
      <c r="A1934" s="29"/>
      <c r="B1934" s="29"/>
      <c r="C1934" s="29"/>
      <c r="D1934" s="29"/>
      <c r="E1934" s="29"/>
      <c r="F1934" s="30"/>
      <c r="G1934" s="30"/>
      <c r="H1934" s="30"/>
      <c r="I1934" s="30"/>
      <c r="J1934" s="30"/>
      <c r="K1934" s="30"/>
      <c r="L1934" s="29"/>
      <c r="M1934" s="29"/>
      <c r="N1934" s="29"/>
      <c r="O1934" s="29"/>
      <c r="P1934" s="29"/>
      <c r="Q1934" s="29"/>
      <c r="R1934" s="29"/>
      <c r="S1934" s="29"/>
      <c r="T1934" s="29"/>
      <c r="U1934" s="31"/>
      <c r="V1934" s="31"/>
      <c r="W1934" s="31"/>
      <c r="X1934" s="31"/>
      <c r="Y1934" s="31"/>
    </row>
    <row r="1935" spans="1:25" x14ac:dyDescent="0.2">
      <c r="A1935" s="29"/>
      <c r="B1935" s="29"/>
      <c r="C1935" s="29"/>
      <c r="D1935" s="29"/>
      <c r="E1935" s="29"/>
      <c r="F1935" s="30"/>
      <c r="G1935" s="30"/>
      <c r="H1935" s="30"/>
      <c r="I1935" s="30"/>
      <c r="J1935" s="30"/>
      <c r="K1935" s="30"/>
      <c r="L1935" s="29"/>
      <c r="M1935" s="29"/>
      <c r="N1935" s="29"/>
      <c r="O1935" s="29"/>
      <c r="P1935" s="29"/>
      <c r="Q1935" s="29"/>
      <c r="R1935" s="29"/>
      <c r="S1935" s="29"/>
      <c r="T1935" s="29"/>
      <c r="U1935" s="31"/>
      <c r="V1935" s="31"/>
      <c r="W1935" s="31"/>
      <c r="X1935" s="31"/>
      <c r="Y1935" s="31"/>
    </row>
    <row r="1936" spans="1:25" x14ac:dyDescent="0.2">
      <c r="A1936" s="29"/>
      <c r="B1936" s="29"/>
      <c r="C1936" s="29"/>
      <c r="D1936" s="29"/>
      <c r="E1936" s="29"/>
      <c r="F1936" s="30"/>
      <c r="G1936" s="30"/>
      <c r="H1936" s="30"/>
      <c r="I1936" s="30"/>
      <c r="J1936" s="30"/>
      <c r="K1936" s="30"/>
      <c r="L1936" s="29"/>
      <c r="M1936" s="29"/>
      <c r="N1936" s="29"/>
      <c r="O1936" s="29"/>
      <c r="P1936" s="29"/>
      <c r="Q1936" s="29"/>
      <c r="R1936" s="29"/>
      <c r="S1936" s="29"/>
      <c r="T1936" s="29"/>
      <c r="U1936" s="31"/>
      <c r="V1936" s="31"/>
      <c r="W1936" s="31"/>
      <c r="X1936" s="31"/>
      <c r="Y1936" s="31"/>
    </row>
    <row r="1937" spans="1:25" x14ac:dyDescent="0.2">
      <c r="A1937" s="29"/>
      <c r="B1937" s="29"/>
      <c r="C1937" s="29"/>
      <c r="D1937" s="29"/>
      <c r="E1937" s="29"/>
      <c r="F1937" s="30"/>
      <c r="G1937" s="30"/>
      <c r="H1937" s="30"/>
      <c r="I1937" s="30"/>
      <c r="J1937" s="30"/>
      <c r="K1937" s="30"/>
      <c r="L1937" s="29"/>
      <c r="M1937" s="29"/>
      <c r="N1937" s="29"/>
      <c r="O1937" s="29"/>
      <c r="P1937" s="29"/>
      <c r="Q1937" s="29"/>
      <c r="R1937" s="29"/>
      <c r="S1937" s="29"/>
      <c r="T1937" s="29"/>
      <c r="U1937" s="31"/>
      <c r="V1937" s="31"/>
      <c r="W1937" s="31"/>
      <c r="X1937" s="31"/>
      <c r="Y1937" s="31"/>
    </row>
    <row r="1938" spans="1:25" x14ac:dyDescent="0.2">
      <c r="A1938" s="29"/>
      <c r="B1938" s="29"/>
      <c r="C1938" s="29"/>
      <c r="D1938" s="29"/>
      <c r="E1938" s="29"/>
      <c r="F1938" s="30"/>
      <c r="G1938" s="30"/>
      <c r="H1938" s="30"/>
      <c r="I1938" s="30"/>
      <c r="J1938" s="30"/>
      <c r="K1938" s="30"/>
      <c r="L1938" s="29"/>
      <c r="M1938" s="29"/>
      <c r="N1938" s="29"/>
      <c r="O1938" s="29"/>
      <c r="P1938" s="29"/>
      <c r="Q1938" s="29"/>
      <c r="R1938" s="29"/>
      <c r="S1938" s="29"/>
      <c r="T1938" s="29"/>
      <c r="U1938" s="31"/>
      <c r="V1938" s="31"/>
      <c r="W1938" s="31"/>
      <c r="X1938" s="31"/>
      <c r="Y1938" s="31"/>
    </row>
    <row r="1939" spans="1:25" x14ac:dyDescent="0.2">
      <c r="A1939" s="29"/>
      <c r="B1939" s="29"/>
      <c r="C1939" s="29"/>
      <c r="D1939" s="29"/>
      <c r="E1939" s="29"/>
      <c r="F1939" s="30"/>
      <c r="G1939" s="30"/>
      <c r="H1939" s="30"/>
      <c r="I1939" s="30"/>
      <c r="J1939" s="30"/>
      <c r="K1939" s="30"/>
      <c r="L1939" s="29"/>
      <c r="M1939" s="29"/>
      <c r="N1939" s="29"/>
      <c r="O1939" s="29"/>
      <c r="P1939" s="29"/>
      <c r="Q1939" s="29"/>
      <c r="R1939" s="29"/>
      <c r="S1939" s="29"/>
      <c r="T1939" s="29"/>
      <c r="U1939" s="31"/>
      <c r="V1939" s="31"/>
      <c r="W1939" s="31"/>
      <c r="X1939" s="31"/>
      <c r="Y1939" s="31"/>
    </row>
    <row r="1940" spans="1:25" x14ac:dyDescent="0.2">
      <c r="A1940" s="29"/>
      <c r="B1940" s="29"/>
      <c r="C1940" s="29"/>
      <c r="D1940" s="29"/>
      <c r="E1940" s="29"/>
      <c r="F1940" s="30"/>
      <c r="G1940" s="30"/>
      <c r="H1940" s="30"/>
      <c r="I1940" s="30"/>
      <c r="J1940" s="30"/>
      <c r="K1940" s="30"/>
      <c r="L1940" s="29"/>
      <c r="M1940" s="29"/>
      <c r="N1940" s="29"/>
      <c r="O1940" s="29"/>
      <c r="P1940" s="29"/>
      <c r="Q1940" s="29"/>
      <c r="R1940" s="29"/>
      <c r="S1940" s="29"/>
      <c r="T1940" s="29"/>
      <c r="U1940" s="31"/>
      <c r="V1940" s="31"/>
      <c r="W1940" s="31"/>
      <c r="X1940" s="31"/>
      <c r="Y1940" s="31"/>
    </row>
    <row r="1941" spans="1:25" x14ac:dyDescent="0.2">
      <c r="A1941" s="29"/>
      <c r="B1941" s="29"/>
      <c r="C1941" s="29"/>
      <c r="D1941" s="29"/>
      <c r="E1941" s="29"/>
      <c r="F1941" s="30"/>
      <c r="G1941" s="30"/>
      <c r="H1941" s="30"/>
      <c r="I1941" s="30"/>
      <c r="J1941" s="30"/>
      <c r="K1941" s="30"/>
      <c r="L1941" s="29"/>
      <c r="M1941" s="29"/>
      <c r="N1941" s="29"/>
      <c r="O1941" s="29"/>
      <c r="P1941" s="29"/>
      <c r="Q1941" s="29"/>
      <c r="R1941" s="29"/>
      <c r="S1941" s="29"/>
      <c r="T1941" s="29"/>
      <c r="U1941" s="31"/>
      <c r="V1941" s="31"/>
      <c r="W1941" s="31"/>
      <c r="X1941" s="31"/>
      <c r="Y1941" s="31"/>
    </row>
    <row r="1942" spans="1:25" x14ac:dyDescent="0.2">
      <c r="A1942" s="29"/>
      <c r="B1942" s="29"/>
      <c r="C1942" s="29"/>
      <c r="D1942" s="29"/>
      <c r="E1942" s="29"/>
      <c r="F1942" s="30"/>
      <c r="G1942" s="30"/>
      <c r="H1942" s="30"/>
      <c r="I1942" s="30"/>
      <c r="J1942" s="30"/>
      <c r="K1942" s="30"/>
      <c r="L1942" s="29"/>
      <c r="M1942" s="29"/>
      <c r="N1942" s="29"/>
      <c r="O1942" s="29"/>
      <c r="P1942" s="29"/>
      <c r="Q1942" s="29"/>
      <c r="R1942" s="29"/>
      <c r="S1942" s="29"/>
      <c r="T1942" s="29"/>
      <c r="U1942" s="31"/>
      <c r="V1942" s="31"/>
      <c r="W1942" s="31"/>
      <c r="X1942" s="31"/>
      <c r="Y1942" s="31"/>
    </row>
    <row r="1943" spans="1:25" x14ac:dyDescent="0.2">
      <c r="A1943" s="29"/>
      <c r="B1943" s="29"/>
      <c r="C1943" s="29"/>
      <c r="D1943" s="29"/>
      <c r="E1943" s="29"/>
      <c r="F1943" s="30"/>
      <c r="G1943" s="30"/>
      <c r="H1943" s="30"/>
      <c r="I1943" s="30"/>
      <c r="J1943" s="30"/>
      <c r="K1943" s="30"/>
      <c r="L1943" s="29"/>
      <c r="M1943" s="29"/>
      <c r="N1943" s="29"/>
      <c r="O1943" s="29"/>
      <c r="P1943" s="29"/>
      <c r="Q1943" s="29"/>
      <c r="R1943" s="29"/>
      <c r="S1943" s="29"/>
      <c r="T1943" s="29"/>
      <c r="U1943" s="31"/>
      <c r="V1943" s="31"/>
      <c r="W1943" s="31"/>
      <c r="X1943" s="31"/>
      <c r="Y1943" s="31"/>
    </row>
    <row r="1944" spans="1:25" x14ac:dyDescent="0.2">
      <c r="A1944" s="29"/>
      <c r="B1944" s="29"/>
      <c r="C1944" s="29"/>
      <c r="D1944" s="29"/>
      <c r="E1944" s="29"/>
      <c r="F1944" s="30"/>
      <c r="G1944" s="30"/>
      <c r="H1944" s="30"/>
      <c r="I1944" s="30"/>
      <c r="J1944" s="30"/>
      <c r="K1944" s="30"/>
      <c r="L1944" s="29"/>
      <c r="M1944" s="29"/>
      <c r="N1944" s="29"/>
      <c r="O1944" s="29"/>
      <c r="P1944" s="29"/>
      <c r="Q1944" s="29"/>
      <c r="R1944" s="29"/>
      <c r="S1944" s="29"/>
      <c r="T1944" s="29"/>
      <c r="U1944" s="31"/>
      <c r="V1944" s="31"/>
      <c r="W1944" s="31"/>
      <c r="X1944" s="31"/>
      <c r="Y1944" s="31"/>
    </row>
    <row r="1945" spans="1:25" x14ac:dyDescent="0.2">
      <c r="A1945" s="29"/>
      <c r="B1945" s="29"/>
      <c r="C1945" s="29"/>
      <c r="D1945" s="29"/>
      <c r="E1945" s="29"/>
      <c r="F1945" s="30"/>
      <c r="G1945" s="30"/>
      <c r="H1945" s="30"/>
      <c r="I1945" s="30"/>
      <c r="J1945" s="30"/>
      <c r="K1945" s="30"/>
      <c r="L1945" s="29"/>
      <c r="M1945" s="29"/>
      <c r="N1945" s="29"/>
      <c r="O1945" s="29"/>
      <c r="P1945" s="29"/>
      <c r="Q1945" s="29"/>
      <c r="R1945" s="29"/>
      <c r="S1945" s="29"/>
      <c r="T1945" s="29"/>
      <c r="U1945" s="31"/>
      <c r="V1945" s="31"/>
      <c r="W1945" s="31"/>
      <c r="X1945" s="31"/>
      <c r="Y1945" s="31"/>
    </row>
    <row r="1946" spans="1:25" x14ac:dyDescent="0.2">
      <c r="A1946" s="29"/>
      <c r="B1946" s="29"/>
      <c r="C1946" s="29"/>
      <c r="D1946" s="29"/>
      <c r="E1946" s="29"/>
      <c r="F1946" s="30"/>
      <c r="G1946" s="30"/>
      <c r="H1946" s="30"/>
      <c r="I1946" s="30"/>
      <c r="J1946" s="30"/>
      <c r="K1946" s="30"/>
      <c r="L1946" s="29"/>
      <c r="M1946" s="29"/>
      <c r="N1946" s="29"/>
      <c r="O1946" s="29"/>
      <c r="P1946" s="29"/>
      <c r="Q1946" s="29"/>
      <c r="R1946" s="29"/>
      <c r="S1946" s="29"/>
      <c r="T1946" s="29"/>
      <c r="U1946" s="31"/>
      <c r="V1946" s="31"/>
      <c r="W1946" s="31"/>
      <c r="X1946" s="31"/>
      <c r="Y1946" s="31"/>
    </row>
    <row r="1947" spans="1:25" x14ac:dyDescent="0.2">
      <c r="A1947" s="29"/>
      <c r="B1947" s="29"/>
      <c r="C1947" s="29"/>
      <c r="D1947" s="29"/>
      <c r="E1947" s="29"/>
      <c r="F1947" s="30"/>
      <c r="G1947" s="30"/>
      <c r="H1947" s="30"/>
      <c r="I1947" s="30"/>
      <c r="J1947" s="30"/>
      <c r="K1947" s="30"/>
      <c r="L1947" s="29"/>
      <c r="M1947" s="29"/>
      <c r="N1947" s="29"/>
      <c r="O1947" s="29"/>
      <c r="P1947" s="29"/>
      <c r="Q1947" s="29"/>
      <c r="R1947" s="29"/>
      <c r="S1947" s="29"/>
      <c r="T1947" s="29"/>
      <c r="U1947" s="31"/>
      <c r="V1947" s="31"/>
      <c r="W1947" s="31"/>
      <c r="X1947" s="31"/>
      <c r="Y1947" s="31"/>
    </row>
    <row r="1948" spans="1:25" x14ac:dyDescent="0.2">
      <c r="A1948" s="29"/>
      <c r="B1948" s="29"/>
      <c r="C1948" s="29"/>
      <c r="D1948" s="29"/>
      <c r="E1948" s="29"/>
      <c r="F1948" s="30"/>
      <c r="G1948" s="30"/>
      <c r="H1948" s="30"/>
      <c r="I1948" s="30"/>
      <c r="J1948" s="30"/>
      <c r="K1948" s="30"/>
      <c r="L1948" s="29"/>
      <c r="M1948" s="29"/>
      <c r="N1948" s="29"/>
      <c r="O1948" s="29"/>
      <c r="P1948" s="29"/>
      <c r="Q1948" s="29"/>
      <c r="R1948" s="29"/>
      <c r="S1948" s="29"/>
      <c r="T1948" s="29"/>
      <c r="U1948" s="31"/>
      <c r="V1948" s="31"/>
      <c r="W1948" s="31"/>
      <c r="X1948" s="31"/>
      <c r="Y1948" s="31"/>
    </row>
    <row r="1949" spans="1:25" x14ac:dyDescent="0.2">
      <c r="A1949" s="29"/>
      <c r="B1949" s="29"/>
      <c r="C1949" s="29"/>
      <c r="D1949" s="29"/>
      <c r="E1949" s="29"/>
      <c r="F1949" s="30"/>
      <c r="G1949" s="30"/>
      <c r="H1949" s="30"/>
      <c r="I1949" s="30"/>
      <c r="J1949" s="30"/>
      <c r="K1949" s="30"/>
      <c r="L1949" s="29"/>
      <c r="M1949" s="29"/>
      <c r="N1949" s="29"/>
      <c r="O1949" s="29"/>
      <c r="P1949" s="29"/>
      <c r="Q1949" s="29"/>
      <c r="R1949" s="29"/>
      <c r="S1949" s="29"/>
      <c r="T1949" s="29"/>
      <c r="U1949" s="31"/>
      <c r="V1949" s="31"/>
      <c r="W1949" s="31"/>
      <c r="X1949" s="31"/>
      <c r="Y1949" s="31"/>
    </row>
    <row r="1950" spans="1:25" x14ac:dyDescent="0.2">
      <c r="A1950" s="29"/>
      <c r="B1950" s="29"/>
      <c r="C1950" s="29"/>
      <c r="D1950" s="29"/>
      <c r="E1950" s="29"/>
      <c r="F1950" s="30"/>
      <c r="G1950" s="30"/>
      <c r="H1950" s="30"/>
      <c r="I1950" s="30"/>
      <c r="J1950" s="30"/>
      <c r="K1950" s="30"/>
      <c r="L1950" s="29"/>
      <c r="M1950" s="29"/>
      <c r="N1950" s="29"/>
      <c r="O1950" s="29"/>
      <c r="P1950" s="29"/>
      <c r="Q1950" s="29"/>
      <c r="R1950" s="29"/>
      <c r="S1950" s="29"/>
      <c r="T1950" s="29"/>
      <c r="U1950" s="31"/>
      <c r="V1950" s="31"/>
      <c r="W1950" s="31"/>
      <c r="X1950" s="31"/>
      <c r="Y1950" s="31"/>
    </row>
    <row r="1951" spans="1:25" x14ac:dyDescent="0.2">
      <c r="A1951" s="29"/>
      <c r="B1951" s="29"/>
      <c r="C1951" s="29"/>
      <c r="D1951" s="29"/>
      <c r="E1951" s="29"/>
      <c r="F1951" s="30"/>
      <c r="G1951" s="30"/>
      <c r="H1951" s="30"/>
      <c r="I1951" s="30"/>
      <c r="J1951" s="30"/>
      <c r="K1951" s="30"/>
      <c r="L1951" s="29"/>
      <c r="M1951" s="29"/>
      <c r="N1951" s="29"/>
      <c r="O1951" s="29"/>
      <c r="P1951" s="29"/>
      <c r="Q1951" s="29"/>
      <c r="R1951" s="29"/>
      <c r="S1951" s="29"/>
      <c r="T1951" s="29"/>
      <c r="U1951" s="31"/>
      <c r="V1951" s="31"/>
      <c r="W1951" s="31"/>
      <c r="X1951" s="31"/>
      <c r="Y1951" s="31"/>
    </row>
    <row r="1952" spans="1:25" x14ac:dyDescent="0.2">
      <c r="A1952" s="29"/>
      <c r="B1952" s="29"/>
      <c r="C1952" s="29"/>
      <c r="D1952" s="29"/>
      <c r="E1952" s="29"/>
      <c r="F1952" s="30"/>
      <c r="G1952" s="30"/>
      <c r="H1952" s="30"/>
      <c r="I1952" s="30"/>
      <c r="J1952" s="30"/>
      <c r="K1952" s="30"/>
      <c r="L1952" s="29"/>
      <c r="M1952" s="29"/>
      <c r="N1952" s="29"/>
      <c r="O1952" s="29"/>
      <c r="P1952" s="29"/>
      <c r="Q1952" s="29"/>
      <c r="R1952" s="29"/>
      <c r="S1952" s="29"/>
      <c r="T1952" s="29"/>
      <c r="U1952" s="31"/>
      <c r="V1952" s="31"/>
      <c r="W1952" s="31"/>
      <c r="X1952" s="31"/>
      <c r="Y1952" s="31"/>
    </row>
    <row r="1953" spans="1:25" x14ac:dyDescent="0.2">
      <c r="A1953" s="29"/>
      <c r="B1953" s="29"/>
      <c r="C1953" s="29"/>
      <c r="D1953" s="29"/>
      <c r="E1953" s="29"/>
      <c r="F1953" s="30"/>
      <c r="G1953" s="30"/>
      <c r="H1953" s="30"/>
      <c r="I1953" s="30"/>
      <c r="J1953" s="30"/>
      <c r="K1953" s="30"/>
      <c r="L1953" s="29"/>
      <c r="M1953" s="29"/>
      <c r="N1953" s="29"/>
      <c r="O1953" s="29"/>
      <c r="P1953" s="29"/>
      <c r="Q1953" s="29"/>
      <c r="R1953" s="29"/>
      <c r="S1953" s="29"/>
      <c r="T1953" s="29"/>
      <c r="U1953" s="31"/>
      <c r="V1953" s="31"/>
      <c r="W1953" s="31"/>
      <c r="X1953" s="31"/>
      <c r="Y1953" s="31"/>
    </row>
    <row r="1954" spans="1:25" x14ac:dyDescent="0.2">
      <c r="A1954" s="29"/>
      <c r="B1954" s="29"/>
      <c r="C1954" s="29"/>
      <c r="D1954" s="29"/>
      <c r="E1954" s="29"/>
      <c r="F1954" s="30"/>
      <c r="G1954" s="30"/>
      <c r="H1954" s="30"/>
      <c r="I1954" s="30"/>
      <c r="J1954" s="30"/>
      <c r="K1954" s="30"/>
      <c r="L1954" s="29"/>
      <c r="M1954" s="29"/>
      <c r="N1954" s="29"/>
      <c r="O1954" s="29"/>
      <c r="P1954" s="29"/>
      <c r="Q1954" s="29"/>
      <c r="R1954" s="29"/>
      <c r="S1954" s="29"/>
      <c r="T1954" s="29"/>
      <c r="U1954" s="31"/>
      <c r="V1954" s="31"/>
      <c r="W1954" s="31"/>
      <c r="X1954" s="31"/>
      <c r="Y1954" s="31"/>
    </row>
    <row r="1955" spans="1:25" x14ac:dyDescent="0.2">
      <c r="A1955" s="29"/>
      <c r="B1955" s="29"/>
      <c r="C1955" s="29"/>
      <c r="D1955" s="29"/>
      <c r="E1955" s="29"/>
      <c r="F1955" s="30"/>
      <c r="G1955" s="30"/>
      <c r="H1955" s="30"/>
      <c r="I1955" s="30"/>
      <c r="J1955" s="30"/>
      <c r="K1955" s="30"/>
      <c r="L1955" s="29"/>
      <c r="M1955" s="29"/>
      <c r="N1955" s="29"/>
      <c r="O1955" s="29"/>
      <c r="P1955" s="29"/>
      <c r="Q1955" s="29"/>
      <c r="R1955" s="29"/>
      <c r="S1955" s="29"/>
      <c r="T1955" s="29"/>
      <c r="U1955" s="31"/>
      <c r="V1955" s="31"/>
      <c r="W1955" s="31"/>
      <c r="X1955" s="31"/>
      <c r="Y1955" s="31"/>
    </row>
    <row r="1956" spans="1:25" x14ac:dyDescent="0.2">
      <c r="A1956" s="29"/>
      <c r="B1956" s="29"/>
      <c r="C1956" s="29"/>
      <c r="D1956" s="29"/>
      <c r="E1956" s="29"/>
      <c r="F1956" s="30"/>
      <c r="G1956" s="30"/>
      <c r="H1956" s="30"/>
      <c r="I1956" s="30"/>
      <c r="J1956" s="30"/>
      <c r="K1956" s="30"/>
      <c r="L1956" s="29"/>
      <c r="M1956" s="29"/>
      <c r="N1956" s="29"/>
      <c r="O1956" s="29"/>
      <c r="P1956" s="29"/>
      <c r="Q1956" s="29"/>
      <c r="R1956" s="29"/>
      <c r="S1956" s="29"/>
      <c r="T1956" s="29"/>
      <c r="U1956" s="31"/>
      <c r="V1956" s="31"/>
      <c r="W1956" s="31"/>
      <c r="X1956" s="31"/>
      <c r="Y1956" s="31"/>
    </row>
    <row r="1957" spans="1:25" x14ac:dyDescent="0.2">
      <c r="A1957" s="29"/>
      <c r="B1957" s="29"/>
      <c r="C1957" s="29"/>
      <c r="D1957" s="29"/>
      <c r="E1957" s="29"/>
      <c r="F1957" s="30"/>
      <c r="G1957" s="30"/>
      <c r="H1957" s="30"/>
      <c r="I1957" s="30"/>
      <c r="J1957" s="30"/>
      <c r="K1957" s="30"/>
      <c r="L1957" s="29"/>
      <c r="M1957" s="29"/>
      <c r="N1957" s="29"/>
      <c r="O1957" s="29"/>
      <c r="P1957" s="29"/>
      <c r="Q1957" s="29"/>
      <c r="R1957" s="29"/>
      <c r="S1957" s="29"/>
      <c r="T1957" s="29"/>
      <c r="U1957" s="31"/>
      <c r="V1957" s="31"/>
      <c r="W1957" s="31"/>
      <c r="X1957" s="31"/>
      <c r="Y1957" s="31"/>
    </row>
    <row r="1958" spans="1:25" x14ac:dyDescent="0.2">
      <c r="A1958" s="29"/>
      <c r="B1958" s="29"/>
      <c r="C1958" s="29"/>
      <c r="D1958" s="29"/>
      <c r="E1958" s="29"/>
      <c r="F1958" s="30"/>
      <c r="G1958" s="30"/>
      <c r="H1958" s="30"/>
      <c r="I1958" s="30"/>
      <c r="J1958" s="30"/>
      <c r="K1958" s="30"/>
      <c r="L1958" s="29"/>
      <c r="M1958" s="29"/>
      <c r="N1958" s="29"/>
      <c r="O1958" s="29"/>
      <c r="P1958" s="29"/>
      <c r="Q1958" s="29"/>
      <c r="R1958" s="29"/>
      <c r="S1958" s="29"/>
      <c r="T1958" s="29"/>
      <c r="U1958" s="31"/>
      <c r="V1958" s="31"/>
      <c r="W1958" s="31"/>
      <c r="X1958" s="31"/>
      <c r="Y1958" s="31"/>
    </row>
    <row r="1959" spans="1:25" x14ac:dyDescent="0.2">
      <c r="A1959" s="29"/>
      <c r="B1959" s="29"/>
      <c r="C1959" s="29"/>
      <c r="D1959" s="29"/>
      <c r="E1959" s="29"/>
      <c r="F1959" s="30"/>
      <c r="G1959" s="30"/>
      <c r="H1959" s="30"/>
      <c r="I1959" s="30"/>
      <c r="J1959" s="30"/>
      <c r="K1959" s="30"/>
      <c r="L1959" s="29"/>
      <c r="M1959" s="29"/>
      <c r="N1959" s="29"/>
      <c r="O1959" s="29"/>
      <c r="P1959" s="29"/>
      <c r="Q1959" s="29"/>
      <c r="R1959" s="29"/>
      <c r="S1959" s="29"/>
      <c r="T1959" s="29"/>
      <c r="U1959" s="31"/>
      <c r="V1959" s="31"/>
      <c r="W1959" s="31"/>
      <c r="X1959" s="31"/>
      <c r="Y1959" s="31"/>
    </row>
    <row r="1960" spans="1:25" x14ac:dyDescent="0.2">
      <c r="A1960" s="29"/>
      <c r="B1960" s="29"/>
      <c r="C1960" s="29"/>
      <c r="D1960" s="29"/>
      <c r="E1960" s="29"/>
      <c r="F1960" s="30"/>
      <c r="G1960" s="30"/>
      <c r="H1960" s="30"/>
      <c r="I1960" s="30"/>
      <c r="J1960" s="30"/>
      <c r="K1960" s="30"/>
      <c r="L1960" s="29"/>
      <c r="M1960" s="29"/>
      <c r="N1960" s="29"/>
      <c r="O1960" s="29"/>
      <c r="P1960" s="29"/>
      <c r="Q1960" s="29"/>
      <c r="R1960" s="29"/>
      <c r="S1960" s="29"/>
      <c r="T1960" s="29"/>
      <c r="U1960" s="31"/>
      <c r="V1960" s="31"/>
      <c r="W1960" s="31"/>
      <c r="X1960" s="31"/>
      <c r="Y1960" s="31"/>
    </row>
    <row r="1961" spans="1:25" x14ac:dyDescent="0.2">
      <c r="A1961" s="29"/>
      <c r="B1961" s="29"/>
      <c r="C1961" s="29"/>
      <c r="D1961" s="29"/>
      <c r="E1961" s="29"/>
      <c r="F1961" s="30"/>
      <c r="G1961" s="30"/>
      <c r="H1961" s="30"/>
      <c r="I1961" s="30"/>
      <c r="J1961" s="30"/>
      <c r="K1961" s="30"/>
      <c r="L1961" s="29"/>
      <c r="M1961" s="29"/>
      <c r="N1961" s="29"/>
      <c r="O1961" s="29"/>
      <c r="P1961" s="29"/>
      <c r="Q1961" s="29"/>
      <c r="R1961" s="29"/>
      <c r="S1961" s="29"/>
      <c r="T1961" s="29"/>
      <c r="U1961" s="31"/>
      <c r="V1961" s="31"/>
      <c r="W1961" s="31"/>
      <c r="X1961" s="31"/>
      <c r="Y1961" s="31"/>
    </row>
    <row r="1962" spans="1:25" x14ac:dyDescent="0.2">
      <c r="A1962" s="29"/>
      <c r="B1962" s="29"/>
      <c r="C1962" s="29"/>
      <c r="D1962" s="29"/>
      <c r="E1962" s="29"/>
      <c r="F1962" s="30"/>
      <c r="G1962" s="30"/>
      <c r="H1962" s="30"/>
      <c r="I1962" s="30"/>
      <c r="J1962" s="30"/>
      <c r="K1962" s="30"/>
      <c r="L1962" s="29"/>
      <c r="M1962" s="29"/>
      <c r="N1962" s="29"/>
      <c r="O1962" s="29"/>
      <c r="P1962" s="29"/>
      <c r="Q1962" s="29"/>
      <c r="R1962" s="29"/>
      <c r="S1962" s="29"/>
      <c r="T1962" s="29"/>
      <c r="U1962" s="31"/>
      <c r="V1962" s="31"/>
      <c r="W1962" s="31"/>
      <c r="X1962" s="31"/>
      <c r="Y1962" s="31"/>
    </row>
    <row r="1963" spans="1:25" x14ac:dyDescent="0.2">
      <c r="A1963" s="29"/>
      <c r="B1963" s="29"/>
      <c r="C1963" s="29"/>
      <c r="D1963" s="29"/>
      <c r="E1963" s="29"/>
      <c r="F1963" s="30"/>
      <c r="G1963" s="30"/>
      <c r="H1963" s="30"/>
      <c r="I1963" s="30"/>
      <c r="J1963" s="30"/>
      <c r="K1963" s="30"/>
      <c r="L1963" s="29"/>
      <c r="M1963" s="29"/>
      <c r="N1963" s="29"/>
      <c r="O1963" s="29"/>
      <c r="P1963" s="29"/>
      <c r="Q1963" s="29"/>
      <c r="R1963" s="29"/>
      <c r="S1963" s="29"/>
      <c r="T1963" s="29"/>
      <c r="U1963" s="31"/>
      <c r="V1963" s="31"/>
      <c r="W1963" s="31"/>
      <c r="X1963" s="31"/>
      <c r="Y1963" s="31"/>
    </row>
    <row r="1964" spans="1:25" x14ac:dyDescent="0.2">
      <c r="A1964" s="29"/>
      <c r="B1964" s="29"/>
      <c r="C1964" s="29"/>
      <c r="D1964" s="29"/>
      <c r="E1964" s="29"/>
      <c r="F1964" s="30"/>
      <c r="G1964" s="30"/>
      <c r="H1964" s="30"/>
      <c r="I1964" s="30"/>
      <c r="J1964" s="30"/>
      <c r="K1964" s="30"/>
      <c r="L1964" s="29"/>
      <c r="M1964" s="29"/>
      <c r="N1964" s="29"/>
      <c r="O1964" s="29"/>
      <c r="P1964" s="29"/>
      <c r="Q1964" s="29"/>
      <c r="R1964" s="29"/>
      <c r="S1964" s="29"/>
      <c r="T1964" s="29"/>
      <c r="U1964" s="31"/>
      <c r="V1964" s="31"/>
      <c r="W1964" s="31"/>
      <c r="X1964" s="31"/>
      <c r="Y1964" s="31"/>
    </row>
    <row r="1965" spans="1:25" x14ac:dyDescent="0.2">
      <c r="A1965" s="29"/>
      <c r="B1965" s="29"/>
      <c r="C1965" s="29"/>
      <c r="D1965" s="29"/>
      <c r="E1965" s="29"/>
      <c r="F1965" s="30"/>
      <c r="G1965" s="30"/>
      <c r="H1965" s="30"/>
      <c r="I1965" s="30"/>
      <c r="J1965" s="30"/>
      <c r="K1965" s="30"/>
      <c r="L1965" s="29"/>
      <c r="M1965" s="29"/>
      <c r="N1965" s="29"/>
      <c r="O1965" s="29"/>
      <c r="P1965" s="29"/>
      <c r="Q1965" s="29"/>
      <c r="R1965" s="29"/>
      <c r="S1965" s="29"/>
      <c r="T1965" s="29"/>
      <c r="U1965" s="31"/>
      <c r="V1965" s="31"/>
      <c r="W1965" s="31"/>
      <c r="X1965" s="31"/>
      <c r="Y1965" s="31"/>
    </row>
    <row r="1966" spans="1:25" x14ac:dyDescent="0.2">
      <c r="A1966" s="29"/>
      <c r="B1966" s="29"/>
      <c r="C1966" s="29"/>
      <c r="D1966" s="29"/>
      <c r="E1966" s="29"/>
      <c r="F1966" s="30"/>
      <c r="G1966" s="30"/>
      <c r="H1966" s="30"/>
      <c r="I1966" s="30"/>
      <c r="J1966" s="30"/>
      <c r="K1966" s="30"/>
      <c r="L1966" s="29"/>
      <c r="M1966" s="29"/>
      <c r="N1966" s="29"/>
      <c r="O1966" s="29"/>
      <c r="P1966" s="29"/>
      <c r="Q1966" s="29"/>
      <c r="R1966" s="29"/>
      <c r="S1966" s="29"/>
      <c r="T1966" s="29"/>
      <c r="U1966" s="31"/>
      <c r="V1966" s="31"/>
      <c r="W1966" s="31"/>
      <c r="X1966" s="31"/>
      <c r="Y1966" s="31"/>
    </row>
    <row r="1967" spans="1:25" x14ac:dyDescent="0.2">
      <c r="A1967" s="29"/>
      <c r="B1967" s="29"/>
      <c r="C1967" s="29"/>
      <c r="D1967" s="29"/>
      <c r="E1967" s="29"/>
      <c r="F1967" s="30"/>
      <c r="G1967" s="30"/>
      <c r="H1967" s="30"/>
      <c r="I1967" s="30"/>
      <c r="J1967" s="30"/>
      <c r="K1967" s="30"/>
      <c r="L1967" s="29"/>
      <c r="M1967" s="29"/>
      <c r="N1967" s="29"/>
      <c r="O1967" s="29"/>
      <c r="P1967" s="29"/>
      <c r="Q1967" s="29"/>
      <c r="R1967" s="29"/>
      <c r="S1967" s="29"/>
      <c r="T1967" s="29"/>
      <c r="U1967" s="31"/>
      <c r="V1967" s="31"/>
      <c r="W1967" s="31"/>
      <c r="X1967" s="31"/>
      <c r="Y1967" s="31"/>
    </row>
    <row r="1968" spans="1:25" x14ac:dyDescent="0.2">
      <c r="A1968" s="29"/>
      <c r="B1968" s="29"/>
      <c r="C1968" s="29"/>
      <c r="D1968" s="29"/>
      <c r="E1968" s="29"/>
      <c r="F1968" s="30"/>
      <c r="G1968" s="30"/>
      <c r="H1968" s="30"/>
      <c r="I1968" s="30"/>
      <c r="J1968" s="30"/>
      <c r="K1968" s="30"/>
      <c r="L1968" s="29"/>
      <c r="M1968" s="29"/>
      <c r="N1968" s="29"/>
      <c r="O1968" s="29"/>
      <c r="P1968" s="29"/>
      <c r="Q1968" s="29"/>
      <c r="R1968" s="29"/>
      <c r="S1968" s="29"/>
      <c r="T1968" s="29"/>
      <c r="U1968" s="31"/>
      <c r="V1968" s="31"/>
      <c r="W1968" s="31"/>
      <c r="X1968" s="31"/>
      <c r="Y1968" s="31"/>
    </row>
    <row r="1969" spans="1:25" x14ac:dyDescent="0.2">
      <c r="A1969" s="29"/>
      <c r="B1969" s="29"/>
      <c r="C1969" s="29"/>
      <c r="D1969" s="29"/>
      <c r="E1969" s="29"/>
      <c r="F1969" s="30"/>
      <c r="G1969" s="30"/>
      <c r="H1969" s="30"/>
      <c r="I1969" s="30"/>
      <c r="J1969" s="30"/>
      <c r="K1969" s="30"/>
      <c r="L1969" s="29"/>
      <c r="M1969" s="29"/>
      <c r="N1969" s="29"/>
      <c r="O1969" s="29"/>
      <c r="P1969" s="29"/>
      <c r="Q1969" s="29"/>
      <c r="R1969" s="29"/>
      <c r="S1969" s="29"/>
      <c r="T1969" s="29"/>
      <c r="U1969" s="31"/>
      <c r="V1969" s="31"/>
      <c r="W1969" s="31"/>
      <c r="X1969" s="31"/>
      <c r="Y1969" s="31"/>
    </row>
    <row r="1970" spans="1:25" x14ac:dyDescent="0.2">
      <c r="A1970" s="29"/>
      <c r="B1970" s="29"/>
      <c r="C1970" s="29"/>
      <c r="D1970" s="29"/>
      <c r="E1970" s="29"/>
      <c r="F1970" s="30"/>
      <c r="G1970" s="30"/>
      <c r="H1970" s="30"/>
      <c r="I1970" s="30"/>
      <c r="J1970" s="30"/>
      <c r="K1970" s="30"/>
      <c r="L1970" s="29"/>
      <c r="M1970" s="29"/>
      <c r="N1970" s="29"/>
      <c r="O1970" s="29"/>
      <c r="P1970" s="29"/>
      <c r="Q1970" s="29"/>
      <c r="R1970" s="29"/>
      <c r="S1970" s="29"/>
      <c r="T1970" s="29"/>
      <c r="U1970" s="31"/>
      <c r="V1970" s="31"/>
      <c r="W1970" s="31"/>
      <c r="X1970" s="31"/>
      <c r="Y1970" s="31"/>
    </row>
    <row r="1971" spans="1:25" x14ac:dyDescent="0.2">
      <c r="A1971" s="29"/>
      <c r="B1971" s="29"/>
      <c r="C1971" s="29"/>
      <c r="D1971" s="29"/>
      <c r="E1971" s="29"/>
      <c r="F1971" s="30"/>
      <c r="G1971" s="30"/>
      <c r="H1971" s="30"/>
      <c r="I1971" s="30"/>
      <c r="J1971" s="30"/>
      <c r="K1971" s="30"/>
      <c r="L1971" s="29"/>
      <c r="M1971" s="29"/>
      <c r="N1971" s="29"/>
      <c r="O1971" s="29"/>
      <c r="P1971" s="29"/>
      <c r="Q1971" s="29"/>
      <c r="R1971" s="29"/>
      <c r="S1971" s="29"/>
      <c r="T1971" s="29"/>
      <c r="U1971" s="31"/>
      <c r="V1971" s="31"/>
      <c r="W1971" s="31"/>
      <c r="X1971" s="31"/>
      <c r="Y1971" s="31"/>
    </row>
    <row r="1972" spans="1:25" x14ac:dyDescent="0.2">
      <c r="A1972" s="29"/>
      <c r="B1972" s="29"/>
      <c r="C1972" s="29"/>
      <c r="D1972" s="29"/>
      <c r="E1972" s="29"/>
      <c r="F1972" s="30"/>
      <c r="G1972" s="30"/>
      <c r="H1972" s="30"/>
      <c r="I1972" s="30"/>
      <c r="J1972" s="30"/>
      <c r="K1972" s="30"/>
      <c r="L1972" s="29"/>
      <c r="M1972" s="29"/>
      <c r="N1972" s="29"/>
      <c r="O1972" s="29"/>
      <c r="P1972" s="29"/>
      <c r="Q1972" s="29"/>
      <c r="R1972" s="29"/>
      <c r="S1972" s="29"/>
      <c r="T1972" s="29"/>
      <c r="U1972" s="31"/>
      <c r="V1972" s="31"/>
      <c r="W1972" s="31"/>
      <c r="X1972" s="31"/>
      <c r="Y1972" s="31"/>
    </row>
    <row r="1973" spans="1:25" x14ac:dyDescent="0.2">
      <c r="A1973" s="29"/>
      <c r="B1973" s="29"/>
      <c r="C1973" s="29"/>
      <c r="D1973" s="29"/>
      <c r="E1973" s="29"/>
      <c r="F1973" s="30"/>
      <c r="G1973" s="30"/>
      <c r="H1973" s="30"/>
      <c r="I1973" s="30"/>
      <c r="J1973" s="30"/>
      <c r="K1973" s="30"/>
      <c r="L1973" s="29"/>
      <c r="M1973" s="29"/>
      <c r="N1973" s="29"/>
      <c r="O1973" s="29"/>
      <c r="P1973" s="29"/>
      <c r="Q1973" s="29"/>
      <c r="R1973" s="29"/>
      <c r="S1973" s="29"/>
      <c r="T1973" s="29"/>
      <c r="U1973" s="31"/>
      <c r="V1973" s="31"/>
      <c r="W1973" s="31"/>
      <c r="X1973" s="31"/>
      <c r="Y1973" s="31"/>
    </row>
    <row r="1974" spans="1:25" x14ac:dyDescent="0.2">
      <c r="A1974" s="29"/>
      <c r="B1974" s="29"/>
      <c r="C1974" s="29"/>
      <c r="D1974" s="29"/>
      <c r="E1974" s="29"/>
      <c r="F1974" s="30"/>
      <c r="G1974" s="30"/>
      <c r="H1974" s="30"/>
      <c r="I1974" s="30"/>
      <c r="J1974" s="30"/>
      <c r="K1974" s="30"/>
      <c r="L1974" s="29"/>
      <c r="M1974" s="29"/>
      <c r="N1974" s="29"/>
      <c r="O1974" s="29"/>
      <c r="P1974" s="29"/>
      <c r="Q1974" s="29"/>
      <c r="R1974" s="29"/>
      <c r="S1974" s="29"/>
      <c r="T1974" s="29"/>
      <c r="U1974" s="31"/>
      <c r="V1974" s="31"/>
      <c r="W1974" s="31"/>
      <c r="X1974" s="31"/>
      <c r="Y1974" s="31"/>
    </row>
    <row r="1975" spans="1:25" x14ac:dyDescent="0.2">
      <c r="A1975" s="29"/>
      <c r="B1975" s="29"/>
      <c r="C1975" s="29"/>
      <c r="D1975" s="29"/>
      <c r="E1975" s="29"/>
      <c r="F1975" s="30"/>
      <c r="G1975" s="30"/>
      <c r="H1975" s="30"/>
      <c r="I1975" s="30"/>
      <c r="J1975" s="30"/>
      <c r="K1975" s="30"/>
      <c r="L1975" s="29"/>
      <c r="M1975" s="29"/>
      <c r="N1975" s="29"/>
      <c r="O1975" s="29"/>
      <c r="P1975" s="29"/>
      <c r="Q1975" s="29"/>
      <c r="R1975" s="29"/>
      <c r="S1975" s="29"/>
      <c r="T1975" s="29"/>
      <c r="U1975" s="31"/>
      <c r="V1975" s="31"/>
      <c r="W1975" s="31"/>
      <c r="X1975" s="31"/>
      <c r="Y1975" s="31"/>
    </row>
    <row r="1976" spans="1:25" x14ac:dyDescent="0.2">
      <c r="A1976" s="29"/>
      <c r="B1976" s="29"/>
      <c r="C1976" s="29"/>
      <c r="D1976" s="29"/>
      <c r="E1976" s="29"/>
      <c r="F1976" s="30"/>
      <c r="G1976" s="30"/>
      <c r="H1976" s="30"/>
      <c r="I1976" s="30"/>
      <c r="J1976" s="30"/>
      <c r="K1976" s="30"/>
      <c r="L1976" s="29"/>
      <c r="M1976" s="29"/>
      <c r="N1976" s="29"/>
      <c r="O1976" s="29"/>
      <c r="P1976" s="29"/>
      <c r="Q1976" s="29"/>
      <c r="R1976" s="29"/>
      <c r="S1976" s="29"/>
      <c r="T1976" s="29"/>
      <c r="U1976" s="31"/>
      <c r="V1976" s="31"/>
      <c r="W1976" s="31"/>
      <c r="X1976" s="31"/>
      <c r="Y1976" s="31"/>
    </row>
    <row r="1977" spans="1:25" x14ac:dyDescent="0.2">
      <c r="A1977" s="29"/>
      <c r="B1977" s="29"/>
      <c r="C1977" s="29"/>
      <c r="D1977" s="29"/>
      <c r="E1977" s="29"/>
      <c r="F1977" s="30"/>
      <c r="G1977" s="30"/>
      <c r="H1977" s="30"/>
      <c r="I1977" s="30"/>
      <c r="J1977" s="30"/>
      <c r="K1977" s="30"/>
      <c r="L1977" s="29"/>
      <c r="M1977" s="29"/>
      <c r="N1977" s="29"/>
      <c r="O1977" s="29"/>
      <c r="P1977" s="29"/>
      <c r="Q1977" s="29"/>
      <c r="R1977" s="29"/>
      <c r="S1977" s="29"/>
      <c r="T1977" s="29"/>
      <c r="U1977" s="31"/>
      <c r="V1977" s="31"/>
      <c r="W1977" s="31"/>
      <c r="X1977" s="31"/>
      <c r="Y1977" s="31"/>
    </row>
    <row r="1978" spans="1:25" x14ac:dyDescent="0.2">
      <c r="A1978" s="29"/>
      <c r="B1978" s="29"/>
      <c r="C1978" s="29"/>
      <c r="D1978" s="29"/>
      <c r="E1978" s="29"/>
      <c r="F1978" s="30"/>
      <c r="G1978" s="30"/>
      <c r="H1978" s="30"/>
      <c r="I1978" s="30"/>
      <c r="J1978" s="30"/>
      <c r="K1978" s="30"/>
      <c r="L1978" s="29"/>
      <c r="M1978" s="29"/>
      <c r="N1978" s="29"/>
      <c r="O1978" s="29"/>
      <c r="P1978" s="29"/>
      <c r="Q1978" s="29"/>
      <c r="R1978" s="29"/>
      <c r="S1978" s="29"/>
      <c r="T1978" s="29"/>
      <c r="U1978" s="31"/>
      <c r="V1978" s="31"/>
      <c r="W1978" s="31"/>
      <c r="X1978" s="31"/>
      <c r="Y1978" s="31"/>
    </row>
    <row r="1979" spans="1:25" x14ac:dyDescent="0.2">
      <c r="A1979" s="29"/>
      <c r="B1979" s="29"/>
      <c r="C1979" s="29"/>
      <c r="D1979" s="29"/>
      <c r="E1979" s="29"/>
      <c r="F1979" s="30"/>
      <c r="G1979" s="30"/>
      <c r="H1979" s="30"/>
      <c r="I1979" s="30"/>
      <c r="J1979" s="30"/>
      <c r="K1979" s="30"/>
      <c r="L1979" s="29"/>
      <c r="M1979" s="29"/>
      <c r="N1979" s="29"/>
      <c r="O1979" s="29"/>
      <c r="P1979" s="29"/>
      <c r="Q1979" s="29"/>
      <c r="R1979" s="29"/>
      <c r="S1979" s="29"/>
      <c r="T1979" s="29"/>
      <c r="U1979" s="31"/>
      <c r="V1979" s="31"/>
      <c r="W1979" s="31"/>
      <c r="X1979" s="31"/>
      <c r="Y1979" s="31"/>
    </row>
    <row r="1980" spans="1:25" x14ac:dyDescent="0.2">
      <c r="A1980" s="29"/>
      <c r="B1980" s="29"/>
      <c r="C1980" s="29"/>
      <c r="D1980" s="29"/>
      <c r="E1980" s="29"/>
      <c r="F1980" s="30"/>
      <c r="G1980" s="30"/>
      <c r="H1980" s="30"/>
      <c r="I1980" s="30"/>
      <c r="J1980" s="30"/>
      <c r="K1980" s="30"/>
      <c r="L1980" s="29"/>
      <c r="M1980" s="29"/>
      <c r="N1980" s="29"/>
      <c r="O1980" s="29"/>
      <c r="P1980" s="29"/>
      <c r="Q1980" s="29"/>
      <c r="R1980" s="29"/>
      <c r="S1980" s="29"/>
      <c r="T1980" s="29"/>
      <c r="U1980" s="31"/>
      <c r="V1980" s="31"/>
      <c r="W1980" s="31"/>
      <c r="X1980" s="31"/>
      <c r="Y1980" s="31"/>
    </row>
    <row r="1981" spans="1:25" x14ac:dyDescent="0.2">
      <c r="A1981" s="29"/>
      <c r="B1981" s="29"/>
      <c r="C1981" s="29"/>
      <c r="D1981" s="29"/>
      <c r="E1981" s="29"/>
      <c r="F1981" s="30"/>
      <c r="G1981" s="30"/>
      <c r="H1981" s="30"/>
      <c r="I1981" s="30"/>
      <c r="J1981" s="30"/>
      <c r="K1981" s="30"/>
      <c r="L1981" s="29"/>
      <c r="M1981" s="29"/>
      <c r="N1981" s="29"/>
      <c r="O1981" s="29"/>
      <c r="P1981" s="29"/>
      <c r="Q1981" s="29"/>
      <c r="R1981" s="29"/>
      <c r="S1981" s="29"/>
      <c r="T1981" s="29"/>
      <c r="U1981" s="31"/>
      <c r="V1981" s="31"/>
      <c r="W1981" s="31"/>
      <c r="X1981" s="31"/>
      <c r="Y1981" s="31"/>
    </row>
    <row r="1982" spans="1:25" x14ac:dyDescent="0.2">
      <c r="A1982" s="29"/>
      <c r="B1982" s="29"/>
      <c r="C1982" s="29"/>
      <c r="D1982" s="29"/>
      <c r="E1982" s="29"/>
      <c r="F1982" s="30"/>
      <c r="G1982" s="30"/>
      <c r="H1982" s="30"/>
      <c r="I1982" s="30"/>
      <c r="J1982" s="30"/>
      <c r="K1982" s="30"/>
      <c r="L1982" s="29"/>
      <c r="M1982" s="29"/>
      <c r="N1982" s="29"/>
      <c r="O1982" s="29"/>
      <c r="P1982" s="29"/>
      <c r="Q1982" s="29"/>
      <c r="R1982" s="29"/>
      <c r="S1982" s="29"/>
      <c r="T1982" s="29"/>
      <c r="U1982" s="31"/>
      <c r="V1982" s="31"/>
      <c r="W1982" s="31"/>
      <c r="X1982" s="31"/>
      <c r="Y1982" s="31"/>
    </row>
    <row r="1983" spans="1:25" x14ac:dyDescent="0.2">
      <c r="A1983" s="29"/>
      <c r="B1983" s="29"/>
      <c r="C1983" s="29"/>
      <c r="D1983" s="29"/>
      <c r="E1983" s="29"/>
      <c r="F1983" s="30"/>
      <c r="G1983" s="30"/>
      <c r="H1983" s="30"/>
      <c r="I1983" s="30"/>
      <c r="J1983" s="30"/>
      <c r="K1983" s="30"/>
      <c r="L1983" s="29"/>
      <c r="M1983" s="29"/>
      <c r="N1983" s="29"/>
      <c r="O1983" s="29"/>
      <c r="P1983" s="29"/>
      <c r="Q1983" s="29"/>
      <c r="R1983" s="29"/>
      <c r="S1983" s="29"/>
      <c r="T1983" s="29"/>
      <c r="U1983" s="31"/>
      <c r="V1983" s="31"/>
      <c r="W1983" s="31"/>
      <c r="X1983" s="31"/>
      <c r="Y1983" s="31"/>
    </row>
    <row r="1984" spans="1:25" x14ac:dyDescent="0.2">
      <c r="A1984" s="29"/>
      <c r="B1984" s="29"/>
      <c r="C1984" s="29"/>
      <c r="D1984" s="29"/>
      <c r="E1984" s="29"/>
      <c r="F1984" s="30"/>
      <c r="G1984" s="30"/>
      <c r="H1984" s="30"/>
      <c r="I1984" s="30"/>
      <c r="J1984" s="30"/>
      <c r="K1984" s="30"/>
      <c r="L1984" s="29"/>
      <c r="M1984" s="29"/>
      <c r="N1984" s="29"/>
      <c r="O1984" s="29"/>
      <c r="P1984" s="29"/>
      <c r="Q1984" s="29"/>
      <c r="R1984" s="29"/>
      <c r="S1984" s="29"/>
      <c r="T1984" s="29"/>
      <c r="U1984" s="31"/>
      <c r="V1984" s="31"/>
      <c r="W1984" s="31"/>
      <c r="X1984" s="31"/>
      <c r="Y1984" s="31"/>
    </row>
    <row r="1985" spans="1:25" x14ac:dyDescent="0.2">
      <c r="A1985" s="29"/>
      <c r="B1985" s="29"/>
      <c r="C1985" s="29"/>
      <c r="D1985" s="29"/>
      <c r="E1985" s="29"/>
      <c r="F1985" s="30"/>
      <c r="G1985" s="30"/>
      <c r="H1985" s="30"/>
      <c r="I1985" s="30"/>
      <c r="J1985" s="30"/>
      <c r="K1985" s="30"/>
      <c r="L1985" s="29"/>
      <c r="M1985" s="29"/>
      <c r="N1985" s="29"/>
      <c r="O1985" s="29"/>
      <c r="P1985" s="29"/>
      <c r="Q1985" s="29"/>
      <c r="R1985" s="29"/>
      <c r="S1985" s="29"/>
      <c r="T1985" s="29"/>
      <c r="U1985" s="31"/>
      <c r="V1985" s="31"/>
      <c r="W1985" s="31"/>
      <c r="X1985" s="31"/>
      <c r="Y1985" s="31"/>
    </row>
    <row r="1986" spans="1:25" x14ac:dyDescent="0.2">
      <c r="A1986" s="29"/>
      <c r="B1986" s="29"/>
      <c r="C1986" s="29"/>
      <c r="D1986" s="29"/>
      <c r="E1986" s="29"/>
      <c r="F1986" s="30"/>
      <c r="G1986" s="30"/>
      <c r="H1986" s="30"/>
      <c r="I1986" s="30"/>
      <c r="J1986" s="30"/>
      <c r="K1986" s="30"/>
      <c r="L1986" s="29"/>
      <c r="M1986" s="29"/>
      <c r="N1986" s="29"/>
      <c r="O1986" s="29"/>
      <c r="P1986" s="29"/>
      <c r="Q1986" s="29"/>
      <c r="R1986" s="29"/>
      <c r="S1986" s="29"/>
      <c r="T1986" s="29"/>
      <c r="U1986" s="31"/>
      <c r="V1986" s="31"/>
      <c r="W1986" s="31"/>
      <c r="X1986" s="31"/>
      <c r="Y1986" s="31"/>
    </row>
    <row r="1987" spans="1:25" x14ac:dyDescent="0.2">
      <c r="A1987" s="29"/>
      <c r="B1987" s="29"/>
      <c r="C1987" s="29"/>
      <c r="D1987" s="29"/>
      <c r="E1987" s="29"/>
      <c r="F1987" s="30"/>
      <c r="G1987" s="30"/>
      <c r="H1987" s="30"/>
      <c r="I1987" s="30"/>
      <c r="J1987" s="30"/>
      <c r="K1987" s="30"/>
      <c r="L1987" s="29"/>
      <c r="M1987" s="29"/>
      <c r="N1987" s="29"/>
      <c r="O1987" s="29"/>
      <c r="P1987" s="29"/>
      <c r="Q1987" s="29"/>
      <c r="R1987" s="29"/>
      <c r="S1987" s="29"/>
      <c r="T1987" s="29"/>
      <c r="U1987" s="31"/>
      <c r="V1987" s="31"/>
      <c r="W1987" s="31"/>
      <c r="X1987" s="31"/>
      <c r="Y1987" s="31"/>
    </row>
    <row r="1988" spans="1:25" x14ac:dyDescent="0.2">
      <c r="A1988" s="29"/>
      <c r="B1988" s="29"/>
      <c r="C1988" s="29"/>
      <c r="D1988" s="29"/>
      <c r="E1988" s="29"/>
      <c r="F1988" s="30"/>
      <c r="G1988" s="30"/>
      <c r="H1988" s="30"/>
      <c r="I1988" s="30"/>
      <c r="J1988" s="30"/>
      <c r="K1988" s="30"/>
      <c r="L1988" s="29"/>
      <c r="M1988" s="29"/>
      <c r="N1988" s="29"/>
      <c r="O1988" s="29"/>
      <c r="P1988" s="29"/>
      <c r="Q1988" s="29"/>
      <c r="R1988" s="29"/>
      <c r="S1988" s="29"/>
      <c r="T1988" s="29"/>
      <c r="U1988" s="31"/>
      <c r="V1988" s="31"/>
      <c r="W1988" s="31"/>
      <c r="X1988" s="31"/>
      <c r="Y1988" s="31"/>
    </row>
    <row r="1989" spans="1:25" x14ac:dyDescent="0.2">
      <c r="A1989" s="29"/>
      <c r="B1989" s="29"/>
      <c r="C1989" s="29"/>
      <c r="D1989" s="29"/>
      <c r="E1989" s="29"/>
      <c r="F1989" s="30"/>
      <c r="G1989" s="30"/>
      <c r="H1989" s="30"/>
      <c r="I1989" s="30"/>
      <c r="J1989" s="30"/>
      <c r="K1989" s="30"/>
      <c r="L1989" s="29"/>
      <c r="M1989" s="29"/>
      <c r="N1989" s="29"/>
      <c r="O1989" s="29"/>
      <c r="P1989" s="29"/>
      <c r="Q1989" s="29"/>
      <c r="R1989" s="29"/>
      <c r="S1989" s="29"/>
      <c r="T1989" s="29"/>
      <c r="U1989" s="31"/>
      <c r="V1989" s="31"/>
      <c r="W1989" s="31"/>
      <c r="X1989" s="31"/>
      <c r="Y1989" s="31"/>
    </row>
    <row r="1990" spans="1:25" x14ac:dyDescent="0.2">
      <c r="A1990" s="29"/>
      <c r="B1990" s="29"/>
      <c r="C1990" s="29"/>
      <c r="D1990" s="29"/>
      <c r="E1990" s="29"/>
      <c r="F1990" s="30"/>
      <c r="G1990" s="30"/>
      <c r="H1990" s="30"/>
      <c r="I1990" s="30"/>
      <c r="J1990" s="30"/>
      <c r="K1990" s="30"/>
      <c r="L1990" s="29"/>
      <c r="M1990" s="29"/>
      <c r="N1990" s="29"/>
      <c r="O1990" s="29"/>
      <c r="P1990" s="29"/>
      <c r="Q1990" s="29"/>
      <c r="R1990" s="29"/>
      <c r="S1990" s="29"/>
      <c r="T1990" s="29"/>
      <c r="U1990" s="31"/>
      <c r="V1990" s="31"/>
      <c r="W1990" s="31"/>
      <c r="X1990" s="31"/>
      <c r="Y1990" s="31"/>
    </row>
    <row r="1991" spans="1:25" x14ac:dyDescent="0.2">
      <c r="A1991" s="29"/>
      <c r="B1991" s="29"/>
      <c r="C1991" s="29"/>
      <c r="D1991" s="29"/>
      <c r="E1991" s="29"/>
      <c r="F1991" s="30"/>
      <c r="G1991" s="30"/>
      <c r="H1991" s="30"/>
      <c r="I1991" s="30"/>
      <c r="J1991" s="30"/>
      <c r="K1991" s="30"/>
      <c r="L1991" s="29"/>
      <c r="M1991" s="29"/>
      <c r="N1991" s="29"/>
      <c r="O1991" s="29"/>
      <c r="P1991" s="29"/>
      <c r="Q1991" s="29"/>
      <c r="R1991" s="29"/>
      <c r="S1991" s="29"/>
      <c r="T1991" s="29"/>
      <c r="U1991" s="31"/>
      <c r="V1991" s="31"/>
      <c r="W1991" s="31"/>
      <c r="X1991" s="31"/>
      <c r="Y1991" s="31"/>
    </row>
    <row r="1992" spans="1:25" x14ac:dyDescent="0.2">
      <c r="A1992" s="29"/>
      <c r="B1992" s="29"/>
      <c r="C1992" s="29"/>
      <c r="D1992" s="29"/>
      <c r="E1992" s="29"/>
      <c r="F1992" s="30"/>
      <c r="G1992" s="30"/>
      <c r="H1992" s="30"/>
      <c r="I1992" s="30"/>
      <c r="J1992" s="30"/>
      <c r="K1992" s="30"/>
      <c r="L1992" s="29"/>
      <c r="M1992" s="29"/>
      <c r="N1992" s="29"/>
      <c r="O1992" s="29"/>
      <c r="P1992" s="29"/>
      <c r="Q1992" s="29"/>
      <c r="R1992" s="29"/>
      <c r="S1992" s="29"/>
      <c r="T1992" s="29"/>
      <c r="U1992" s="31"/>
      <c r="V1992" s="31"/>
      <c r="W1992" s="31"/>
      <c r="X1992" s="31"/>
      <c r="Y1992" s="31"/>
    </row>
    <row r="1993" spans="1:25" x14ac:dyDescent="0.2">
      <c r="A1993" s="29"/>
      <c r="B1993" s="29"/>
      <c r="C1993" s="29"/>
      <c r="D1993" s="29"/>
      <c r="E1993" s="29"/>
      <c r="F1993" s="30"/>
      <c r="G1993" s="30"/>
      <c r="H1993" s="30"/>
      <c r="I1993" s="30"/>
      <c r="J1993" s="30"/>
      <c r="K1993" s="30"/>
      <c r="L1993" s="29"/>
      <c r="M1993" s="29"/>
      <c r="N1993" s="29"/>
      <c r="O1993" s="29"/>
      <c r="P1993" s="29"/>
      <c r="Q1993" s="29"/>
      <c r="R1993" s="29"/>
      <c r="S1993" s="29"/>
      <c r="T1993" s="29"/>
      <c r="U1993" s="31"/>
      <c r="V1993" s="31"/>
      <c r="W1993" s="31"/>
      <c r="X1993" s="31"/>
      <c r="Y1993" s="31"/>
    </row>
    <row r="1994" spans="1:25" x14ac:dyDescent="0.2">
      <c r="A1994" s="29"/>
      <c r="B1994" s="29"/>
      <c r="C1994" s="29"/>
      <c r="D1994" s="29"/>
      <c r="E1994" s="29"/>
      <c r="F1994" s="30"/>
      <c r="G1994" s="30"/>
      <c r="H1994" s="30"/>
      <c r="I1994" s="30"/>
      <c r="J1994" s="30"/>
      <c r="K1994" s="30"/>
      <c r="L1994" s="29"/>
      <c r="M1994" s="29"/>
      <c r="N1994" s="29"/>
      <c r="O1994" s="29"/>
      <c r="P1994" s="29"/>
      <c r="Q1994" s="29"/>
      <c r="R1994" s="29"/>
      <c r="S1994" s="29"/>
      <c r="T1994" s="29"/>
      <c r="U1994" s="31"/>
      <c r="V1994" s="31"/>
      <c r="W1994" s="31"/>
      <c r="X1994" s="31"/>
      <c r="Y1994" s="31"/>
    </row>
    <row r="1995" spans="1:25" x14ac:dyDescent="0.2">
      <c r="A1995" s="29"/>
      <c r="B1995" s="29"/>
      <c r="C1995" s="29"/>
      <c r="D1995" s="29"/>
      <c r="E1995" s="29"/>
      <c r="F1995" s="30"/>
      <c r="G1995" s="30"/>
      <c r="H1995" s="30"/>
      <c r="I1995" s="30"/>
      <c r="J1995" s="30"/>
      <c r="K1995" s="30"/>
      <c r="L1995" s="29"/>
      <c r="M1995" s="29"/>
      <c r="N1995" s="29"/>
      <c r="O1995" s="29"/>
      <c r="P1995" s="29"/>
      <c r="Q1995" s="29"/>
      <c r="R1995" s="29"/>
      <c r="S1995" s="29"/>
      <c r="T1995" s="29"/>
      <c r="U1995" s="31"/>
      <c r="V1995" s="31"/>
      <c r="W1995" s="31"/>
      <c r="X1995" s="31"/>
      <c r="Y1995" s="31"/>
    </row>
    <row r="1996" spans="1:25" x14ac:dyDescent="0.2">
      <c r="A1996" s="29"/>
      <c r="B1996" s="29"/>
      <c r="C1996" s="29"/>
      <c r="D1996" s="29"/>
      <c r="E1996" s="29"/>
      <c r="F1996" s="30"/>
      <c r="G1996" s="30"/>
      <c r="H1996" s="30"/>
      <c r="I1996" s="30"/>
      <c r="J1996" s="30"/>
      <c r="K1996" s="30"/>
      <c r="L1996" s="29"/>
      <c r="M1996" s="29"/>
      <c r="N1996" s="29"/>
      <c r="O1996" s="29"/>
      <c r="P1996" s="29"/>
      <c r="Q1996" s="29"/>
      <c r="R1996" s="29"/>
      <c r="S1996" s="29"/>
      <c r="T1996" s="29"/>
      <c r="U1996" s="31"/>
      <c r="V1996" s="31"/>
      <c r="W1996" s="31"/>
      <c r="X1996" s="31"/>
      <c r="Y1996" s="31"/>
    </row>
    <row r="1997" spans="1:25" x14ac:dyDescent="0.2">
      <c r="A1997" s="29"/>
      <c r="B1997" s="29"/>
      <c r="C1997" s="29"/>
      <c r="D1997" s="29"/>
      <c r="E1997" s="29"/>
      <c r="F1997" s="30"/>
      <c r="G1997" s="30"/>
      <c r="H1997" s="30"/>
      <c r="I1997" s="30"/>
      <c r="J1997" s="30"/>
      <c r="K1997" s="30"/>
      <c r="L1997" s="29"/>
      <c r="M1997" s="29"/>
      <c r="N1997" s="29"/>
      <c r="O1997" s="29"/>
      <c r="P1997" s="29"/>
      <c r="Q1997" s="29"/>
      <c r="R1997" s="29"/>
      <c r="S1997" s="29"/>
      <c r="T1997" s="29"/>
      <c r="U1997" s="31"/>
      <c r="V1997" s="31"/>
      <c r="W1997" s="31"/>
      <c r="X1997" s="31"/>
      <c r="Y1997" s="31"/>
    </row>
    <row r="1998" spans="1:25" x14ac:dyDescent="0.2">
      <c r="A1998" s="29"/>
      <c r="B1998" s="29"/>
      <c r="C1998" s="29"/>
      <c r="D1998" s="29"/>
      <c r="E1998" s="29"/>
      <c r="F1998" s="30"/>
      <c r="G1998" s="30"/>
      <c r="H1998" s="30"/>
      <c r="I1998" s="30"/>
      <c r="J1998" s="30"/>
      <c r="K1998" s="30"/>
      <c r="L1998" s="29"/>
      <c r="M1998" s="29"/>
      <c r="N1998" s="29"/>
      <c r="O1998" s="29"/>
      <c r="P1998" s="29"/>
      <c r="Q1998" s="29"/>
      <c r="R1998" s="29"/>
      <c r="S1998" s="29"/>
      <c r="T1998" s="29"/>
      <c r="U1998" s="31"/>
      <c r="V1998" s="31"/>
      <c r="W1998" s="31"/>
      <c r="X1998" s="31"/>
      <c r="Y1998" s="31"/>
    </row>
    <row r="1999" spans="1:25" x14ac:dyDescent="0.2">
      <c r="A1999" s="29"/>
      <c r="B1999" s="29"/>
      <c r="C1999" s="29"/>
      <c r="D1999" s="29"/>
      <c r="E1999" s="29"/>
      <c r="F1999" s="30"/>
      <c r="G1999" s="30"/>
      <c r="H1999" s="30"/>
      <c r="I1999" s="30"/>
      <c r="J1999" s="30"/>
      <c r="K1999" s="30"/>
      <c r="L1999" s="29"/>
      <c r="M1999" s="29"/>
      <c r="N1999" s="29"/>
      <c r="O1999" s="29"/>
      <c r="P1999" s="29"/>
      <c r="Q1999" s="29"/>
      <c r="R1999" s="29"/>
      <c r="S1999" s="29"/>
      <c r="T1999" s="29"/>
      <c r="U1999" s="31"/>
      <c r="V1999" s="31"/>
      <c r="W1999" s="31"/>
      <c r="X1999" s="31"/>
      <c r="Y1999" s="31"/>
    </row>
    <row r="2000" spans="1:25" x14ac:dyDescent="0.2">
      <c r="A2000" s="29"/>
      <c r="B2000" s="29"/>
      <c r="C2000" s="29"/>
      <c r="D2000" s="29"/>
      <c r="E2000" s="29"/>
      <c r="F2000" s="30"/>
      <c r="G2000" s="30"/>
      <c r="H2000" s="30"/>
      <c r="I2000" s="30"/>
      <c r="J2000" s="30"/>
      <c r="K2000" s="30"/>
      <c r="L2000" s="29"/>
      <c r="M2000" s="29"/>
      <c r="N2000" s="29"/>
      <c r="O2000" s="29"/>
      <c r="P2000" s="29"/>
      <c r="Q2000" s="29"/>
      <c r="R2000" s="29"/>
      <c r="S2000" s="29"/>
      <c r="T2000" s="29"/>
      <c r="U2000" s="31"/>
      <c r="V2000" s="31"/>
      <c r="W2000" s="31"/>
      <c r="X2000" s="31"/>
      <c r="Y2000" s="31"/>
    </row>
    <row r="2001" spans="1:25" x14ac:dyDescent="0.2">
      <c r="A2001" s="29"/>
      <c r="B2001" s="29"/>
      <c r="C2001" s="29"/>
      <c r="D2001" s="29"/>
      <c r="E2001" s="29"/>
      <c r="F2001" s="30"/>
      <c r="G2001" s="30"/>
      <c r="H2001" s="30"/>
      <c r="I2001" s="30"/>
      <c r="J2001" s="30"/>
      <c r="K2001" s="30"/>
      <c r="L2001" s="29"/>
      <c r="M2001" s="29"/>
      <c r="N2001" s="29"/>
      <c r="O2001" s="29"/>
      <c r="P2001" s="29"/>
      <c r="Q2001" s="29"/>
      <c r="R2001" s="29"/>
      <c r="S2001" s="29"/>
      <c r="T2001" s="29"/>
      <c r="U2001" s="31"/>
      <c r="V2001" s="31"/>
      <c r="W2001" s="31"/>
      <c r="X2001" s="31"/>
      <c r="Y2001" s="31"/>
    </row>
    <row r="2002" spans="1:25" x14ac:dyDescent="0.2">
      <c r="A2002" s="29"/>
      <c r="B2002" s="29"/>
      <c r="C2002" s="29"/>
      <c r="D2002" s="29"/>
      <c r="E2002" s="29"/>
      <c r="F2002" s="30"/>
      <c r="G2002" s="30"/>
      <c r="H2002" s="30"/>
      <c r="I2002" s="30"/>
      <c r="J2002" s="30"/>
      <c r="K2002" s="30"/>
      <c r="L2002" s="29"/>
      <c r="M2002" s="29"/>
      <c r="N2002" s="29"/>
      <c r="O2002" s="29"/>
      <c r="P2002" s="29"/>
      <c r="Q2002" s="29"/>
      <c r="R2002" s="29"/>
      <c r="S2002" s="29"/>
      <c r="T2002" s="29"/>
      <c r="U2002" s="31"/>
      <c r="V2002" s="31"/>
      <c r="W2002" s="31"/>
      <c r="X2002" s="31"/>
      <c r="Y2002" s="31"/>
    </row>
    <row r="2003" spans="1:25" x14ac:dyDescent="0.2">
      <c r="A2003" s="29"/>
      <c r="B2003" s="29"/>
      <c r="C2003" s="29"/>
      <c r="D2003" s="29"/>
      <c r="E2003" s="29"/>
      <c r="F2003" s="30"/>
      <c r="G2003" s="30"/>
      <c r="H2003" s="30"/>
      <c r="I2003" s="30"/>
      <c r="J2003" s="30"/>
      <c r="K2003" s="30"/>
      <c r="L2003" s="29"/>
      <c r="M2003" s="29"/>
      <c r="N2003" s="29"/>
      <c r="O2003" s="29"/>
      <c r="P2003" s="29"/>
      <c r="Q2003" s="29"/>
      <c r="R2003" s="29"/>
      <c r="S2003" s="29"/>
      <c r="T2003" s="29"/>
      <c r="U2003" s="31"/>
      <c r="V2003" s="31"/>
      <c r="W2003" s="31"/>
      <c r="X2003" s="31"/>
      <c r="Y2003" s="31"/>
    </row>
    <row r="2004" spans="1:25" x14ac:dyDescent="0.2">
      <c r="A2004" s="29"/>
      <c r="B2004" s="29"/>
      <c r="C2004" s="29"/>
      <c r="D2004" s="29"/>
      <c r="E2004" s="29"/>
      <c r="F2004" s="30"/>
      <c r="G2004" s="30"/>
      <c r="H2004" s="30"/>
      <c r="I2004" s="30"/>
      <c r="J2004" s="30"/>
      <c r="K2004" s="30"/>
      <c r="L2004" s="29"/>
      <c r="M2004" s="29"/>
      <c r="N2004" s="29"/>
      <c r="O2004" s="29"/>
      <c r="P2004" s="29"/>
      <c r="Q2004" s="29"/>
      <c r="R2004" s="29"/>
      <c r="S2004" s="29"/>
      <c r="T2004" s="29"/>
      <c r="U2004" s="31"/>
      <c r="V2004" s="31"/>
      <c r="W2004" s="31"/>
      <c r="X2004" s="31"/>
      <c r="Y2004" s="31"/>
    </row>
    <row r="2005" spans="1:25" x14ac:dyDescent="0.2">
      <c r="A2005" s="29"/>
      <c r="B2005" s="29"/>
      <c r="C2005" s="29"/>
      <c r="D2005" s="29"/>
      <c r="E2005" s="29"/>
      <c r="F2005" s="30"/>
      <c r="G2005" s="30"/>
      <c r="H2005" s="30"/>
      <c r="I2005" s="30"/>
      <c r="J2005" s="30"/>
      <c r="K2005" s="30"/>
      <c r="L2005" s="29"/>
      <c r="M2005" s="29"/>
      <c r="N2005" s="29"/>
      <c r="O2005" s="29"/>
      <c r="P2005" s="29"/>
      <c r="Q2005" s="29"/>
      <c r="R2005" s="29"/>
      <c r="S2005" s="29"/>
      <c r="T2005" s="29"/>
      <c r="U2005" s="31"/>
      <c r="V2005" s="31"/>
      <c r="W2005" s="31"/>
      <c r="X2005" s="31"/>
      <c r="Y2005" s="31"/>
    </row>
    <row r="2006" spans="1:25" x14ac:dyDescent="0.2">
      <c r="A2006" s="29"/>
      <c r="B2006" s="29"/>
      <c r="C2006" s="29"/>
      <c r="D2006" s="29"/>
      <c r="E2006" s="29"/>
      <c r="F2006" s="30"/>
      <c r="G2006" s="30"/>
      <c r="H2006" s="30"/>
      <c r="I2006" s="30"/>
      <c r="J2006" s="30"/>
      <c r="K2006" s="30"/>
      <c r="L2006" s="29"/>
      <c r="M2006" s="29"/>
      <c r="N2006" s="29"/>
      <c r="O2006" s="29"/>
      <c r="P2006" s="29"/>
      <c r="Q2006" s="29"/>
      <c r="R2006" s="29"/>
      <c r="S2006" s="29"/>
      <c r="T2006" s="29"/>
      <c r="U2006" s="31"/>
      <c r="V2006" s="31"/>
      <c r="W2006" s="31"/>
      <c r="X2006" s="31"/>
      <c r="Y2006" s="31"/>
    </row>
    <row r="2007" spans="1:25" x14ac:dyDescent="0.2">
      <c r="A2007" s="29"/>
      <c r="B2007" s="29"/>
      <c r="C2007" s="29"/>
      <c r="D2007" s="29"/>
      <c r="E2007" s="29"/>
      <c r="F2007" s="30"/>
      <c r="G2007" s="30"/>
      <c r="H2007" s="30"/>
      <c r="I2007" s="30"/>
      <c r="J2007" s="30"/>
      <c r="K2007" s="30"/>
      <c r="L2007" s="29"/>
      <c r="M2007" s="29"/>
      <c r="N2007" s="29"/>
      <c r="O2007" s="29"/>
      <c r="P2007" s="29"/>
      <c r="Q2007" s="29"/>
      <c r="R2007" s="29"/>
      <c r="S2007" s="29"/>
      <c r="T2007" s="29"/>
      <c r="U2007" s="31"/>
      <c r="V2007" s="31"/>
      <c r="W2007" s="31"/>
      <c r="X2007" s="31"/>
      <c r="Y2007" s="31"/>
    </row>
    <row r="2008" spans="1:25" x14ac:dyDescent="0.2">
      <c r="A2008" s="29"/>
      <c r="B2008" s="29"/>
      <c r="C2008" s="29"/>
      <c r="D2008" s="29"/>
      <c r="E2008" s="29"/>
      <c r="F2008" s="30"/>
      <c r="G2008" s="30"/>
      <c r="H2008" s="30"/>
      <c r="I2008" s="30"/>
      <c r="J2008" s="30"/>
      <c r="K2008" s="30"/>
      <c r="L2008" s="29"/>
      <c r="M2008" s="29"/>
      <c r="N2008" s="29"/>
      <c r="O2008" s="29"/>
      <c r="P2008" s="29"/>
      <c r="Q2008" s="29"/>
      <c r="R2008" s="29"/>
      <c r="S2008" s="29"/>
      <c r="T2008" s="29"/>
      <c r="U2008" s="31"/>
      <c r="V2008" s="31"/>
      <c r="W2008" s="31"/>
      <c r="X2008" s="31"/>
      <c r="Y2008" s="31"/>
    </row>
    <row r="2009" spans="1:25" x14ac:dyDescent="0.2">
      <c r="A2009" s="29"/>
      <c r="B2009" s="29"/>
      <c r="C2009" s="29"/>
      <c r="D2009" s="29"/>
      <c r="E2009" s="29"/>
      <c r="F2009" s="30"/>
      <c r="G2009" s="30"/>
      <c r="H2009" s="30"/>
      <c r="I2009" s="30"/>
      <c r="J2009" s="30"/>
      <c r="K2009" s="30"/>
      <c r="L2009" s="29"/>
      <c r="M2009" s="29"/>
      <c r="N2009" s="29"/>
      <c r="O2009" s="29"/>
      <c r="P2009" s="29"/>
      <c r="Q2009" s="29"/>
      <c r="R2009" s="29"/>
      <c r="S2009" s="29"/>
      <c r="T2009" s="29"/>
      <c r="U2009" s="31"/>
      <c r="V2009" s="31"/>
      <c r="W2009" s="31"/>
      <c r="X2009" s="31"/>
      <c r="Y2009" s="31"/>
    </row>
    <row r="2010" spans="1:25" x14ac:dyDescent="0.2">
      <c r="A2010" s="29"/>
      <c r="B2010" s="29"/>
      <c r="C2010" s="29"/>
      <c r="D2010" s="29"/>
      <c r="E2010" s="29"/>
      <c r="F2010" s="30"/>
      <c r="G2010" s="30"/>
      <c r="H2010" s="30"/>
      <c r="I2010" s="30"/>
      <c r="J2010" s="30"/>
      <c r="K2010" s="30"/>
      <c r="L2010" s="29"/>
      <c r="M2010" s="29"/>
      <c r="N2010" s="29"/>
      <c r="O2010" s="29"/>
      <c r="P2010" s="29"/>
      <c r="Q2010" s="29"/>
      <c r="R2010" s="29"/>
      <c r="S2010" s="29"/>
      <c r="T2010" s="29"/>
      <c r="U2010" s="31"/>
      <c r="V2010" s="31"/>
      <c r="W2010" s="31"/>
      <c r="X2010" s="31"/>
      <c r="Y2010" s="31"/>
    </row>
    <row r="2011" spans="1:25" x14ac:dyDescent="0.2">
      <c r="A2011" s="29"/>
      <c r="B2011" s="29"/>
      <c r="C2011" s="29"/>
      <c r="D2011" s="29"/>
      <c r="E2011" s="29"/>
      <c r="F2011" s="30"/>
      <c r="G2011" s="30"/>
      <c r="H2011" s="30"/>
      <c r="I2011" s="30"/>
      <c r="J2011" s="30"/>
      <c r="K2011" s="30"/>
      <c r="L2011" s="29"/>
      <c r="M2011" s="29"/>
      <c r="N2011" s="29"/>
      <c r="O2011" s="29"/>
      <c r="P2011" s="29"/>
      <c r="Q2011" s="29"/>
      <c r="R2011" s="29"/>
      <c r="S2011" s="29"/>
      <c r="T2011" s="29"/>
      <c r="U2011" s="31"/>
      <c r="V2011" s="31"/>
      <c r="W2011" s="31"/>
      <c r="X2011" s="31"/>
      <c r="Y2011" s="31"/>
    </row>
    <row r="2012" spans="1:25" x14ac:dyDescent="0.2">
      <c r="A2012" s="29"/>
      <c r="B2012" s="29"/>
      <c r="C2012" s="29"/>
      <c r="D2012" s="29"/>
      <c r="E2012" s="29"/>
      <c r="F2012" s="30"/>
      <c r="G2012" s="30"/>
      <c r="H2012" s="30"/>
      <c r="I2012" s="30"/>
      <c r="J2012" s="30"/>
      <c r="K2012" s="30"/>
      <c r="L2012" s="29"/>
      <c r="M2012" s="29"/>
      <c r="N2012" s="29"/>
      <c r="O2012" s="29"/>
      <c r="P2012" s="29"/>
      <c r="Q2012" s="29"/>
      <c r="R2012" s="29"/>
      <c r="S2012" s="29"/>
      <c r="T2012" s="29"/>
      <c r="U2012" s="31"/>
      <c r="V2012" s="31"/>
      <c r="W2012" s="31"/>
      <c r="X2012" s="31"/>
      <c r="Y2012" s="31"/>
    </row>
    <row r="2013" spans="1:25" x14ac:dyDescent="0.2">
      <c r="A2013" s="29"/>
      <c r="B2013" s="29"/>
      <c r="C2013" s="29"/>
      <c r="D2013" s="29"/>
      <c r="E2013" s="29"/>
      <c r="F2013" s="30"/>
      <c r="G2013" s="30"/>
      <c r="H2013" s="30"/>
      <c r="I2013" s="30"/>
      <c r="J2013" s="30"/>
      <c r="K2013" s="30"/>
      <c r="L2013" s="29"/>
      <c r="M2013" s="29"/>
      <c r="N2013" s="29"/>
      <c r="O2013" s="29"/>
      <c r="P2013" s="29"/>
      <c r="Q2013" s="29"/>
      <c r="R2013" s="29"/>
      <c r="S2013" s="29"/>
      <c r="T2013" s="29"/>
      <c r="U2013" s="31"/>
      <c r="V2013" s="31"/>
      <c r="W2013" s="31"/>
      <c r="X2013" s="31"/>
      <c r="Y2013" s="31"/>
    </row>
    <row r="2014" spans="1:25" x14ac:dyDescent="0.2">
      <c r="A2014" s="29"/>
      <c r="B2014" s="29"/>
      <c r="C2014" s="29"/>
      <c r="D2014" s="29"/>
      <c r="E2014" s="29"/>
      <c r="F2014" s="30"/>
      <c r="G2014" s="30"/>
      <c r="H2014" s="30"/>
      <c r="I2014" s="30"/>
      <c r="J2014" s="30"/>
      <c r="K2014" s="30"/>
      <c r="L2014" s="29"/>
      <c r="M2014" s="29"/>
      <c r="N2014" s="29"/>
      <c r="O2014" s="29"/>
      <c r="P2014" s="29"/>
      <c r="Q2014" s="29"/>
      <c r="R2014" s="29"/>
      <c r="S2014" s="29"/>
      <c r="T2014" s="29"/>
      <c r="U2014" s="31"/>
      <c r="V2014" s="31"/>
      <c r="W2014" s="31"/>
      <c r="X2014" s="31"/>
      <c r="Y2014" s="31"/>
    </row>
    <row r="2015" spans="1:25" x14ac:dyDescent="0.2">
      <c r="A2015" s="29"/>
      <c r="B2015" s="29"/>
      <c r="C2015" s="29"/>
      <c r="D2015" s="29"/>
      <c r="E2015" s="29"/>
      <c r="F2015" s="30"/>
      <c r="G2015" s="30"/>
      <c r="H2015" s="30"/>
      <c r="I2015" s="30"/>
      <c r="J2015" s="30"/>
      <c r="K2015" s="30"/>
      <c r="L2015" s="29"/>
      <c r="M2015" s="29"/>
      <c r="N2015" s="29"/>
      <c r="O2015" s="29"/>
      <c r="P2015" s="29"/>
      <c r="Q2015" s="29"/>
      <c r="R2015" s="29"/>
      <c r="S2015" s="29"/>
      <c r="T2015" s="29"/>
      <c r="U2015" s="31"/>
      <c r="V2015" s="31"/>
      <c r="W2015" s="31"/>
      <c r="X2015" s="31"/>
      <c r="Y2015" s="31"/>
    </row>
    <row r="2016" spans="1:25" x14ac:dyDescent="0.2">
      <c r="A2016" s="29"/>
      <c r="B2016" s="29"/>
      <c r="C2016" s="29"/>
      <c r="D2016" s="29"/>
      <c r="E2016" s="29"/>
      <c r="F2016" s="30"/>
      <c r="G2016" s="30"/>
      <c r="H2016" s="30"/>
      <c r="I2016" s="30"/>
      <c r="J2016" s="30"/>
      <c r="K2016" s="30"/>
      <c r="L2016" s="29"/>
      <c r="M2016" s="29"/>
      <c r="N2016" s="29"/>
      <c r="O2016" s="29"/>
      <c r="P2016" s="29"/>
      <c r="Q2016" s="29"/>
      <c r="R2016" s="29"/>
      <c r="S2016" s="29"/>
      <c r="T2016" s="29"/>
      <c r="U2016" s="31"/>
      <c r="V2016" s="31"/>
      <c r="W2016" s="31"/>
      <c r="X2016" s="31"/>
      <c r="Y2016" s="31"/>
    </row>
    <row r="2017" spans="1:25" x14ac:dyDescent="0.2">
      <c r="A2017" s="29"/>
      <c r="B2017" s="29"/>
      <c r="C2017" s="29"/>
      <c r="D2017" s="29"/>
      <c r="E2017" s="29"/>
      <c r="F2017" s="30"/>
      <c r="G2017" s="30"/>
      <c r="H2017" s="30"/>
      <c r="I2017" s="30"/>
      <c r="J2017" s="30"/>
      <c r="K2017" s="30"/>
      <c r="L2017" s="29"/>
      <c r="M2017" s="29"/>
      <c r="N2017" s="29"/>
      <c r="O2017" s="29"/>
      <c r="P2017" s="29"/>
      <c r="Q2017" s="29"/>
      <c r="R2017" s="29"/>
      <c r="S2017" s="29"/>
      <c r="T2017" s="29"/>
      <c r="U2017" s="31"/>
      <c r="V2017" s="31"/>
      <c r="W2017" s="31"/>
      <c r="X2017" s="31"/>
      <c r="Y2017" s="31"/>
    </row>
    <row r="2018" spans="1:25" x14ac:dyDescent="0.2">
      <c r="A2018" s="29"/>
      <c r="B2018" s="29"/>
      <c r="C2018" s="29"/>
      <c r="D2018" s="29"/>
      <c r="E2018" s="29"/>
      <c r="F2018" s="30"/>
      <c r="G2018" s="30"/>
      <c r="H2018" s="30"/>
      <c r="I2018" s="30"/>
      <c r="J2018" s="30"/>
      <c r="K2018" s="30"/>
      <c r="L2018" s="29"/>
      <c r="M2018" s="29"/>
      <c r="N2018" s="29"/>
      <c r="O2018" s="29"/>
      <c r="P2018" s="29"/>
      <c r="Q2018" s="29"/>
      <c r="R2018" s="29"/>
      <c r="S2018" s="29"/>
      <c r="T2018" s="29"/>
      <c r="U2018" s="31"/>
      <c r="V2018" s="31"/>
      <c r="W2018" s="31"/>
      <c r="X2018" s="31"/>
      <c r="Y2018" s="31"/>
    </row>
    <row r="2019" spans="1:25" x14ac:dyDescent="0.2">
      <c r="A2019" s="29"/>
      <c r="B2019" s="29"/>
      <c r="C2019" s="29"/>
      <c r="D2019" s="29"/>
      <c r="E2019" s="29"/>
      <c r="F2019" s="30"/>
      <c r="G2019" s="30"/>
      <c r="H2019" s="30"/>
      <c r="I2019" s="30"/>
      <c r="J2019" s="30"/>
      <c r="K2019" s="30"/>
      <c r="L2019" s="29"/>
      <c r="M2019" s="29"/>
      <c r="N2019" s="29"/>
      <c r="O2019" s="29"/>
      <c r="P2019" s="29"/>
      <c r="Q2019" s="29"/>
      <c r="R2019" s="29"/>
      <c r="S2019" s="29"/>
      <c r="T2019" s="29"/>
      <c r="U2019" s="31"/>
      <c r="V2019" s="31"/>
      <c r="W2019" s="31"/>
      <c r="X2019" s="31"/>
      <c r="Y2019" s="31"/>
    </row>
    <row r="2020" spans="1:25" x14ac:dyDescent="0.2">
      <c r="A2020" s="29"/>
      <c r="B2020" s="29"/>
      <c r="C2020" s="29"/>
      <c r="D2020" s="29"/>
      <c r="E2020" s="29"/>
      <c r="F2020" s="30"/>
      <c r="G2020" s="30"/>
      <c r="H2020" s="30"/>
      <c r="I2020" s="30"/>
      <c r="J2020" s="30"/>
      <c r="K2020" s="30"/>
      <c r="L2020" s="29"/>
      <c r="M2020" s="29"/>
      <c r="N2020" s="29"/>
      <c r="O2020" s="29"/>
      <c r="P2020" s="29"/>
      <c r="Q2020" s="29"/>
      <c r="R2020" s="29"/>
      <c r="S2020" s="29"/>
      <c r="T2020" s="29"/>
      <c r="U2020" s="31"/>
      <c r="V2020" s="31"/>
      <c r="W2020" s="31"/>
      <c r="X2020" s="31"/>
      <c r="Y2020" s="31"/>
    </row>
    <row r="2021" spans="1:25" x14ac:dyDescent="0.2">
      <c r="A2021" s="29"/>
      <c r="B2021" s="29"/>
      <c r="C2021" s="29"/>
      <c r="D2021" s="29"/>
      <c r="E2021" s="29"/>
      <c r="F2021" s="30"/>
      <c r="G2021" s="30"/>
      <c r="H2021" s="30"/>
      <c r="I2021" s="30"/>
      <c r="J2021" s="30"/>
      <c r="K2021" s="30"/>
      <c r="L2021" s="29"/>
      <c r="M2021" s="29"/>
      <c r="N2021" s="29"/>
      <c r="O2021" s="29"/>
      <c r="P2021" s="29"/>
      <c r="Q2021" s="29"/>
      <c r="R2021" s="29"/>
      <c r="S2021" s="29"/>
      <c r="T2021" s="29"/>
      <c r="U2021" s="31"/>
      <c r="V2021" s="31"/>
      <c r="W2021" s="31"/>
      <c r="X2021" s="31"/>
      <c r="Y2021" s="31"/>
    </row>
    <row r="2022" spans="1:25" x14ac:dyDescent="0.2">
      <c r="A2022" s="29"/>
      <c r="B2022" s="29"/>
      <c r="C2022" s="29"/>
      <c r="D2022" s="29"/>
      <c r="E2022" s="29"/>
      <c r="F2022" s="30"/>
      <c r="G2022" s="30"/>
      <c r="H2022" s="30"/>
      <c r="I2022" s="30"/>
      <c r="J2022" s="30"/>
      <c r="K2022" s="30"/>
      <c r="L2022" s="29"/>
      <c r="M2022" s="29"/>
      <c r="N2022" s="29"/>
      <c r="O2022" s="29"/>
      <c r="P2022" s="29"/>
      <c r="Q2022" s="29"/>
      <c r="R2022" s="29"/>
      <c r="S2022" s="29"/>
      <c r="T2022" s="29"/>
      <c r="U2022" s="31"/>
      <c r="V2022" s="31"/>
      <c r="W2022" s="31"/>
      <c r="X2022" s="31"/>
      <c r="Y2022" s="31"/>
    </row>
    <row r="2023" spans="1:25" x14ac:dyDescent="0.2">
      <c r="A2023" s="29"/>
      <c r="B2023" s="29"/>
      <c r="C2023" s="29"/>
      <c r="D2023" s="29"/>
      <c r="E2023" s="29"/>
      <c r="F2023" s="30"/>
      <c r="G2023" s="30"/>
      <c r="H2023" s="30"/>
      <c r="I2023" s="30"/>
      <c r="J2023" s="30"/>
      <c r="K2023" s="30"/>
      <c r="L2023" s="29"/>
      <c r="M2023" s="29"/>
      <c r="N2023" s="29"/>
      <c r="O2023" s="29"/>
      <c r="P2023" s="29"/>
      <c r="Q2023" s="29"/>
      <c r="R2023" s="29"/>
      <c r="S2023" s="29"/>
      <c r="T2023" s="29"/>
      <c r="U2023" s="31"/>
      <c r="V2023" s="31"/>
      <c r="W2023" s="31"/>
      <c r="X2023" s="31"/>
      <c r="Y2023" s="31"/>
    </row>
    <row r="2024" spans="1:25" x14ac:dyDescent="0.2">
      <c r="A2024" s="29"/>
      <c r="B2024" s="29"/>
      <c r="C2024" s="29"/>
      <c r="D2024" s="29"/>
      <c r="E2024" s="29"/>
      <c r="F2024" s="30"/>
      <c r="G2024" s="30"/>
      <c r="H2024" s="30"/>
      <c r="I2024" s="30"/>
      <c r="J2024" s="30"/>
      <c r="K2024" s="30"/>
      <c r="L2024" s="29"/>
      <c r="M2024" s="29"/>
      <c r="N2024" s="29"/>
      <c r="O2024" s="29"/>
      <c r="P2024" s="29"/>
      <c r="Q2024" s="29"/>
      <c r="R2024" s="29"/>
      <c r="S2024" s="29"/>
      <c r="T2024" s="29"/>
      <c r="U2024" s="31"/>
      <c r="V2024" s="31"/>
      <c r="W2024" s="31"/>
      <c r="X2024" s="31"/>
      <c r="Y2024" s="31"/>
    </row>
    <row r="2025" spans="1:25" x14ac:dyDescent="0.2">
      <c r="A2025" s="29"/>
      <c r="B2025" s="29"/>
      <c r="C2025" s="29"/>
      <c r="D2025" s="29"/>
      <c r="E2025" s="29"/>
      <c r="F2025" s="30"/>
      <c r="G2025" s="30"/>
      <c r="H2025" s="30"/>
      <c r="I2025" s="30"/>
      <c r="J2025" s="30"/>
      <c r="K2025" s="30"/>
      <c r="L2025" s="29"/>
      <c r="M2025" s="29"/>
      <c r="N2025" s="29"/>
      <c r="O2025" s="29"/>
      <c r="P2025" s="29"/>
      <c r="Q2025" s="29"/>
      <c r="R2025" s="29"/>
      <c r="S2025" s="29"/>
      <c r="T2025" s="29"/>
      <c r="U2025" s="31"/>
      <c r="V2025" s="31"/>
      <c r="W2025" s="31"/>
      <c r="X2025" s="31"/>
      <c r="Y2025" s="31"/>
    </row>
    <row r="2026" spans="1:25" x14ac:dyDescent="0.2">
      <c r="A2026" s="29"/>
      <c r="B2026" s="29"/>
      <c r="C2026" s="29"/>
      <c r="D2026" s="29"/>
      <c r="E2026" s="29"/>
      <c r="F2026" s="30"/>
      <c r="G2026" s="30"/>
      <c r="H2026" s="30"/>
      <c r="I2026" s="30"/>
      <c r="J2026" s="30"/>
      <c r="K2026" s="30"/>
      <c r="L2026" s="29"/>
      <c r="M2026" s="29"/>
      <c r="N2026" s="29"/>
      <c r="O2026" s="29"/>
      <c r="P2026" s="29"/>
      <c r="Q2026" s="29"/>
      <c r="R2026" s="29"/>
      <c r="S2026" s="29"/>
      <c r="T2026" s="29"/>
      <c r="U2026" s="31"/>
      <c r="V2026" s="31"/>
      <c r="W2026" s="31"/>
      <c r="X2026" s="31"/>
      <c r="Y2026" s="31"/>
    </row>
    <row r="2027" spans="1:25" x14ac:dyDescent="0.2">
      <c r="A2027" s="29"/>
      <c r="B2027" s="29"/>
      <c r="C2027" s="29"/>
      <c r="D2027" s="29"/>
      <c r="E2027" s="29"/>
      <c r="F2027" s="30"/>
      <c r="G2027" s="30"/>
      <c r="H2027" s="30"/>
      <c r="I2027" s="30"/>
      <c r="J2027" s="30"/>
      <c r="K2027" s="30"/>
      <c r="L2027" s="29"/>
      <c r="M2027" s="29"/>
      <c r="N2027" s="29"/>
      <c r="O2027" s="29"/>
      <c r="P2027" s="29"/>
      <c r="Q2027" s="29"/>
      <c r="R2027" s="29"/>
      <c r="S2027" s="29"/>
      <c r="T2027" s="29"/>
      <c r="U2027" s="31"/>
      <c r="V2027" s="31"/>
      <c r="W2027" s="31"/>
      <c r="X2027" s="31"/>
      <c r="Y2027" s="31"/>
    </row>
    <row r="2028" spans="1:25" x14ac:dyDescent="0.2">
      <c r="A2028" s="29"/>
      <c r="B2028" s="29"/>
      <c r="C2028" s="29"/>
      <c r="D2028" s="29"/>
      <c r="E2028" s="29"/>
      <c r="F2028" s="30"/>
      <c r="G2028" s="30"/>
      <c r="H2028" s="30"/>
      <c r="I2028" s="30"/>
      <c r="J2028" s="30"/>
      <c r="K2028" s="30"/>
      <c r="L2028" s="29"/>
      <c r="M2028" s="29"/>
      <c r="N2028" s="29"/>
      <c r="O2028" s="29"/>
      <c r="P2028" s="29"/>
      <c r="Q2028" s="29"/>
      <c r="R2028" s="29"/>
      <c r="S2028" s="29"/>
      <c r="T2028" s="29"/>
      <c r="U2028" s="31"/>
      <c r="V2028" s="31"/>
      <c r="W2028" s="31"/>
      <c r="X2028" s="31"/>
      <c r="Y2028" s="31"/>
    </row>
    <row r="2029" spans="1:25" x14ac:dyDescent="0.2">
      <c r="A2029" s="29"/>
      <c r="B2029" s="29"/>
      <c r="C2029" s="29"/>
      <c r="D2029" s="29"/>
      <c r="E2029" s="29"/>
      <c r="F2029" s="30"/>
      <c r="G2029" s="30"/>
      <c r="H2029" s="30"/>
      <c r="I2029" s="30"/>
      <c r="J2029" s="30"/>
      <c r="K2029" s="30"/>
      <c r="L2029" s="29"/>
      <c r="M2029" s="29"/>
      <c r="N2029" s="29"/>
      <c r="O2029" s="29"/>
      <c r="P2029" s="29"/>
      <c r="Q2029" s="29"/>
      <c r="R2029" s="29"/>
      <c r="S2029" s="29"/>
      <c r="T2029" s="29"/>
      <c r="U2029" s="31"/>
      <c r="V2029" s="31"/>
      <c r="W2029" s="31"/>
      <c r="X2029" s="31"/>
      <c r="Y2029" s="31"/>
    </row>
    <row r="2030" spans="1:25" x14ac:dyDescent="0.2">
      <c r="A2030" s="29"/>
      <c r="B2030" s="29"/>
      <c r="C2030" s="29"/>
      <c r="D2030" s="29"/>
      <c r="E2030" s="29"/>
      <c r="F2030" s="30"/>
      <c r="G2030" s="30"/>
      <c r="H2030" s="30"/>
      <c r="I2030" s="30"/>
      <c r="J2030" s="30"/>
      <c r="K2030" s="30"/>
      <c r="L2030" s="29"/>
      <c r="M2030" s="29"/>
      <c r="N2030" s="29"/>
      <c r="O2030" s="29"/>
      <c r="P2030" s="29"/>
      <c r="Q2030" s="29"/>
      <c r="R2030" s="29"/>
      <c r="S2030" s="29"/>
      <c r="T2030" s="29"/>
      <c r="U2030" s="31"/>
      <c r="V2030" s="31"/>
      <c r="W2030" s="31"/>
      <c r="X2030" s="31"/>
      <c r="Y2030" s="31"/>
    </row>
    <row r="2031" spans="1:25" x14ac:dyDescent="0.2">
      <c r="A2031" s="29"/>
      <c r="B2031" s="29"/>
      <c r="C2031" s="29"/>
      <c r="D2031" s="29"/>
      <c r="E2031" s="29"/>
      <c r="F2031" s="30"/>
      <c r="G2031" s="30"/>
      <c r="H2031" s="30"/>
      <c r="I2031" s="30"/>
      <c r="J2031" s="30"/>
      <c r="K2031" s="30"/>
      <c r="L2031" s="29"/>
      <c r="M2031" s="29"/>
      <c r="N2031" s="29"/>
      <c r="O2031" s="29"/>
      <c r="P2031" s="29"/>
      <c r="Q2031" s="29"/>
      <c r="R2031" s="29"/>
      <c r="S2031" s="29"/>
      <c r="T2031" s="29"/>
      <c r="U2031" s="31"/>
      <c r="V2031" s="31"/>
      <c r="W2031" s="31"/>
      <c r="X2031" s="31"/>
      <c r="Y2031" s="31"/>
    </row>
    <row r="2032" spans="1:25" x14ac:dyDescent="0.2">
      <c r="A2032" s="29"/>
      <c r="B2032" s="29"/>
      <c r="C2032" s="29"/>
      <c r="D2032" s="29"/>
      <c r="E2032" s="29"/>
      <c r="F2032" s="30"/>
      <c r="G2032" s="30"/>
      <c r="H2032" s="30"/>
      <c r="I2032" s="30"/>
      <c r="J2032" s="30"/>
      <c r="K2032" s="30"/>
      <c r="L2032" s="29"/>
      <c r="M2032" s="29"/>
      <c r="N2032" s="29"/>
      <c r="O2032" s="29"/>
      <c r="P2032" s="29"/>
      <c r="Q2032" s="29"/>
      <c r="R2032" s="29"/>
      <c r="S2032" s="29"/>
      <c r="T2032" s="29"/>
      <c r="U2032" s="31"/>
      <c r="V2032" s="31"/>
      <c r="W2032" s="31"/>
      <c r="X2032" s="31"/>
      <c r="Y2032" s="31"/>
    </row>
    <row r="2033" spans="1:25" x14ac:dyDescent="0.2">
      <c r="A2033" s="29"/>
      <c r="B2033" s="29"/>
      <c r="C2033" s="29"/>
      <c r="D2033" s="29"/>
      <c r="E2033" s="29"/>
      <c r="F2033" s="30"/>
      <c r="G2033" s="30"/>
      <c r="H2033" s="30"/>
      <c r="I2033" s="30"/>
      <c r="J2033" s="30"/>
      <c r="K2033" s="30"/>
      <c r="L2033" s="29"/>
      <c r="M2033" s="29"/>
      <c r="N2033" s="29"/>
      <c r="O2033" s="29"/>
      <c r="P2033" s="29"/>
      <c r="Q2033" s="29"/>
      <c r="R2033" s="29"/>
      <c r="S2033" s="29"/>
      <c r="T2033" s="29"/>
      <c r="U2033" s="31"/>
      <c r="V2033" s="31"/>
      <c r="W2033" s="31"/>
      <c r="X2033" s="31"/>
      <c r="Y2033" s="31"/>
    </row>
    <row r="2034" spans="1:25" x14ac:dyDescent="0.2">
      <c r="A2034" s="29"/>
      <c r="B2034" s="29"/>
      <c r="C2034" s="29"/>
      <c r="D2034" s="29"/>
      <c r="E2034" s="29"/>
      <c r="F2034" s="30"/>
      <c r="G2034" s="30"/>
      <c r="H2034" s="30"/>
      <c r="I2034" s="30"/>
      <c r="J2034" s="30"/>
      <c r="K2034" s="30"/>
      <c r="L2034" s="29"/>
      <c r="M2034" s="29"/>
      <c r="N2034" s="29"/>
      <c r="O2034" s="29"/>
      <c r="P2034" s="29"/>
      <c r="Q2034" s="29"/>
      <c r="R2034" s="29"/>
      <c r="S2034" s="29"/>
      <c r="T2034" s="29"/>
      <c r="U2034" s="31"/>
      <c r="V2034" s="31"/>
      <c r="W2034" s="31"/>
      <c r="X2034" s="31"/>
      <c r="Y2034" s="31"/>
    </row>
    <row r="2035" spans="1:25" x14ac:dyDescent="0.2">
      <c r="A2035" s="29"/>
      <c r="B2035" s="29"/>
      <c r="C2035" s="29"/>
      <c r="D2035" s="29"/>
      <c r="E2035" s="29"/>
      <c r="F2035" s="30"/>
      <c r="G2035" s="30"/>
      <c r="H2035" s="30"/>
      <c r="I2035" s="30"/>
      <c r="J2035" s="30"/>
      <c r="K2035" s="30"/>
      <c r="L2035" s="29"/>
      <c r="M2035" s="29"/>
      <c r="N2035" s="29"/>
      <c r="O2035" s="29"/>
      <c r="P2035" s="29"/>
      <c r="Q2035" s="29"/>
      <c r="R2035" s="29"/>
      <c r="S2035" s="29"/>
      <c r="T2035" s="29"/>
      <c r="U2035" s="31"/>
      <c r="V2035" s="31"/>
      <c r="W2035" s="31"/>
      <c r="X2035" s="31"/>
      <c r="Y2035" s="31"/>
    </row>
    <row r="2036" spans="1:25" x14ac:dyDescent="0.2">
      <c r="A2036" s="29"/>
      <c r="B2036" s="29"/>
      <c r="C2036" s="29"/>
      <c r="D2036" s="29"/>
      <c r="E2036" s="29"/>
      <c r="F2036" s="30"/>
      <c r="G2036" s="30"/>
      <c r="H2036" s="30"/>
      <c r="I2036" s="30"/>
      <c r="J2036" s="30"/>
      <c r="K2036" s="30"/>
      <c r="L2036" s="29"/>
      <c r="M2036" s="29"/>
      <c r="N2036" s="29"/>
      <c r="O2036" s="29"/>
      <c r="P2036" s="29"/>
      <c r="Q2036" s="29"/>
      <c r="R2036" s="29"/>
      <c r="S2036" s="29"/>
      <c r="T2036" s="29"/>
      <c r="U2036" s="31"/>
      <c r="V2036" s="31"/>
      <c r="W2036" s="31"/>
      <c r="X2036" s="31"/>
      <c r="Y2036" s="31"/>
    </row>
    <row r="2037" spans="1:25" x14ac:dyDescent="0.2">
      <c r="A2037" s="29"/>
      <c r="B2037" s="29"/>
      <c r="C2037" s="29"/>
      <c r="D2037" s="29"/>
      <c r="E2037" s="29"/>
      <c r="F2037" s="30"/>
      <c r="G2037" s="30"/>
      <c r="H2037" s="30"/>
      <c r="I2037" s="30"/>
      <c r="J2037" s="30"/>
      <c r="K2037" s="30"/>
      <c r="L2037" s="29"/>
      <c r="M2037" s="29"/>
      <c r="N2037" s="29"/>
      <c r="O2037" s="29"/>
      <c r="P2037" s="29"/>
      <c r="Q2037" s="29"/>
      <c r="R2037" s="29"/>
      <c r="S2037" s="29"/>
      <c r="T2037" s="29"/>
      <c r="U2037" s="31"/>
      <c r="V2037" s="31"/>
      <c r="W2037" s="31"/>
      <c r="X2037" s="31"/>
      <c r="Y2037" s="31"/>
    </row>
    <row r="2038" spans="1:25" x14ac:dyDescent="0.2">
      <c r="A2038" s="29"/>
      <c r="B2038" s="29"/>
      <c r="C2038" s="29"/>
      <c r="D2038" s="29"/>
      <c r="E2038" s="29"/>
      <c r="F2038" s="30"/>
      <c r="G2038" s="30"/>
      <c r="H2038" s="30"/>
      <c r="I2038" s="30"/>
      <c r="J2038" s="30"/>
      <c r="K2038" s="30"/>
      <c r="L2038" s="29"/>
      <c r="M2038" s="29"/>
      <c r="N2038" s="29"/>
      <c r="O2038" s="29"/>
      <c r="P2038" s="29"/>
      <c r="Q2038" s="29"/>
      <c r="R2038" s="29"/>
      <c r="S2038" s="29"/>
      <c r="T2038" s="29"/>
      <c r="U2038" s="31"/>
      <c r="V2038" s="31"/>
      <c r="W2038" s="31"/>
      <c r="X2038" s="31"/>
      <c r="Y2038" s="31"/>
    </row>
    <row r="2039" spans="1:25" x14ac:dyDescent="0.2">
      <c r="A2039" s="29"/>
      <c r="B2039" s="29"/>
      <c r="C2039" s="29"/>
      <c r="D2039" s="29"/>
      <c r="E2039" s="29"/>
      <c r="F2039" s="30"/>
      <c r="G2039" s="30"/>
      <c r="H2039" s="30"/>
      <c r="I2039" s="30"/>
      <c r="J2039" s="30"/>
      <c r="K2039" s="30"/>
      <c r="L2039" s="29"/>
      <c r="M2039" s="29"/>
      <c r="N2039" s="29"/>
      <c r="O2039" s="29"/>
      <c r="P2039" s="29"/>
      <c r="Q2039" s="29"/>
      <c r="R2039" s="29"/>
      <c r="S2039" s="29"/>
      <c r="T2039" s="29"/>
      <c r="U2039" s="31"/>
      <c r="V2039" s="31"/>
      <c r="W2039" s="31"/>
      <c r="X2039" s="31"/>
      <c r="Y2039" s="31"/>
    </row>
    <row r="2040" spans="1:25" x14ac:dyDescent="0.2">
      <c r="A2040" s="29"/>
      <c r="B2040" s="29"/>
      <c r="C2040" s="29"/>
      <c r="D2040" s="29"/>
      <c r="E2040" s="29"/>
      <c r="F2040" s="30"/>
      <c r="G2040" s="30"/>
      <c r="H2040" s="30"/>
      <c r="I2040" s="30"/>
      <c r="J2040" s="30"/>
      <c r="K2040" s="30"/>
      <c r="L2040" s="29"/>
      <c r="M2040" s="29"/>
      <c r="N2040" s="29"/>
      <c r="O2040" s="29"/>
      <c r="P2040" s="29"/>
      <c r="Q2040" s="29"/>
      <c r="R2040" s="29"/>
      <c r="S2040" s="29"/>
      <c r="T2040" s="29"/>
      <c r="U2040" s="31"/>
      <c r="V2040" s="31"/>
      <c r="W2040" s="31"/>
      <c r="X2040" s="31"/>
      <c r="Y2040" s="31"/>
    </row>
    <row r="2041" spans="1:25" x14ac:dyDescent="0.2">
      <c r="A2041" s="29"/>
      <c r="B2041" s="29"/>
      <c r="C2041" s="29"/>
      <c r="D2041" s="29"/>
      <c r="E2041" s="29"/>
      <c r="F2041" s="30"/>
      <c r="G2041" s="30"/>
      <c r="H2041" s="30"/>
      <c r="I2041" s="30"/>
      <c r="J2041" s="30"/>
      <c r="K2041" s="30"/>
      <c r="L2041" s="29"/>
      <c r="M2041" s="29"/>
      <c r="N2041" s="29"/>
      <c r="O2041" s="29"/>
      <c r="P2041" s="29"/>
      <c r="Q2041" s="29"/>
      <c r="R2041" s="29"/>
      <c r="S2041" s="29"/>
      <c r="T2041" s="29"/>
      <c r="U2041" s="31"/>
      <c r="V2041" s="31"/>
      <c r="W2041" s="31"/>
      <c r="X2041" s="31"/>
      <c r="Y2041" s="31"/>
    </row>
    <row r="2042" spans="1:25" x14ac:dyDescent="0.2">
      <c r="A2042" s="29"/>
      <c r="B2042" s="29"/>
      <c r="C2042" s="29"/>
      <c r="D2042" s="29"/>
      <c r="E2042" s="29"/>
      <c r="F2042" s="30"/>
      <c r="G2042" s="30"/>
      <c r="H2042" s="30"/>
      <c r="I2042" s="30"/>
      <c r="J2042" s="30"/>
      <c r="K2042" s="30"/>
      <c r="L2042" s="29"/>
      <c r="M2042" s="29"/>
      <c r="N2042" s="29"/>
      <c r="O2042" s="29"/>
      <c r="P2042" s="29"/>
      <c r="Q2042" s="29"/>
      <c r="R2042" s="29"/>
      <c r="S2042" s="29"/>
      <c r="T2042" s="29"/>
      <c r="U2042" s="31"/>
      <c r="V2042" s="31"/>
      <c r="W2042" s="31"/>
      <c r="X2042" s="31"/>
      <c r="Y2042" s="31"/>
    </row>
    <row r="2043" spans="1:25" x14ac:dyDescent="0.2">
      <c r="A2043" s="29"/>
      <c r="B2043" s="29"/>
      <c r="C2043" s="29"/>
      <c r="D2043" s="29"/>
      <c r="E2043" s="29"/>
      <c r="F2043" s="30"/>
      <c r="G2043" s="30"/>
      <c r="H2043" s="30"/>
      <c r="I2043" s="30"/>
      <c r="J2043" s="30"/>
      <c r="K2043" s="30"/>
      <c r="L2043" s="29"/>
      <c r="M2043" s="29"/>
      <c r="N2043" s="29"/>
      <c r="O2043" s="29"/>
      <c r="P2043" s="29"/>
      <c r="Q2043" s="29"/>
      <c r="R2043" s="29"/>
      <c r="S2043" s="29"/>
      <c r="T2043" s="29"/>
      <c r="U2043" s="31"/>
      <c r="V2043" s="31"/>
      <c r="W2043" s="31"/>
      <c r="X2043" s="31"/>
      <c r="Y2043" s="31"/>
    </row>
    <row r="2044" spans="1:25" x14ac:dyDescent="0.2">
      <c r="A2044" s="29"/>
      <c r="B2044" s="29"/>
      <c r="C2044" s="29"/>
      <c r="D2044" s="29"/>
      <c r="E2044" s="29"/>
      <c r="F2044" s="30"/>
      <c r="G2044" s="30"/>
      <c r="H2044" s="30"/>
      <c r="I2044" s="30"/>
      <c r="J2044" s="30"/>
      <c r="K2044" s="30"/>
      <c r="L2044" s="29"/>
      <c r="M2044" s="29"/>
      <c r="N2044" s="29"/>
      <c r="O2044" s="29"/>
      <c r="P2044" s="29"/>
      <c r="Q2044" s="29"/>
      <c r="R2044" s="29"/>
      <c r="S2044" s="29"/>
      <c r="T2044" s="29"/>
      <c r="U2044" s="31"/>
      <c r="V2044" s="31"/>
      <c r="W2044" s="31"/>
      <c r="X2044" s="31"/>
      <c r="Y2044" s="31"/>
    </row>
    <row r="2045" spans="1:25" x14ac:dyDescent="0.2">
      <c r="A2045" s="29"/>
      <c r="B2045" s="29"/>
      <c r="C2045" s="29"/>
      <c r="D2045" s="29"/>
      <c r="E2045" s="29"/>
      <c r="F2045" s="30"/>
      <c r="G2045" s="30"/>
      <c r="H2045" s="30"/>
      <c r="I2045" s="30"/>
      <c r="J2045" s="30"/>
      <c r="K2045" s="30"/>
      <c r="L2045" s="29"/>
      <c r="M2045" s="29"/>
      <c r="N2045" s="29"/>
      <c r="O2045" s="29"/>
      <c r="P2045" s="29"/>
      <c r="Q2045" s="29"/>
      <c r="R2045" s="29"/>
      <c r="S2045" s="29"/>
      <c r="T2045" s="29"/>
      <c r="U2045" s="31"/>
      <c r="V2045" s="31"/>
      <c r="W2045" s="31"/>
      <c r="X2045" s="31"/>
      <c r="Y2045" s="31"/>
    </row>
    <row r="2046" spans="1:25" x14ac:dyDescent="0.2">
      <c r="A2046" s="29"/>
      <c r="B2046" s="29"/>
      <c r="C2046" s="29"/>
      <c r="D2046" s="29"/>
      <c r="E2046" s="29"/>
      <c r="F2046" s="30"/>
      <c r="G2046" s="30"/>
      <c r="H2046" s="30"/>
      <c r="I2046" s="30"/>
      <c r="J2046" s="30"/>
      <c r="K2046" s="30"/>
      <c r="L2046" s="29"/>
      <c r="M2046" s="29"/>
      <c r="N2046" s="29"/>
      <c r="O2046" s="29"/>
      <c r="P2046" s="29"/>
      <c r="Q2046" s="29"/>
      <c r="R2046" s="29"/>
      <c r="S2046" s="29"/>
      <c r="T2046" s="29"/>
      <c r="U2046" s="31"/>
      <c r="V2046" s="31"/>
      <c r="W2046" s="31"/>
      <c r="X2046" s="31"/>
      <c r="Y2046" s="31"/>
    </row>
    <row r="2047" spans="1:25" x14ac:dyDescent="0.2">
      <c r="A2047" s="29"/>
      <c r="B2047" s="29"/>
      <c r="C2047" s="29"/>
      <c r="D2047" s="29"/>
      <c r="E2047" s="29"/>
      <c r="F2047" s="30"/>
      <c r="G2047" s="30"/>
      <c r="H2047" s="30"/>
      <c r="I2047" s="30"/>
      <c r="J2047" s="30"/>
      <c r="K2047" s="30"/>
      <c r="L2047" s="29"/>
      <c r="M2047" s="29"/>
      <c r="N2047" s="29"/>
      <c r="O2047" s="29"/>
      <c r="P2047" s="29"/>
      <c r="Q2047" s="29"/>
      <c r="R2047" s="29"/>
      <c r="S2047" s="29"/>
      <c r="T2047" s="29"/>
      <c r="U2047" s="31"/>
      <c r="V2047" s="31"/>
      <c r="W2047" s="31"/>
      <c r="X2047" s="31"/>
      <c r="Y2047" s="31"/>
    </row>
    <row r="2048" spans="1:25" x14ac:dyDescent="0.2">
      <c r="A2048" s="29"/>
      <c r="B2048" s="29"/>
      <c r="C2048" s="29"/>
      <c r="D2048" s="29"/>
      <c r="E2048" s="29"/>
      <c r="F2048" s="30"/>
      <c r="G2048" s="30"/>
      <c r="H2048" s="30"/>
      <c r="I2048" s="30"/>
      <c r="J2048" s="30"/>
      <c r="K2048" s="30"/>
      <c r="L2048" s="29"/>
      <c r="M2048" s="29"/>
      <c r="N2048" s="29"/>
      <c r="O2048" s="29"/>
      <c r="P2048" s="29"/>
      <c r="Q2048" s="29"/>
      <c r="R2048" s="29"/>
      <c r="S2048" s="29"/>
      <c r="T2048" s="29"/>
      <c r="U2048" s="31"/>
      <c r="V2048" s="31"/>
      <c r="W2048" s="31"/>
      <c r="X2048" s="31"/>
      <c r="Y2048" s="31"/>
    </row>
    <row r="2049" spans="1:25" x14ac:dyDescent="0.2">
      <c r="A2049" s="29"/>
      <c r="B2049" s="29"/>
      <c r="C2049" s="29"/>
      <c r="D2049" s="29"/>
      <c r="E2049" s="29"/>
      <c r="F2049" s="30"/>
      <c r="G2049" s="30"/>
      <c r="H2049" s="30"/>
      <c r="I2049" s="30"/>
      <c r="J2049" s="30"/>
      <c r="K2049" s="30"/>
      <c r="L2049" s="29"/>
      <c r="M2049" s="29"/>
      <c r="N2049" s="29"/>
      <c r="O2049" s="29"/>
      <c r="P2049" s="29"/>
      <c r="Q2049" s="29"/>
      <c r="R2049" s="29"/>
      <c r="S2049" s="29"/>
      <c r="T2049" s="29"/>
      <c r="U2049" s="31"/>
      <c r="V2049" s="31"/>
      <c r="W2049" s="31"/>
      <c r="X2049" s="31"/>
      <c r="Y2049" s="31"/>
    </row>
    <row r="2050" spans="1:25" x14ac:dyDescent="0.2">
      <c r="A2050" s="29"/>
      <c r="B2050" s="29"/>
      <c r="C2050" s="29"/>
      <c r="D2050" s="29"/>
      <c r="E2050" s="29"/>
      <c r="F2050" s="30"/>
      <c r="G2050" s="30"/>
      <c r="H2050" s="30"/>
      <c r="I2050" s="30"/>
      <c r="J2050" s="30"/>
      <c r="K2050" s="30"/>
      <c r="L2050" s="29"/>
      <c r="M2050" s="29"/>
      <c r="N2050" s="29"/>
      <c r="O2050" s="29"/>
      <c r="P2050" s="29"/>
      <c r="Q2050" s="29"/>
      <c r="R2050" s="29"/>
      <c r="S2050" s="29"/>
      <c r="T2050" s="29"/>
      <c r="U2050" s="31"/>
      <c r="V2050" s="31"/>
      <c r="W2050" s="31"/>
      <c r="X2050" s="31"/>
      <c r="Y2050" s="31"/>
    </row>
    <row r="2051" spans="1:25" x14ac:dyDescent="0.2">
      <c r="A2051" s="29"/>
      <c r="B2051" s="29"/>
      <c r="C2051" s="29"/>
      <c r="D2051" s="29"/>
      <c r="E2051" s="29"/>
      <c r="F2051" s="30"/>
      <c r="G2051" s="30"/>
      <c r="H2051" s="30"/>
      <c r="I2051" s="30"/>
      <c r="J2051" s="30"/>
      <c r="K2051" s="30"/>
      <c r="L2051" s="29"/>
      <c r="M2051" s="29"/>
      <c r="N2051" s="29"/>
      <c r="O2051" s="29"/>
      <c r="P2051" s="29"/>
      <c r="Q2051" s="29"/>
      <c r="R2051" s="29"/>
      <c r="S2051" s="29"/>
      <c r="T2051" s="29"/>
      <c r="U2051" s="31"/>
      <c r="V2051" s="31"/>
      <c r="W2051" s="31"/>
      <c r="X2051" s="31"/>
      <c r="Y2051" s="31"/>
    </row>
    <row r="2052" spans="1:25" x14ac:dyDescent="0.2">
      <c r="A2052" s="29"/>
      <c r="B2052" s="29"/>
      <c r="C2052" s="29"/>
      <c r="D2052" s="29"/>
      <c r="E2052" s="29"/>
      <c r="F2052" s="30"/>
      <c r="G2052" s="30"/>
      <c r="H2052" s="30"/>
      <c r="I2052" s="30"/>
      <c r="J2052" s="30"/>
      <c r="K2052" s="30"/>
      <c r="L2052" s="29"/>
      <c r="M2052" s="29"/>
      <c r="N2052" s="29"/>
      <c r="O2052" s="29"/>
      <c r="P2052" s="29"/>
      <c r="Q2052" s="29"/>
      <c r="R2052" s="29"/>
      <c r="S2052" s="29"/>
      <c r="T2052" s="29"/>
      <c r="U2052" s="31"/>
      <c r="V2052" s="31"/>
      <c r="W2052" s="31"/>
      <c r="X2052" s="31"/>
      <c r="Y2052" s="31"/>
    </row>
    <row r="2053" spans="1:25" x14ac:dyDescent="0.2">
      <c r="A2053" s="29"/>
      <c r="B2053" s="29"/>
      <c r="C2053" s="29"/>
      <c r="D2053" s="29"/>
      <c r="E2053" s="29"/>
      <c r="F2053" s="30"/>
      <c r="G2053" s="30"/>
      <c r="H2053" s="30"/>
      <c r="I2053" s="30"/>
      <c r="J2053" s="30"/>
      <c r="K2053" s="30"/>
      <c r="L2053" s="29"/>
      <c r="M2053" s="29"/>
      <c r="N2053" s="29"/>
      <c r="O2053" s="29"/>
      <c r="P2053" s="29"/>
      <c r="Q2053" s="29"/>
      <c r="R2053" s="29"/>
      <c r="S2053" s="29"/>
      <c r="T2053" s="29"/>
      <c r="U2053" s="31"/>
      <c r="V2053" s="31"/>
      <c r="W2053" s="31"/>
      <c r="X2053" s="31"/>
      <c r="Y2053" s="31"/>
    </row>
    <row r="2054" spans="1:25" x14ac:dyDescent="0.2">
      <c r="A2054" s="29"/>
      <c r="B2054" s="29"/>
      <c r="C2054" s="29"/>
      <c r="D2054" s="29"/>
      <c r="E2054" s="29"/>
      <c r="F2054" s="30"/>
      <c r="G2054" s="30"/>
      <c r="H2054" s="30"/>
      <c r="I2054" s="30"/>
      <c r="J2054" s="30"/>
      <c r="K2054" s="30"/>
      <c r="L2054" s="29"/>
      <c r="M2054" s="29"/>
      <c r="N2054" s="29"/>
      <c r="O2054" s="29"/>
      <c r="P2054" s="29"/>
      <c r="Q2054" s="29"/>
      <c r="R2054" s="29"/>
      <c r="S2054" s="29"/>
      <c r="T2054" s="29"/>
      <c r="U2054" s="31"/>
      <c r="V2054" s="31"/>
      <c r="W2054" s="31"/>
      <c r="X2054" s="31"/>
      <c r="Y2054" s="31"/>
    </row>
    <row r="2055" spans="1:25" x14ac:dyDescent="0.2">
      <c r="A2055" s="29"/>
      <c r="B2055" s="29"/>
      <c r="C2055" s="29"/>
      <c r="D2055" s="29"/>
      <c r="E2055" s="29"/>
      <c r="F2055" s="30"/>
      <c r="G2055" s="30"/>
      <c r="H2055" s="30"/>
      <c r="I2055" s="30"/>
      <c r="J2055" s="30"/>
      <c r="K2055" s="30"/>
      <c r="L2055" s="29"/>
      <c r="M2055" s="29"/>
      <c r="N2055" s="29"/>
      <c r="O2055" s="29"/>
      <c r="P2055" s="29"/>
      <c r="Q2055" s="29"/>
      <c r="R2055" s="29"/>
      <c r="S2055" s="29"/>
      <c r="T2055" s="29"/>
      <c r="U2055" s="31"/>
      <c r="V2055" s="31"/>
      <c r="W2055" s="31"/>
      <c r="X2055" s="31"/>
      <c r="Y2055" s="31"/>
    </row>
    <row r="2056" spans="1:25" x14ac:dyDescent="0.2">
      <c r="A2056" s="29"/>
      <c r="B2056" s="29"/>
      <c r="C2056" s="29"/>
      <c r="D2056" s="29"/>
      <c r="E2056" s="29"/>
      <c r="F2056" s="30"/>
      <c r="G2056" s="30"/>
      <c r="H2056" s="30"/>
      <c r="I2056" s="30"/>
      <c r="J2056" s="30"/>
      <c r="K2056" s="30"/>
      <c r="L2056" s="29"/>
      <c r="M2056" s="29"/>
      <c r="N2056" s="29"/>
      <c r="O2056" s="29"/>
      <c r="P2056" s="29"/>
      <c r="Q2056" s="29"/>
      <c r="R2056" s="29"/>
      <c r="S2056" s="29"/>
      <c r="T2056" s="29"/>
      <c r="U2056" s="31"/>
      <c r="V2056" s="31"/>
      <c r="W2056" s="31"/>
      <c r="X2056" s="31"/>
      <c r="Y2056" s="31"/>
    </row>
    <row r="2057" spans="1:25" x14ac:dyDescent="0.2">
      <c r="A2057" s="29"/>
      <c r="B2057" s="29"/>
      <c r="C2057" s="29"/>
      <c r="D2057" s="29"/>
      <c r="E2057" s="29"/>
      <c r="F2057" s="30"/>
      <c r="G2057" s="30"/>
      <c r="H2057" s="30"/>
      <c r="I2057" s="30"/>
      <c r="J2057" s="30"/>
      <c r="K2057" s="30"/>
      <c r="L2057" s="29"/>
      <c r="M2057" s="29"/>
      <c r="N2057" s="29"/>
      <c r="O2057" s="29"/>
      <c r="P2057" s="29"/>
      <c r="Q2057" s="29"/>
      <c r="R2057" s="29"/>
      <c r="S2057" s="29"/>
      <c r="T2057" s="29"/>
      <c r="U2057" s="31"/>
      <c r="V2057" s="31"/>
      <c r="W2057" s="31"/>
      <c r="X2057" s="31"/>
      <c r="Y2057" s="31"/>
    </row>
    <row r="2058" spans="1:25" x14ac:dyDescent="0.2">
      <c r="A2058" s="29"/>
      <c r="B2058" s="29"/>
      <c r="C2058" s="29"/>
      <c r="D2058" s="29"/>
      <c r="E2058" s="29"/>
      <c r="F2058" s="30"/>
      <c r="G2058" s="30"/>
      <c r="H2058" s="30"/>
      <c r="I2058" s="30"/>
      <c r="J2058" s="30"/>
      <c r="K2058" s="30"/>
      <c r="L2058" s="29"/>
      <c r="M2058" s="29"/>
      <c r="N2058" s="29"/>
      <c r="O2058" s="29"/>
      <c r="P2058" s="29"/>
      <c r="Q2058" s="29"/>
      <c r="R2058" s="29"/>
      <c r="S2058" s="29"/>
      <c r="T2058" s="29"/>
      <c r="U2058" s="31"/>
      <c r="V2058" s="31"/>
      <c r="W2058" s="31"/>
      <c r="X2058" s="31"/>
      <c r="Y2058" s="31"/>
    </row>
    <row r="2059" spans="1:25" x14ac:dyDescent="0.2">
      <c r="A2059" s="29"/>
      <c r="B2059" s="29"/>
      <c r="C2059" s="29"/>
      <c r="D2059" s="29"/>
      <c r="E2059" s="29"/>
      <c r="F2059" s="30"/>
      <c r="G2059" s="30"/>
      <c r="H2059" s="30"/>
      <c r="I2059" s="30"/>
      <c r="J2059" s="30"/>
      <c r="K2059" s="30"/>
      <c r="L2059" s="29"/>
      <c r="M2059" s="29"/>
      <c r="N2059" s="29"/>
      <c r="O2059" s="29"/>
      <c r="P2059" s="29"/>
      <c r="Q2059" s="29"/>
      <c r="R2059" s="29"/>
      <c r="S2059" s="29"/>
      <c r="T2059" s="29"/>
      <c r="U2059" s="31"/>
      <c r="V2059" s="31"/>
      <c r="W2059" s="31"/>
      <c r="X2059" s="31"/>
      <c r="Y2059" s="31"/>
    </row>
    <row r="2060" spans="1:25" x14ac:dyDescent="0.2">
      <c r="A2060" s="29"/>
      <c r="B2060" s="29"/>
      <c r="C2060" s="29"/>
      <c r="D2060" s="29"/>
      <c r="E2060" s="29"/>
      <c r="F2060" s="30"/>
      <c r="G2060" s="30"/>
      <c r="H2060" s="30"/>
      <c r="I2060" s="30"/>
      <c r="J2060" s="30"/>
      <c r="K2060" s="30"/>
      <c r="L2060" s="29"/>
      <c r="M2060" s="29"/>
      <c r="N2060" s="29"/>
      <c r="O2060" s="29"/>
      <c r="P2060" s="29"/>
      <c r="Q2060" s="29"/>
      <c r="R2060" s="29"/>
      <c r="S2060" s="29"/>
      <c r="T2060" s="29"/>
      <c r="U2060" s="31"/>
      <c r="V2060" s="31"/>
      <c r="W2060" s="31"/>
      <c r="X2060" s="31"/>
      <c r="Y2060" s="31"/>
    </row>
    <row r="2061" spans="1:25" x14ac:dyDescent="0.2">
      <c r="A2061" s="29"/>
      <c r="B2061" s="29"/>
      <c r="C2061" s="29"/>
      <c r="D2061" s="29"/>
      <c r="E2061" s="29"/>
      <c r="F2061" s="30"/>
      <c r="G2061" s="30"/>
      <c r="H2061" s="30"/>
      <c r="I2061" s="30"/>
      <c r="J2061" s="30"/>
      <c r="K2061" s="30"/>
      <c r="L2061" s="29"/>
      <c r="M2061" s="29"/>
      <c r="N2061" s="29"/>
      <c r="O2061" s="29"/>
      <c r="P2061" s="29"/>
      <c r="Q2061" s="29"/>
      <c r="R2061" s="29"/>
      <c r="S2061" s="29"/>
      <c r="T2061" s="29"/>
      <c r="U2061" s="31"/>
      <c r="V2061" s="31"/>
      <c r="W2061" s="31"/>
      <c r="X2061" s="31"/>
      <c r="Y2061" s="31"/>
    </row>
    <row r="2062" spans="1:25" x14ac:dyDescent="0.2">
      <c r="A2062" s="29"/>
      <c r="B2062" s="29"/>
      <c r="C2062" s="29"/>
      <c r="D2062" s="29"/>
      <c r="E2062" s="29"/>
      <c r="F2062" s="30"/>
      <c r="G2062" s="30"/>
      <c r="H2062" s="30"/>
      <c r="I2062" s="30"/>
      <c r="J2062" s="30"/>
      <c r="K2062" s="30"/>
      <c r="L2062" s="29"/>
      <c r="M2062" s="29"/>
      <c r="N2062" s="29"/>
      <c r="O2062" s="29"/>
      <c r="P2062" s="29"/>
      <c r="Q2062" s="29"/>
      <c r="R2062" s="29"/>
      <c r="S2062" s="29"/>
      <c r="T2062" s="29"/>
      <c r="U2062" s="31"/>
      <c r="V2062" s="31"/>
      <c r="W2062" s="31"/>
      <c r="X2062" s="31"/>
      <c r="Y2062" s="31"/>
    </row>
    <row r="2063" spans="1:25" x14ac:dyDescent="0.2">
      <c r="A2063" s="29"/>
      <c r="B2063" s="29"/>
      <c r="C2063" s="29"/>
      <c r="D2063" s="29"/>
      <c r="E2063" s="29"/>
      <c r="F2063" s="30"/>
      <c r="G2063" s="30"/>
      <c r="H2063" s="30"/>
      <c r="I2063" s="30"/>
      <c r="J2063" s="30"/>
      <c r="K2063" s="30"/>
      <c r="L2063" s="29"/>
      <c r="M2063" s="29"/>
      <c r="N2063" s="29"/>
      <c r="O2063" s="29"/>
      <c r="P2063" s="29"/>
      <c r="Q2063" s="29"/>
      <c r="R2063" s="29"/>
      <c r="S2063" s="29"/>
      <c r="T2063" s="29"/>
      <c r="U2063" s="31"/>
      <c r="V2063" s="31"/>
      <c r="W2063" s="31"/>
      <c r="X2063" s="31"/>
      <c r="Y2063" s="31"/>
    </row>
    <row r="2064" spans="1:25" x14ac:dyDescent="0.2">
      <c r="A2064" s="29"/>
      <c r="B2064" s="29"/>
      <c r="C2064" s="29"/>
      <c r="D2064" s="29"/>
      <c r="E2064" s="29"/>
      <c r="F2064" s="30"/>
      <c r="G2064" s="30"/>
      <c r="H2064" s="30"/>
      <c r="I2064" s="30"/>
      <c r="J2064" s="30"/>
      <c r="K2064" s="30"/>
      <c r="L2064" s="29"/>
      <c r="M2064" s="29"/>
      <c r="N2064" s="29"/>
      <c r="O2064" s="29"/>
      <c r="P2064" s="29"/>
      <c r="Q2064" s="29"/>
      <c r="R2064" s="29"/>
      <c r="S2064" s="29"/>
      <c r="T2064" s="29"/>
      <c r="U2064" s="31"/>
      <c r="V2064" s="31"/>
      <c r="W2064" s="31"/>
      <c r="X2064" s="31"/>
      <c r="Y2064" s="31"/>
    </row>
    <row r="2065" spans="1:25" x14ac:dyDescent="0.2">
      <c r="A2065" s="29"/>
      <c r="B2065" s="29"/>
      <c r="C2065" s="29"/>
      <c r="D2065" s="29"/>
      <c r="E2065" s="29"/>
      <c r="F2065" s="30"/>
      <c r="G2065" s="30"/>
      <c r="H2065" s="30"/>
      <c r="I2065" s="30"/>
      <c r="J2065" s="30"/>
      <c r="K2065" s="30"/>
      <c r="L2065" s="29"/>
      <c r="M2065" s="29"/>
      <c r="N2065" s="29"/>
      <c r="O2065" s="29"/>
      <c r="P2065" s="29"/>
      <c r="Q2065" s="29"/>
      <c r="R2065" s="29"/>
      <c r="S2065" s="29"/>
      <c r="T2065" s="29"/>
      <c r="U2065" s="31"/>
      <c r="V2065" s="31"/>
      <c r="W2065" s="31"/>
      <c r="X2065" s="31"/>
      <c r="Y2065" s="31"/>
    </row>
    <row r="2066" spans="1:25" x14ac:dyDescent="0.2">
      <c r="A2066" s="29"/>
      <c r="B2066" s="29"/>
      <c r="C2066" s="29"/>
      <c r="D2066" s="29"/>
      <c r="E2066" s="29"/>
      <c r="F2066" s="30"/>
      <c r="G2066" s="30"/>
      <c r="H2066" s="30"/>
      <c r="I2066" s="30"/>
      <c r="J2066" s="30"/>
      <c r="K2066" s="30"/>
      <c r="L2066" s="29"/>
      <c r="M2066" s="29"/>
      <c r="N2066" s="29"/>
      <c r="O2066" s="29"/>
      <c r="P2066" s="29"/>
      <c r="Q2066" s="29"/>
      <c r="R2066" s="29"/>
      <c r="S2066" s="29"/>
      <c r="T2066" s="29"/>
      <c r="U2066" s="31"/>
      <c r="V2066" s="31"/>
      <c r="W2066" s="31"/>
      <c r="X2066" s="31"/>
      <c r="Y2066" s="31"/>
    </row>
    <row r="2067" spans="1:25" x14ac:dyDescent="0.2">
      <c r="A2067" s="29"/>
      <c r="B2067" s="29"/>
      <c r="C2067" s="29"/>
      <c r="D2067" s="29"/>
      <c r="E2067" s="29"/>
      <c r="F2067" s="30"/>
      <c r="G2067" s="30"/>
      <c r="H2067" s="30"/>
      <c r="I2067" s="30"/>
      <c r="J2067" s="30"/>
      <c r="K2067" s="30"/>
      <c r="L2067" s="29"/>
      <c r="M2067" s="29"/>
      <c r="N2067" s="29"/>
      <c r="O2067" s="29"/>
      <c r="P2067" s="29"/>
      <c r="Q2067" s="29"/>
      <c r="R2067" s="29"/>
      <c r="S2067" s="29"/>
      <c r="T2067" s="29"/>
      <c r="U2067" s="31"/>
      <c r="V2067" s="31"/>
      <c r="W2067" s="31"/>
      <c r="X2067" s="31"/>
      <c r="Y2067" s="31"/>
    </row>
    <row r="2068" spans="1:25" x14ac:dyDescent="0.2">
      <c r="A2068" s="29"/>
      <c r="B2068" s="29"/>
      <c r="C2068" s="29"/>
      <c r="D2068" s="29"/>
      <c r="E2068" s="29"/>
      <c r="F2068" s="30"/>
      <c r="G2068" s="30"/>
      <c r="H2068" s="30"/>
      <c r="I2068" s="30"/>
      <c r="J2068" s="30"/>
      <c r="K2068" s="30"/>
      <c r="L2068" s="29"/>
      <c r="M2068" s="29"/>
      <c r="N2068" s="29"/>
      <c r="O2068" s="29"/>
      <c r="P2068" s="29"/>
      <c r="Q2068" s="29"/>
      <c r="R2068" s="29"/>
      <c r="S2068" s="29"/>
      <c r="T2068" s="29"/>
      <c r="U2068" s="31"/>
      <c r="V2068" s="31"/>
      <c r="W2068" s="31"/>
      <c r="X2068" s="31"/>
      <c r="Y2068" s="31"/>
    </row>
    <row r="2069" spans="1:25" x14ac:dyDescent="0.2">
      <c r="A2069" s="29"/>
      <c r="B2069" s="29"/>
      <c r="C2069" s="29"/>
      <c r="D2069" s="29"/>
      <c r="E2069" s="29"/>
      <c r="F2069" s="30"/>
      <c r="G2069" s="30"/>
      <c r="H2069" s="30"/>
      <c r="I2069" s="30"/>
      <c r="J2069" s="30"/>
      <c r="K2069" s="30"/>
      <c r="L2069" s="29"/>
      <c r="M2069" s="29"/>
      <c r="N2069" s="29"/>
      <c r="O2069" s="29"/>
      <c r="P2069" s="29"/>
      <c r="Q2069" s="29"/>
      <c r="R2069" s="29"/>
      <c r="S2069" s="29"/>
      <c r="T2069" s="29"/>
      <c r="U2069" s="31"/>
      <c r="V2069" s="31"/>
      <c r="W2069" s="31"/>
      <c r="X2069" s="31"/>
      <c r="Y2069" s="31"/>
    </row>
    <row r="2070" spans="1:25" x14ac:dyDescent="0.2">
      <c r="A2070" s="29"/>
      <c r="B2070" s="29"/>
      <c r="C2070" s="29"/>
      <c r="D2070" s="29"/>
      <c r="E2070" s="29"/>
      <c r="F2070" s="30"/>
      <c r="G2070" s="30"/>
      <c r="H2070" s="30"/>
      <c r="I2070" s="30"/>
      <c r="J2070" s="30"/>
      <c r="K2070" s="30"/>
      <c r="L2070" s="29"/>
      <c r="M2070" s="29"/>
      <c r="N2070" s="29"/>
      <c r="O2070" s="29"/>
      <c r="P2070" s="29"/>
      <c r="Q2070" s="29"/>
      <c r="R2070" s="29"/>
      <c r="S2070" s="29"/>
      <c r="T2070" s="29"/>
      <c r="U2070" s="31"/>
      <c r="V2070" s="31"/>
      <c r="W2070" s="31"/>
      <c r="X2070" s="31"/>
      <c r="Y2070" s="31"/>
    </row>
    <row r="2071" spans="1:25" x14ac:dyDescent="0.2">
      <c r="A2071" s="29"/>
      <c r="B2071" s="29"/>
      <c r="C2071" s="29"/>
      <c r="D2071" s="29"/>
      <c r="E2071" s="29"/>
      <c r="F2071" s="30"/>
      <c r="G2071" s="30"/>
      <c r="H2071" s="30"/>
      <c r="I2071" s="30"/>
      <c r="J2071" s="30"/>
      <c r="K2071" s="30"/>
      <c r="L2071" s="29"/>
      <c r="M2071" s="29"/>
      <c r="N2071" s="29"/>
      <c r="O2071" s="29"/>
      <c r="P2071" s="29"/>
      <c r="Q2071" s="29"/>
      <c r="R2071" s="29"/>
      <c r="S2071" s="29"/>
      <c r="T2071" s="29"/>
      <c r="U2071" s="31"/>
      <c r="V2071" s="31"/>
      <c r="W2071" s="31"/>
      <c r="X2071" s="31"/>
      <c r="Y2071" s="31"/>
    </row>
    <row r="2072" spans="1:25" x14ac:dyDescent="0.2">
      <c r="A2072" s="29"/>
      <c r="B2072" s="29"/>
      <c r="C2072" s="29"/>
      <c r="D2072" s="29"/>
      <c r="E2072" s="29"/>
      <c r="F2072" s="30"/>
      <c r="G2072" s="30"/>
      <c r="H2072" s="30"/>
      <c r="I2072" s="30"/>
      <c r="J2072" s="30"/>
      <c r="K2072" s="30"/>
      <c r="L2072" s="29"/>
      <c r="M2072" s="29"/>
      <c r="N2072" s="29"/>
      <c r="O2072" s="29"/>
      <c r="P2072" s="29"/>
      <c r="Q2072" s="29"/>
      <c r="R2072" s="29"/>
      <c r="S2072" s="29"/>
      <c r="T2072" s="29"/>
      <c r="U2072" s="31"/>
      <c r="V2072" s="31"/>
      <c r="W2072" s="31"/>
      <c r="X2072" s="31"/>
      <c r="Y2072" s="31"/>
    </row>
    <row r="2073" spans="1:25" x14ac:dyDescent="0.2">
      <c r="A2073" s="29"/>
      <c r="B2073" s="29"/>
      <c r="C2073" s="29"/>
      <c r="D2073" s="29"/>
      <c r="E2073" s="29"/>
      <c r="F2073" s="30"/>
      <c r="G2073" s="30"/>
      <c r="H2073" s="30"/>
      <c r="I2073" s="30"/>
      <c r="J2073" s="30"/>
      <c r="K2073" s="30"/>
      <c r="L2073" s="29"/>
      <c r="M2073" s="29"/>
      <c r="N2073" s="29"/>
      <c r="O2073" s="29"/>
      <c r="P2073" s="29"/>
      <c r="Q2073" s="29"/>
      <c r="R2073" s="29"/>
      <c r="S2073" s="29"/>
      <c r="T2073" s="29"/>
      <c r="U2073" s="31"/>
      <c r="V2073" s="31"/>
      <c r="W2073" s="31"/>
      <c r="X2073" s="31"/>
      <c r="Y2073" s="31"/>
    </row>
    <row r="2074" spans="1:25" x14ac:dyDescent="0.2">
      <c r="A2074" s="29"/>
      <c r="B2074" s="29"/>
      <c r="C2074" s="29"/>
      <c r="D2074" s="29"/>
      <c r="E2074" s="29"/>
      <c r="F2074" s="30"/>
      <c r="G2074" s="30"/>
      <c r="H2074" s="30"/>
      <c r="I2074" s="30"/>
      <c r="J2074" s="30"/>
      <c r="K2074" s="30"/>
      <c r="L2074" s="29"/>
      <c r="M2074" s="29"/>
      <c r="N2074" s="29"/>
      <c r="O2074" s="29"/>
      <c r="P2074" s="29"/>
      <c r="Q2074" s="29"/>
      <c r="R2074" s="29"/>
      <c r="S2074" s="29"/>
      <c r="T2074" s="29"/>
      <c r="U2074" s="31"/>
      <c r="V2074" s="31"/>
      <c r="W2074" s="31"/>
      <c r="X2074" s="31"/>
      <c r="Y2074" s="31"/>
    </row>
    <row r="2075" spans="1:25" x14ac:dyDescent="0.2">
      <c r="A2075" s="29"/>
      <c r="B2075" s="29"/>
      <c r="C2075" s="29"/>
      <c r="D2075" s="29"/>
      <c r="E2075" s="29"/>
      <c r="F2075" s="30"/>
      <c r="G2075" s="30"/>
      <c r="H2075" s="30"/>
      <c r="I2075" s="30"/>
      <c r="J2075" s="30"/>
      <c r="K2075" s="30"/>
      <c r="L2075" s="29"/>
      <c r="M2075" s="29"/>
      <c r="N2075" s="29"/>
      <c r="O2075" s="29"/>
      <c r="P2075" s="29"/>
      <c r="Q2075" s="29"/>
      <c r="R2075" s="29"/>
      <c r="S2075" s="29"/>
      <c r="T2075" s="29"/>
      <c r="U2075" s="31"/>
      <c r="V2075" s="31"/>
      <c r="W2075" s="31"/>
      <c r="X2075" s="31"/>
      <c r="Y2075" s="31"/>
    </row>
    <row r="2076" spans="1:25" x14ac:dyDescent="0.2">
      <c r="A2076" s="29"/>
      <c r="B2076" s="29"/>
      <c r="C2076" s="29"/>
      <c r="D2076" s="29"/>
      <c r="E2076" s="29"/>
      <c r="F2076" s="30"/>
      <c r="G2076" s="30"/>
      <c r="H2076" s="30"/>
      <c r="I2076" s="30"/>
      <c r="J2076" s="30"/>
      <c r="K2076" s="30"/>
      <c r="L2076" s="29"/>
      <c r="M2076" s="29"/>
      <c r="N2076" s="29"/>
      <c r="O2076" s="29"/>
      <c r="P2076" s="29"/>
      <c r="Q2076" s="29"/>
      <c r="R2076" s="29"/>
      <c r="S2076" s="29"/>
      <c r="T2076" s="29"/>
      <c r="U2076" s="31"/>
      <c r="V2076" s="31"/>
      <c r="W2076" s="31"/>
      <c r="X2076" s="31"/>
      <c r="Y2076" s="31"/>
    </row>
    <row r="2077" spans="1:25" x14ac:dyDescent="0.2">
      <c r="A2077" s="29"/>
      <c r="B2077" s="29"/>
      <c r="C2077" s="29"/>
      <c r="D2077" s="29"/>
      <c r="E2077" s="29"/>
      <c r="F2077" s="30"/>
      <c r="G2077" s="30"/>
      <c r="H2077" s="30"/>
      <c r="I2077" s="30"/>
      <c r="J2077" s="30"/>
      <c r="K2077" s="30"/>
      <c r="L2077" s="29"/>
      <c r="M2077" s="29"/>
      <c r="N2077" s="29"/>
      <c r="O2077" s="29"/>
      <c r="P2077" s="29"/>
      <c r="Q2077" s="29"/>
      <c r="R2077" s="29"/>
      <c r="S2077" s="29"/>
      <c r="T2077" s="29"/>
      <c r="U2077" s="31"/>
      <c r="V2077" s="31"/>
      <c r="W2077" s="31"/>
      <c r="X2077" s="31"/>
      <c r="Y2077" s="31"/>
    </row>
    <row r="2078" spans="1:25" x14ac:dyDescent="0.2">
      <c r="A2078" s="29"/>
      <c r="B2078" s="29"/>
      <c r="C2078" s="29"/>
      <c r="D2078" s="29"/>
      <c r="E2078" s="29"/>
      <c r="F2078" s="30"/>
      <c r="G2078" s="30"/>
      <c r="H2078" s="30"/>
      <c r="I2078" s="30"/>
      <c r="J2078" s="30"/>
      <c r="K2078" s="30"/>
      <c r="L2078" s="29"/>
      <c r="M2078" s="29"/>
      <c r="N2078" s="29"/>
      <c r="O2078" s="29"/>
      <c r="P2078" s="29"/>
      <c r="Q2078" s="29"/>
      <c r="R2078" s="29"/>
      <c r="S2078" s="29"/>
      <c r="T2078" s="29"/>
      <c r="U2078" s="31"/>
      <c r="V2078" s="31"/>
      <c r="W2078" s="31"/>
      <c r="X2078" s="31"/>
      <c r="Y2078" s="31"/>
    </row>
    <row r="2079" spans="1:25" x14ac:dyDescent="0.2">
      <c r="A2079" s="29"/>
      <c r="B2079" s="29"/>
      <c r="C2079" s="29"/>
      <c r="D2079" s="29"/>
      <c r="E2079" s="29"/>
      <c r="F2079" s="30"/>
      <c r="G2079" s="30"/>
      <c r="H2079" s="30"/>
      <c r="I2079" s="30"/>
      <c r="J2079" s="30"/>
      <c r="K2079" s="30"/>
      <c r="L2079" s="29"/>
      <c r="M2079" s="29"/>
      <c r="N2079" s="29"/>
      <c r="O2079" s="29"/>
      <c r="P2079" s="29"/>
      <c r="Q2079" s="29"/>
      <c r="R2079" s="29"/>
      <c r="S2079" s="29"/>
      <c r="T2079" s="29"/>
      <c r="U2079" s="31"/>
      <c r="V2079" s="31"/>
      <c r="W2079" s="31"/>
      <c r="X2079" s="31"/>
      <c r="Y2079" s="31"/>
    </row>
    <row r="2080" spans="1:25" x14ac:dyDescent="0.2">
      <c r="A2080" s="29"/>
      <c r="B2080" s="29"/>
      <c r="C2080" s="29"/>
      <c r="D2080" s="29"/>
      <c r="E2080" s="29"/>
      <c r="F2080" s="30"/>
      <c r="G2080" s="30"/>
      <c r="H2080" s="30"/>
      <c r="I2080" s="30"/>
      <c r="J2080" s="30"/>
      <c r="K2080" s="30"/>
      <c r="L2080" s="29"/>
      <c r="M2080" s="29"/>
      <c r="N2080" s="29"/>
      <c r="O2080" s="29"/>
      <c r="P2080" s="29"/>
      <c r="Q2080" s="29"/>
      <c r="R2080" s="29"/>
      <c r="S2080" s="29"/>
      <c r="T2080" s="29"/>
      <c r="U2080" s="31"/>
      <c r="V2080" s="31"/>
      <c r="W2080" s="31"/>
      <c r="X2080" s="31"/>
      <c r="Y2080" s="31"/>
    </row>
    <row r="2081" spans="1:25" x14ac:dyDescent="0.2">
      <c r="A2081" s="29"/>
      <c r="B2081" s="29"/>
      <c r="C2081" s="29"/>
      <c r="D2081" s="29"/>
      <c r="E2081" s="29"/>
      <c r="F2081" s="30"/>
      <c r="G2081" s="30"/>
      <c r="H2081" s="30"/>
      <c r="I2081" s="30"/>
      <c r="J2081" s="30"/>
      <c r="K2081" s="30"/>
      <c r="L2081" s="29"/>
      <c r="M2081" s="29"/>
      <c r="N2081" s="29"/>
      <c r="O2081" s="29"/>
      <c r="P2081" s="29"/>
      <c r="Q2081" s="29"/>
      <c r="R2081" s="29"/>
      <c r="S2081" s="29"/>
      <c r="T2081" s="29"/>
      <c r="U2081" s="31"/>
      <c r="V2081" s="31"/>
      <c r="W2081" s="31"/>
      <c r="X2081" s="31"/>
      <c r="Y2081" s="31"/>
    </row>
    <row r="2082" spans="1:25" x14ac:dyDescent="0.2">
      <c r="A2082" s="29"/>
      <c r="B2082" s="29"/>
      <c r="C2082" s="29"/>
      <c r="D2082" s="29"/>
      <c r="E2082" s="29"/>
      <c r="F2082" s="30"/>
      <c r="G2082" s="30"/>
      <c r="H2082" s="30"/>
      <c r="I2082" s="30"/>
      <c r="J2082" s="30"/>
      <c r="K2082" s="30"/>
      <c r="L2082" s="29"/>
      <c r="M2082" s="29"/>
      <c r="N2082" s="29"/>
      <c r="O2082" s="29"/>
      <c r="P2082" s="29"/>
      <c r="Q2082" s="29"/>
      <c r="R2082" s="29"/>
      <c r="S2082" s="29"/>
      <c r="T2082" s="29"/>
      <c r="U2082" s="31"/>
      <c r="V2082" s="31"/>
      <c r="W2082" s="31"/>
      <c r="X2082" s="31"/>
      <c r="Y2082" s="31"/>
    </row>
    <row r="2083" spans="1:25" x14ac:dyDescent="0.2">
      <c r="A2083" s="29"/>
      <c r="B2083" s="29"/>
      <c r="C2083" s="29"/>
      <c r="D2083" s="29"/>
      <c r="E2083" s="29"/>
      <c r="F2083" s="30"/>
      <c r="G2083" s="30"/>
      <c r="H2083" s="30"/>
      <c r="I2083" s="30"/>
      <c r="J2083" s="30"/>
      <c r="K2083" s="30"/>
      <c r="L2083" s="29"/>
      <c r="M2083" s="29"/>
      <c r="N2083" s="29"/>
      <c r="O2083" s="29"/>
      <c r="P2083" s="29"/>
      <c r="Q2083" s="29"/>
      <c r="R2083" s="29"/>
      <c r="S2083" s="29"/>
      <c r="T2083" s="29"/>
      <c r="U2083" s="31"/>
      <c r="V2083" s="31"/>
      <c r="W2083" s="31"/>
      <c r="X2083" s="31"/>
      <c r="Y2083" s="31"/>
    </row>
    <row r="2084" spans="1:25" x14ac:dyDescent="0.2">
      <c r="A2084" s="29"/>
      <c r="B2084" s="29"/>
      <c r="C2084" s="29"/>
      <c r="D2084" s="29"/>
      <c r="E2084" s="29"/>
      <c r="F2084" s="30"/>
      <c r="G2084" s="30"/>
      <c r="H2084" s="30"/>
      <c r="I2084" s="30"/>
      <c r="J2084" s="30"/>
      <c r="K2084" s="30"/>
      <c r="L2084" s="29"/>
      <c r="M2084" s="29"/>
      <c r="N2084" s="29"/>
      <c r="O2084" s="29"/>
      <c r="P2084" s="29"/>
      <c r="Q2084" s="29"/>
      <c r="R2084" s="29"/>
      <c r="S2084" s="29"/>
      <c r="T2084" s="29"/>
      <c r="U2084" s="31"/>
      <c r="V2084" s="31"/>
      <c r="W2084" s="31"/>
      <c r="X2084" s="31"/>
      <c r="Y2084" s="31"/>
    </row>
    <row r="2085" spans="1:25" x14ac:dyDescent="0.2">
      <c r="A2085" s="29"/>
      <c r="B2085" s="29"/>
      <c r="C2085" s="29"/>
      <c r="D2085" s="29"/>
      <c r="E2085" s="29"/>
      <c r="F2085" s="30"/>
      <c r="G2085" s="30"/>
      <c r="H2085" s="30"/>
      <c r="I2085" s="30"/>
      <c r="J2085" s="30"/>
      <c r="K2085" s="30"/>
      <c r="L2085" s="29"/>
      <c r="M2085" s="29"/>
      <c r="N2085" s="29"/>
      <c r="O2085" s="29"/>
      <c r="P2085" s="29"/>
      <c r="Q2085" s="29"/>
      <c r="R2085" s="29"/>
      <c r="S2085" s="29"/>
      <c r="T2085" s="29"/>
      <c r="U2085" s="31"/>
      <c r="V2085" s="31"/>
      <c r="W2085" s="31"/>
      <c r="X2085" s="31"/>
      <c r="Y2085" s="31"/>
    </row>
    <row r="2086" spans="1:25" x14ac:dyDescent="0.2">
      <c r="A2086" s="29"/>
      <c r="B2086" s="29"/>
      <c r="C2086" s="29"/>
      <c r="D2086" s="29"/>
      <c r="E2086" s="29"/>
      <c r="F2086" s="30"/>
      <c r="G2086" s="30"/>
      <c r="H2086" s="30"/>
      <c r="I2086" s="30"/>
      <c r="J2086" s="30"/>
      <c r="K2086" s="30"/>
      <c r="L2086" s="29"/>
      <c r="M2086" s="29"/>
      <c r="N2086" s="29"/>
      <c r="O2086" s="29"/>
      <c r="P2086" s="29"/>
      <c r="Q2086" s="29"/>
      <c r="R2086" s="29"/>
      <c r="S2086" s="29"/>
      <c r="T2086" s="29"/>
      <c r="U2086" s="31"/>
      <c r="V2086" s="31"/>
      <c r="W2086" s="31"/>
      <c r="X2086" s="31"/>
      <c r="Y2086" s="31"/>
    </row>
    <row r="2087" spans="1:25" x14ac:dyDescent="0.2">
      <c r="A2087" s="29"/>
      <c r="B2087" s="29"/>
      <c r="C2087" s="29"/>
      <c r="D2087" s="29"/>
      <c r="E2087" s="29"/>
      <c r="F2087" s="30"/>
      <c r="G2087" s="30"/>
      <c r="H2087" s="30"/>
      <c r="I2087" s="30"/>
      <c r="J2087" s="30"/>
      <c r="K2087" s="30"/>
      <c r="L2087" s="29"/>
      <c r="M2087" s="29"/>
      <c r="N2087" s="29"/>
      <c r="O2087" s="29"/>
      <c r="P2087" s="29"/>
      <c r="Q2087" s="29"/>
      <c r="R2087" s="29"/>
      <c r="S2087" s="29"/>
      <c r="T2087" s="29"/>
      <c r="U2087" s="31"/>
      <c r="V2087" s="31"/>
      <c r="W2087" s="31"/>
      <c r="X2087" s="31"/>
      <c r="Y2087" s="31"/>
    </row>
    <row r="2088" spans="1:25" x14ac:dyDescent="0.2">
      <c r="A2088" s="29"/>
      <c r="B2088" s="29"/>
      <c r="C2088" s="29"/>
      <c r="D2088" s="29"/>
      <c r="E2088" s="29"/>
      <c r="F2088" s="30"/>
      <c r="G2088" s="30"/>
      <c r="H2088" s="30"/>
      <c r="I2088" s="30"/>
      <c r="J2088" s="30"/>
      <c r="K2088" s="30"/>
      <c r="L2088" s="29"/>
      <c r="M2088" s="29"/>
      <c r="N2088" s="29"/>
      <c r="O2088" s="29"/>
      <c r="P2088" s="29"/>
      <c r="Q2088" s="29"/>
      <c r="R2088" s="29"/>
      <c r="S2088" s="29"/>
      <c r="T2088" s="29"/>
      <c r="U2088" s="31"/>
      <c r="V2088" s="31"/>
      <c r="W2088" s="31"/>
      <c r="X2088" s="31"/>
      <c r="Y2088" s="31"/>
    </row>
    <row r="2089" spans="1:25" x14ac:dyDescent="0.2">
      <c r="A2089" s="29"/>
      <c r="B2089" s="29"/>
      <c r="C2089" s="29"/>
      <c r="D2089" s="29"/>
      <c r="E2089" s="29"/>
      <c r="F2089" s="30"/>
      <c r="G2089" s="30"/>
      <c r="H2089" s="30"/>
      <c r="I2089" s="30"/>
      <c r="J2089" s="30"/>
      <c r="K2089" s="30"/>
      <c r="L2089" s="29"/>
      <c r="M2089" s="29"/>
      <c r="N2089" s="29"/>
      <c r="O2089" s="29"/>
      <c r="P2089" s="29"/>
      <c r="Q2089" s="29"/>
      <c r="R2089" s="29"/>
      <c r="S2089" s="29"/>
      <c r="T2089" s="29"/>
      <c r="U2089" s="31"/>
      <c r="V2089" s="31"/>
      <c r="W2089" s="31"/>
      <c r="X2089" s="31"/>
      <c r="Y2089" s="31"/>
    </row>
    <row r="2090" spans="1:25" x14ac:dyDescent="0.2">
      <c r="A2090" s="29"/>
      <c r="B2090" s="29"/>
      <c r="C2090" s="29"/>
      <c r="D2090" s="29"/>
      <c r="E2090" s="29"/>
      <c r="F2090" s="30"/>
      <c r="G2090" s="30"/>
      <c r="H2090" s="30"/>
      <c r="I2090" s="30"/>
      <c r="J2090" s="30"/>
      <c r="K2090" s="30"/>
      <c r="L2090" s="29"/>
      <c r="M2090" s="29"/>
      <c r="N2090" s="29"/>
      <c r="O2090" s="29"/>
      <c r="P2090" s="29"/>
      <c r="Q2090" s="29"/>
      <c r="R2090" s="29"/>
      <c r="S2090" s="29"/>
      <c r="T2090" s="29"/>
      <c r="U2090" s="31"/>
      <c r="V2090" s="31"/>
      <c r="W2090" s="31"/>
      <c r="X2090" s="31"/>
      <c r="Y2090" s="31"/>
    </row>
    <row r="2091" spans="1:25" x14ac:dyDescent="0.2">
      <c r="A2091" s="29"/>
      <c r="B2091" s="29"/>
      <c r="C2091" s="29"/>
      <c r="D2091" s="29"/>
      <c r="E2091" s="29"/>
      <c r="F2091" s="30"/>
      <c r="G2091" s="30"/>
      <c r="H2091" s="30"/>
      <c r="I2091" s="30"/>
      <c r="J2091" s="30"/>
      <c r="K2091" s="30"/>
      <c r="L2091" s="29"/>
      <c r="M2091" s="29"/>
      <c r="N2091" s="29"/>
      <c r="O2091" s="29"/>
      <c r="P2091" s="29"/>
      <c r="Q2091" s="29"/>
      <c r="R2091" s="29"/>
      <c r="S2091" s="29"/>
      <c r="T2091" s="29"/>
      <c r="U2091" s="31"/>
      <c r="V2091" s="31"/>
      <c r="W2091" s="31"/>
      <c r="X2091" s="31"/>
      <c r="Y2091" s="31"/>
    </row>
    <row r="2092" spans="1:25" x14ac:dyDescent="0.2">
      <c r="A2092" s="29"/>
      <c r="B2092" s="29"/>
      <c r="C2092" s="29"/>
      <c r="D2092" s="29"/>
      <c r="E2092" s="29"/>
      <c r="F2092" s="30"/>
      <c r="G2092" s="30"/>
      <c r="H2092" s="30"/>
      <c r="I2092" s="30"/>
      <c r="J2092" s="30"/>
      <c r="K2092" s="30"/>
      <c r="L2092" s="29"/>
      <c r="M2092" s="29"/>
      <c r="N2092" s="29"/>
      <c r="O2092" s="29"/>
      <c r="P2092" s="29"/>
      <c r="Q2092" s="29"/>
      <c r="R2092" s="29"/>
      <c r="S2092" s="29"/>
      <c r="T2092" s="29"/>
      <c r="U2092" s="31"/>
      <c r="V2092" s="31"/>
      <c r="W2092" s="31"/>
      <c r="X2092" s="31"/>
      <c r="Y2092" s="31"/>
    </row>
    <row r="2093" spans="1:25" x14ac:dyDescent="0.2">
      <c r="A2093" s="29"/>
      <c r="B2093" s="29"/>
      <c r="C2093" s="29"/>
      <c r="D2093" s="29"/>
      <c r="E2093" s="29"/>
      <c r="F2093" s="30"/>
      <c r="G2093" s="30"/>
      <c r="H2093" s="30"/>
      <c r="I2093" s="30"/>
      <c r="J2093" s="30"/>
      <c r="K2093" s="30"/>
      <c r="L2093" s="29"/>
      <c r="M2093" s="29"/>
      <c r="N2093" s="29"/>
      <c r="O2093" s="29"/>
      <c r="P2093" s="29"/>
      <c r="Q2093" s="29"/>
      <c r="R2093" s="29"/>
      <c r="S2093" s="29"/>
      <c r="T2093" s="29"/>
      <c r="U2093" s="31"/>
      <c r="V2093" s="31"/>
      <c r="W2093" s="31"/>
      <c r="X2093" s="31"/>
      <c r="Y2093" s="31"/>
    </row>
    <row r="2094" spans="1:25" x14ac:dyDescent="0.2">
      <c r="A2094" s="29"/>
      <c r="B2094" s="29"/>
      <c r="C2094" s="29"/>
      <c r="D2094" s="29"/>
      <c r="E2094" s="29"/>
      <c r="F2094" s="30"/>
      <c r="G2094" s="30"/>
      <c r="H2094" s="30"/>
      <c r="I2094" s="30"/>
      <c r="J2094" s="30"/>
      <c r="K2094" s="30"/>
      <c r="L2094" s="29"/>
      <c r="M2094" s="29"/>
      <c r="N2094" s="29"/>
      <c r="O2094" s="29"/>
      <c r="P2094" s="29"/>
      <c r="Q2094" s="29"/>
      <c r="R2094" s="29"/>
      <c r="S2094" s="29"/>
      <c r="T2094" s="29"/>
      <c r="U2094" s="31"/>
      <c r="V2094" s="31"/>
      <c r="W2094" s="31"/>
      <c r="X2094" s="31"/>
      <c r="Y2094" s="31"/>
    </row>
    <row r="2095" spans="1:25" x14ac:dyDescent="0.2">
      <c r="A2095" s="29"/>
      <c r="B2095" s="29"/>
      <c r="C2095" s="29"/>
      <c r="D2095" s="29"/>
      <c r="E2095" s="29"/>
      <c r="F2095" s="30"/>
      <c r="G2095" s="30"/>
      <c r="H2095" s="30"/>
      <c r="I2095" s="30"/>
      <c r="J2095" s="30"/>
      <c r="K2095" s="30"/>
      <c r="L2095" s="29"/>
      <c r="M2095" s="29"/>
      <c r="N2095" s="29"/>
      <c r="O2095" s="29"/>
      <c r="P2095" s="29"/>
      <c r="Q2095" s="29"/>
      <c r="R2095" s="29"/>
      <c r="S2095" s="29"/>
      <c r="T2095" s="29"/>
      <c r="U2095" s="31"/>
      <c r="V2095" s="31"/>
      <c r="W2095" s="31"/>
      <c r="X2095" s="31"/>
      <c r="Y2095" s="31"/>
    </row>
    <row r="2096" spans="1:25" x14ac:dyDescent="0.2">
      <c r="A2096" s="29"/>
      <c r="B2096" s="29"/>
      <c r="C2096" s="29"/>
      <c r="D2096" s="29"/>
      <c r="E2096" s="29"/>
      <c r="F2096" s="30"/>
      <c r="G2096" s="30"/>
      <c r="H2096" s="30"/>
      <c r="I2096" s="30"/>
      <c r="J2096" s="30"/>
      <c r="K2096" s="30"/>
      <c r="L2096" s="29"/>
      <c r="M2096" s="29"/>
      <c r="N2096" s="29"/>
      <c r="O2096" s="29"/>
      <c r="P2096" s="29"/>
      <c r="Q2096" s="29"/>
      <c r="R2096" s="29"/>
      <c r="S2096" s="29"/>
      <c r="T2096" s="29"/>
      <c r="U2096" s="31"/>
      <c r="V2096" s="31"/>
      <c r="W2096" s="31"/>
      <c r="X2096" s="31"/>
      <c r="Y2096" s="31"/>
    </row>
    <row r="2097" spans="1:25" x14ac:dyDescent="0.2">
      <c r="A2097" s="29"/>
      <c r="B2097" s="29"/>
      <c r="C2097" s="29"/>
      <c r="D2097" s="29"/>
      <c r="E2097" s="29"/>
      <c r="F2097" s="30"/>
      <c r="G2097" s="30"/>
      <c r="H2097" s="30"/>
      <c r="I2097" s="30"/>
      <c r="J2097" s="30"/>
      <c r="K2097" s="30"/>
      <c r="L2097" s="29"/>
      <c r="M2097" s="29"/>
      <c r="N2097" s="29"/>
      <c r="O2097" s="29"/>
      <c r="P2097" s="29"/>
      <c r="Q2097" s="29"/>
      <c r="R2097" s="29"/>
      <c r="S2097" s="29"/>
      <c r="T2097" s="29"/>
      <c r="U2097" s="31"/>
      <c r="V2097" s="31"/>
      <c r="W2097" s="31"/>
      <c r="X2097" s="31"/>
      <c r="Y2097" s="31"/>
    </row>
    <row r="2098" spans="1:25" x14ac:dyDescent="0.2">
      <c r="A2098" s="29"/>
      <c r="B2098" s="29"/>
      <c r="C2098" s="29"/>
      <c r="D2098" s="29"/>
      <c r="E2098" s="29"/>
      <c r="F2098" s="30"/>
      <c r="G2098" s="30"/>
      <c r="H2098" s="30"/>
      <c r="I2098" s="30"/>
      <c r="J2098" s="30"/>
      <c r="K2098" s="30"/>
      <c r="L2098" s="29"/>
      <c r="M2098" s="29"/>
      <c r="N2098" s="29"/>
      <c r="O2098" s="29"/>
      <c r="P2098" s="29"/>
      <c r="Q2098" s="29"/>
      <c r="R2098" s="29"/>
      <c r="S2098" s="29"/>
      <c r="T2098" s="29"/>
      <c r="U2098" s="31"/>
      <c r="V2098" s="31"/>
      <c r="W2098" s="31"/>
      <c r="X2098" s="31"/>
      <c r="Y2098" s="31"/>
    </row>
    <row r="2099" spans="1:25" x14ac:dyDescent="0.2">
      <c r="A2099" s="29"/>
      <c r="B2099" s="29"/>
      <c r="C2099" s="29"/>
      <c r="D2099" s="29"/>
      <c r="E2099" s="29"/>
      <c r="F2099" s="30"/>
      <c r="G2099" s="30"/>
      <c r="H2099" s="30"/>
      <c r="I2099" s="30"/>
      <c r="J2099" s="30"/>
      <c r="K2099" s="30"/>
      <c r="L2099" s="29"/>
      <c r="M2099" s="29"/>
      <c r="N2099" s="29"/>
      <c r="O2099" s="29"/>
      <c r="P2099" s="29"/>
      <c r="Q2099" s="29"/>
      <c r="R2099" s="29"/>
      <c r="S2099" s="29"/>
      <c r="T2099" s="29"/>
      <c r="U2099" s="31"/>
      <c r="V2099" s="31"/>
      <c r="W2099" s="31"/>
      <c r="X2099" s="31"/>
      <c r="Y2099" s="31"/>
    </row>
    <row r="2100" spans="1:25" x14ac:dyDescent="0.2">
      <c r="A2100" s="29"/>
      <c r="B2100" s="29"/>
      <c r="C2100" s="29"/>
      <c r="D2100" s="29"/>
      <c r="E2100" s="29"/>
      <c r="F2100" s="30"/>
      <c r="G2100" s="30"/>
      <c r="H2100" s="30"/>
      <c r="I2100" s="30"/>
      <c r="J2100" s="30"/>
      <c r="K2100" s="30"/>
      <c r="L2100" s="29"/>
      <c r="M2100" s="29"/>
      <c r="N2100" s="29"/>
      <c r="O2100" s="29"/>
      <c r="P2100" s="29"/>
      <c r="Q2100" s="29"/>
      <c r="R2100" s="29"/>
      <c r="S2100" s="29"/>
      <c r="T2100" s="29"/>
      <c r="U2100" s="31"/>
      <c r="V2100" s="31"/>
      <c r="W2100" s="31"/>
      <c r="X2100" s="31"/>
      <c r="Y2100" s="31"/>
    </row>
    <row r="2101" spans="1:25" x14ac:dyDescent="0.2">
      <c r="A2101" s="29"/>
      <c r="B2101" s="29"/>
      <c r="C2101" s="29"/>
      <c r="D2101" s="29"/>
      <c r="E2101" s="29"/>
      <c r="F2101" s="30"/>
      <c r="G2101" s="30"/>
      <c r="H2101" s="30"/>
      <c r="I2101" s="30"/>
      <c r="J2101" s="30"/>
      <c r="K2101" s="30"/>
      <c r="L2101" s="29"/>
      <c r="M2101" s="29"/>
      <c r="N2101" s="29"/>
      <c r="O2101" s="29"/>
      <c r="P2101" s="29"/>
      <c r="Q2101" s="29"/>
      <c r="R2101" s="29"/>
      <c r="S2101" s="29"/>
      <c r="T2101" s="29"/>
      <c r="U2101" s="31"/>
      <c r="V2101" s="31"/>
      <c r="W2101" s="31"/>
      <c r="X2101" s="31"/>
      <c r="Y2101" s="31"/>
    </row>
    <row r="2102" spans="1:25" x14ac:dyDescent="0.2">
      <c r="A2102" s="29"/>
      <c r="B2102" s="29"/>
      <c r="C2102" s="29"/>
      <c r="D2102" s="29"/>
      <c r="E2102" s="29"/>
      <c r="F2102" s="30"/>
      <c r="G2102" s="30"/>
      <c r="H2102" s="30"/>
      <c r="I2102" s="30"/>
      <c r="J2102" s="30"/>
      <c r="K2102" s="30"/>
      <c r="L2102" s="29"/>
      <c r="M2102" s="29"/>
      <c r="N2102" s="29"/>
      <c r="O2102" s="29"/>
      <c r="P2102" s="29"/>
      <c r="Q2102" s="29"/>
      <c r="R2102" s="29"/>
      <c r="S2102" s="29"/>
      <c r="T2102" s="29"/>
      <c r="U2102" s="31"/>
      <c r="V2102" s="31"/>
      <c r="W2102" s="31"/>
      <c r="X2102" s="31"/>
      <c r="Y2102" s="31"/>
    </row>
    <row r="2103" spans="1:25" x14ac:dyDescent="0.2">
      <c r="A2103" s="29"/>
      <c r="B2103" s="29"/>
      <c r="C2103" s="29"/>
      <c r="D2103" s="29"/>
      <c r="E2103" s="29"/>
      <c r="F2103" s="30"/>
      <c r="G2103" s="30"/>
      <c r="H2103" s="30"/>
      <c r="I2103" s="30"/>
      <c r="J2103" s="30"/>
      <c r="K2103" s="30"/>
      <c r="L2103" s="29"/>
      <c r="M2103" s="29"/>
      <c r="N2103" s="29"/>
      <c r="O2103" s="29"/>
      <c r="P2103" s="29"/>
      <c r="Q2103" s="29"/>
      <c r="R2103" s="29"/>
      <c r="S2103" s="29"/>
      <c r="T2103" s="29"/>
      <c r="U2103" s="31"/>
      <c r="V2103" s="31"/>
      <c r="W2103" s="31"/>
      <c r="X2103" s="31"/>
      <c r="Y2103" s="31"/>
    </row>
    <row r="2104" spans="1:25" x14ac:dyDescent="0.2">
      <c r="A2104" s="29"/>
      <c r="B2104" s="29"/>
      <c r="C2104" s="29"/>
      <c r="D2104" s="29"/>
      <c r="E2104" s="29"/>
      <c r="F2104" s="30"/>
      <c r="G2104" s="30"/>
      <c r="H2104" s="30"/>
      <c r="I2104" s="30"/>
      <c r="J2104" s="30"/>
      <c r="K2104" s="30"/>
      <c r="L2104" s="29"/>
      <c r="M2104" s="29"/>
      <c r="N2104" s="29"/>
      <c r="O2104" s="29"/>
      <c r="P2104" s="29"/>
      <c r="Q2104" s="29"/>
      <c r="R2104" s="29"/>
      <c r="S2104" s="29"/>
      <c r="T2104" s="29"/>
      <c r="U2104" s="31"/>
      <c r="V2104" s="31"/>
      <c r="W2104" s="31"/>
      <c r="X2104" s="31"/>
      <c r="Y2104" s="31"/>
    </row>
    <row r="2105" spans="1:25" x14ac:dyDescent="0.2">
      <c r="A2105" s="29"/>
      <c r="B2105" s="29"/>
      <c r="C2105" s="29"/>
      <c r="D2105" s="29"/>
      <c r="E2105" s="29"/>
      <c r="F2105" s="30"/>
      <c r="G2105" s="30"/>
      <c r="H2105" s="30"/>
      <c r="I2105" s="30"/>
      <c r="J2105" s="30"/>
      <c r="K2105" s="30"/>
      <c r="L2105" s="29"/>
      <c r="M2105" s="29"/>
      <c r="N2105" s="29"/>
      <c r="O2105" s="29"/>
      <c r="P2105" s="29"/>
      <c r="Q2105" s="29"/>
      <c r="R2105" s="29"/>
      <c r="S2105" s="29"/>
      <c r="T2105" s="29"/>
      <c r="U2105" s="31"/>
      <c r="V2105" s="31"/>
      <c r="W2105" s="31"/>
      <c r="X2105" s="31"/>
      <c r="Y2105" s="31"/>
    </row>
    <row r="2106" spans="1:25" x14ac:dyDescent="0.2">
      <c r="A2106" s="29"/>
      <c r="B2106" s="29"/>
      <c r="C2106" s="29"/>
      <c r="D2106" s="29"/>
      <c r="E2106" s="29"/>
      <c r="F2106" s="30"/>
      <c r="G2106" s="30"/>
      <c r="H2106" s="30"/>
      <c r="I2106" s="30"/>
      <c r="J2106" s="30"/>
      <c r="K2106" s="30"/>
      <c r="L2106" s="29"/>
      <c r="M2106" s="29"/>
      <c r="N2106" s="29"/>
      <c r="O2106" s="29"/>
      <c r="P2106" s="29"/>
      <c r="Q2106" s="29"/>
      <c r="R2106" s="29"/>
      <c r="S2106" s="29"/>
      <c r="T2106" s="29"/>
      <c r="U2106" s="31"/>
      <c r="V2106" s="31"/>
      <c r="W2106" s="31"/>
      <c r="X2106" s="31"/>
      <c r="Y2106" s="31"/>
    </row>
    <row r="2107" spans="1:25" x14ac:dyDescent="0.2">
      <c r="A2107" s="29"/>
      <c r="B2107" s="29"/>
      <c r="C2107" s="29"/>
      <c r="D2107" s="29"/>
      <c r="E2107" s="29"/>
      <c r="F2107" s="30"/>
      <c r="G2107" s="30"/>
      <c r="H2107" s="30"/>
      <c r="I2107" s="30"/>
      <c r="J2107" s="30"/>
      <c r="K2107" s="30"/>
      <c r="L2107" s="29"/>
      <c r="M2107" s="29"/>
      <c r="N2107" s="29"/>
      <c r="O2107" s="29"/>
      <c r="P2107" s="29"/>
      <c r="Q2107" s="29"/>
      <c r="R2107" s="29"/>
      <c r="S2107" s="29"/>
      <c r="T2107" s="29"/>
      <c r="U2107" s="31"/>
      <c r="V2107" s="31"/>
      <c r="W2107" s="31"/>
      <c r="X2107" s="31"/>
      <c r="Y2107" s="31"/>
    </row>
    <row r="2108" spans="1:25" x14ac:dyDescent="0.2">
      <c r="A2108" s="29"/>
      <c r="B2108" s="29"/>
      <c r="C2108" s="29"/>
      <c r="D2108" s="29"/>
      <c r="E2108" s="29"/>
      <c r="F2108" s="30"/>
      <c r="G2108" s="30"/>
      <c r="H2108" s="30"/>
      <c r="I2108" s="30"/>
      <c r="J2108" s="30"/>
      <c r="K2108" s="30"/>
      <c r="L2108" s="29"/>
      <c r="M2108" s="29"/>
      <c r="N2108" s="29"/>
      <c r="O2108" s="29"/>
      <c r="P2108" s="29"/>
      <c r="Q2108" s="29"/>
      <c r="R2108" s="29"/>
      <c r="S2108" s="29"/>
      <c r="T2108" s="29"/>
      <c r="U2108" s="31"/>
      <c r="V2108" s="31"/>
      <c r="W2108" s="31"/>
      <c r="X2108" s="31"/>
      <c r="Y2108" s="31"/>
    </row>
    <row r="2109" spans="1:25" x14ac:dyDescent="0.2">
      <c r="A2109" s="29"/>
      <c r="B2109" s="29"/>
      <c r="C2109" s="29"/>
      <c r="D2109" s="29"/>
      <c r="E2109" s="29"/>
      <c r="F2109" s="30"/>
      <c r="G2109" s="30"/>
      <c r="H2109" s="30"/>
      <c r="I2109" s="30"/>
      <c r="J2109" s="30"/>
      <c r="K2109" s="30"/>
      <c r="L2109" s="29"/>
      <c r="M2109" s="29"/>
      <c r="N2109" s="29"/>
      <c r="O2109" s="29"/>
      <c r="P2109" s="29"/>
      <c r="Q2109" s="29"/>
      <c r="R2109" s="29"/>
      <c r="S2109" s="29"/>
      <c r="T2109" s="29"/>
      <c r="U2109" s="31"/>
      <c r="V2109" s="31"/>
      <c r="W2109" s="31"/>
      <c r="X2109" s="31"/>
      <c r="Y2109" s="31"/>
    </row>
    <row r="2110" spans="1:25" x14ac:dyDescent="0.2">
      <c r="A2110" s="29"/>
      <c r="B2110" s="29"/>
      <c r="C2110" s="29"/>
      <c r="D2110" s="29"/>
      <c r="E2110" s="29"/>
      <c r="F2110" s="30"/>
      <c r="G2110" s="30"/>
      <c r="H2110" s="30"/>
      <c r="I2110" s="30"/>
      <c r="J2110" s="30"/>
      <c r="K2110" s="30"/>
      <c r="L2110" s="29"/>
      <c r="M2110" s="29"/>
      <c r="N2110" s="29"/>
      <c r="O2110" s="29"/>
      <c r="P2110" s="29"/>
      <c r="Q2110" s="29"/>
      <c r="R2110" s="29"/>
      <c r="S2110" s="29"/>
      <c r="T2110" s="29"/>
      <c r="U2110" s="31"/>
      <c r="V2110" s="31"/>
      <c r="W2110" s="31"/>
      <c r="X2110" s="31"/>
      <c r="Y2110" s="31"/>
    </row>
    <row r="2111" spans="1:25" x14ac:dyDescent="0.2">
      <c r="A2111" s="29"/>
      <c r="B2111" s="29"/>
      <c r="C2111" s="29"/>
      <c r="D2111" s="29"/>
      <c r="E2111" s="29"/>
      <c r="F2111" s="30"/>
      <c r="G2111" s="30"/>
      <c r="H2111" s="30"/>
      <c r="I2111" s="30"/>
      <c r="J2111" s="30"/>
      <c r="K2111" s="30"/>
      <c r="L2111" s="29"/>
      <c r="M2111" s="29"/>
      <c r="N2111" s="29"/>
      <c r="O2111" s="29"/>
      <c r="P2111" s="29"/>
      <c r="Q2111" s="29"/>
      <c r="R2111" s="29"/>
      <c r="S2111" s="29"/>
      <c r="T2111" s="29"/>
      <c r="U2111" s="31"/>
      <c r="V2111" s="31"/>
      <c r="W2111" s="31"/>
      <c r="X2111" s="31"/>
      <c r="Y2111" s="31"/>
    </row>
    <row r="2112" spans="1:25" x14ac:dyDescent="0.2">
      <c r="A2112" s="29"/>
      <c r="B2112" s="29"/>
      <c r="C2112" s="29"/>
      <c r="D2112" s="29"/>
      <c r="E2112" s="29"/>
      <c r="F2112" s="30"/>
      <c r="G2112" s="30"/>
      <c r="H2112" s="30"/>
      <c r="I2112" s="30"/>
      <c r="J2112" s="30"/>
      <c r="K2112" s="30"/>
      <c r="L2112" s="29"/>
      <c r="M2112" s="29"/>
      <c r="N2112" s="29"/>
      <c r="O2112" s="29"/>
      <c r="P2112" s="29"/>
      <c r="Q2112" s="29"/>
      <c r="R2112" s="29"/>
      <c r="S2112" s="29"/>
      <c r="T2112" s="29"/>
      <c r="U2112" s="31"/>
      <c r="V2112" s="31"/>
      <c r="W2112" s="31"/>
      <c r="X2112" s="31"/>
      <c r="Y2112" s="31"/>
    </row>
    <row r="2113" spans="1:25" x14ac:dyDescent="0.2">
      <c r="A2113" s="29"/>
      <c r="B2113" s="29"/>
      <c r="C2113" s="29"/>
      <c r="D2113" s="29"/>
      <c r="E2113" s="29"/>
      <c r="F2113" s="30"/>
      <c r="G2113" s="30"/>
      <c r="H2113" s="30"/>
      <c r="I2113" s="30"/>
      <c r="J2113" s="30"/>
      <c r="K2113" s="30"/>
      <c r="L2113" s="29"/>
      <c r="M2113" s="29"/>
      <c r="N2113" s="29"/>
      <c r="O2113" s="29"/>
      <c r="P2113" s="29"/>
      <c r="Q2113" s="29"/>
      <c r="R2113" s="29"/>
      <c r="S2113" s="29"/>
      <c r="T2113" s="29"/>
      <c r="U2113" s="31"/>
      <c r="V2113" s="31"/>
      <c r="W2113" s="31"/>
      <c r="X2113" s="31"/>
      <c r="Y2113" s="31"/>
    </row>
    <row r="2114" spans="1:25" x14ac:dyDescent="0.2">
      <c r="A2114" s="29"/>
      <c r="B2114" s="29"/>
      <c r="C2114" s="29"/>
      <c r="D2114" s="29"/>
      <c r="E2114" s="29"/>
      <c r="F2114" s="30"/>
      <c r="G2114" s="30"/>
      <c r="H2114" s="30"/>
      <c r="I2114" s="30"/>
      <c r="J2114" s="30"/>
      <c r="K2114" s="30"/>
      <c r="L2114" s="29"/>
      <c r="M2114" s="29"/>
      <c r="N2114" s="29"/>
      <c r="O2114" s="29"/>
      <c r="P2114" s="29"/>
      <c r="Q2114" s="29"/>
      <c r="R2114" s="29"/>
      <c r="S2114" s="29"/>
      <c r="T2114" s="29"/>
      <c r="U2114" s="31"/>
      <c r="V2114" s="31"/>
      <c r="W2114" s="31"/>
      <c r="X2114" s="31"/>
      <c r="Y2114" s="31"/>
    </row>
    <row r="2115" spans="1:25" x14ac:dyDescent="0.2">
      <c r="A2115" s="29"/>
      <c r="B2115" s="29"/>
      <c r="C2115" s="29"/>
      <c r="D2115" s="29"/>
      <c r="E2115" s="29"/>
      <c r="F2115" s="30"/>
      <c r="G2115" s="30"/>
      <c r="H2115" s="30"/>
      <c r="I2115" s="30"/>
      <c r="J2115" s="30"/>
      <c r="K2115" s="30"/>
      <c r="L2115" s="29"/>
      <c r="M2115" s="29"/>
      <c r="N2115" s="29"/>
      <c r="O2115" s="29"/>
      <c r="P2115" s="29"/>
      <c r="Q2115" s="29"/>
      <c r="R2115" s="29"/>
      <c r="S2115" s="29"/>
      <c r="T2115" s="29"/>
      <c r="U2115" s="31"/>
      <c r="V2115" s="31"/>
      <c r="W2115" s="31"/>
      <c r="X2115" s="31"/>
      <c r="Y2115" s="31"/>
    </row>
    <row r="2116" spans="1:25" x14ac:dyDescent="0.2">
      <c r="A2116" s="29"/>
      <c r="B2116" s="29"/>
      <c r="C2116" s="29"/>
      <c r="D2116" s="29"/>
      <c r="E2116" s="29"/>
      <c r="F2116" s="30"/>
      <c r="G2116" s="30"/>
      <c r="H2116" s="30"/>
      <c r="I2116" s="30"/>
      <c r="J2116" s="30"/>
      <c r="K2116" s="30"/>
      <c r="L2116" s="29"/>
      <c r="M2116" s="29"/>
      <c r="N2116" s="29"/>
      <c r="O2116" s="29"/>
      <c r="P2116" s="29"/>
      <c r="Q2116" s="29"/>
      <c r="R2116" s="29"/>
      <c r="S2116" s="29"/>
      <c r="T2116" s="29"/>
      <c r="U2116" s="31"/>
      <c r="V2116" s="31"/>
      <c r="W2116" s="31"/>
      <c r="X2116" s="31"/>
      <c r="Y2116" s="31"/>
    </row>
    <row r="2117" spans="1:25" x14ac:dyDescent="0.2">
      <c r="A2117" s="29"/>
      <c r="B2117" s="29"/>
      <c r="C2117" s="29"/>
      <c r="D2117" s="29"/>
      <c r="E2117" s="29"/>
      <c r="F2117" s="30"/>
      <c r="G2117" s="30"/>
      <c r="H2117" s="30"/>
      <c r="I2117" s="30"/>
      <c r="J2117" s="30"/>
      <c r="K2117" s="30"/>
      <c r="L2117" s="29"/>
      <c r="M2117" s="29"/>
      <c r="N2117" s="29"/>
      <c r="O2117" s="29"/>
      <c r="P2117" s="29"/>
      <c r="Q2117" s="29"/>
      <c r="R2117" s="29"/>
      <c r="S2117" s="29"/>
      <c r="T2117" s="29"/>
      <c r="U2117" s="31"/>
      <c r="V2117" s="31"/>
      <c r="W2117" s="31"/>
      <c r="X2117" s="31"/>
      <c r="Y2117" s="31"/>
    </row>
    <row r="2118" spans="1:25" x14ac:dyDescent="0.2">
      <c r="A2118" s="29"/>
      <c r="B2118" s="29"/>
      <c r="C2118" s="29"/>
      <c r="D2118" s="29"/>
      <c r="E2118" s="29"/>
      <c r="F2118" s="30"/>
      <c r="G2118" s="30"/>
      <c r="H2118" s="30"/>
      <c r="I2118" s="30"/>
      <c r="J2118" s="30"/>
      <c r="K2118" s="30"/>
      <c r="L2118" s="29"/>
      <c r="M2118" s="29"/>
      <c r="N2118" s="29"/>
      <c r="O2118" s="29"/>
      <c r="P2118" s="29"/>
      <c r="Q2118" s="29"/>
      <c r="R2118" s="29"/>
      <c r="S2118" s="29"/>
      <c r="T2118" s="29"/>
      <c r="U2118" s="31"/>
      <c r="V2118" s="31"/>
      <c r="W2118" s="31"/>
      <c r="X2118" s="31"/>
      <c r="Y2118" s="31"/>
    </row>
    <row r="2119" spans="1:25" x14ac:dyDescent="0.2">
      <c r="A2119" s="29"/>
      <c r="B2119" s="29"/>
      <c r="C2119" s="29"/>
      <c r="D2119" s="29"/>
      <c r="E2119" s="29"/>
      <c r="F2119" s="30"/>
      <c r="G2119" s="30"/>
      <c r="H2119" s="30"/>
      <c r="I2119" s="30"/>
      <c r="J2119" s="30"/>
      <c r="K2119" s="30"/>
      <c r="L2119" s="29"/>
      <c r="M2119" s="29"/>
      <c r="N2119" s="29"/>
      <c r="O2119" s="29"/>
      <c r="P2119" s="29"/>
      <c r="Q2119" s="29"/>
      <c r="R2119" s="29"/>
      <c r="S2119" s="29"/>
      <c r="T2119" s="29"/>
      <c r="U2119" s="31"/>
      <c r="V2119" s="31"/>
      <c r="W2119" s="31"/>
      <c r="X2119" s="31"/>
      <c r="Y2119" s="31"/>
    </row>
    <row r="2120" spans="1:25" x14ac:dyDescent="0.2">
      <c r="A2120" s="29"/>
      <c r="B2120" s="29"/>
      <c r="C2120" s="29"/>
      <c r="D2120" s="29"/>
      <c r="E2120" s="29"/>
      <c r="F2120" s="30"/>
      <c r="G2120" s="30"/>
      <c r="H2120" s="30"/>
      <c r="I2120" s="30"/>
      <c r="J2120" s="30"/>
      <c r="K2120" s="30"/>
      <c r="L2120" s="29"/>
      <c r="M2120" s="29"/>
      <c r="N2120" s="29"/>
      <c r="O2120" s="29"/>
      <c r="P2120" s="29"/>
      <c r="Q2120" s="29"/>
      <c r="R2120" s="29"/>
      <c r="S2120" s="29"/>
      <c r="T2120" s="29"/>
      <c r="U2120" s="31"/>
      <c r="V2120" s="31"/>
      <c r="W2120" s="31"/>
      <c r="X2120" s="31"/>
      <c r="Y2120" s="31"/>
    </row>
    <row r="2121" spans="1:25" x14ac:dyDescent="0.2">
      <c r="A2121" s="29"/>
      <c r="B2121" s="29"/>
      <c r="C2121" s="29"/>
      <c r="D2121" s="29"/>
      <c r="E2121" s="29"/>
      <c r="F2121" s="30"/>
      <c r="G2121" s="30"/>
      <c r="H2121" s="30"/>
      <c r="I2121" s="30"/>
      <c r="J2121" s="30"/>
      <c r="K2121" s="30"/>
      <c r="L2121" s="29"/>
      <c r="M2121" s="29"/>
      <c r="N2121" s="29"/>
      <c r="O2121" s="29"/>
      <c r="P2121" s="29"/>
      <c r="Q2121" s="29"/>
      <c r="R2121" s="29"/>
      <c r="S2121" s="29"/>
      <c r="T2121" s="29"/>
      <c r="U2121" s="31"/>
      <c r="V2121" s="31"/>
      <c r="W2121" s="31"/>
      <c r="X2121" s="31"/>
      <c r="Y2121" s="31"/>
    </row>
    <row r="2122" spans="1:25" x14ac:dyDescent="0.2">
      <c r="A2122" s="29"/>
      <c r="B2122" s="29"/>
      <c r="C2122" s="29"/>
      <c r="D2122" s="29"/>
      <c r="E2122" s="29"/>
      <c r="F2122" s="30"/>
      <c r="G2122" s="30"/>
      <c r="H2122" s="30"/>
      <c r="I2122" s="30"/>
      <c r="J2122" s="30"/>
      <c r="K2122" s="30"/>
      <c r="L2122" s="29"/>
      <c r="M2122" s="29"/>
      <c r="N2122" s="29"/>
      <c r="O2122" s="29"/>
      <c r="P2122" s="29"/>
      <c r="Q2122" s="29"/>
      <c r="R2122" s="29"/>
      <c r="S2122" s="29"/>
      <c r="T2122" s="29"/>
      <c r="U2122" s="31"/>
      <c r="V2122" s="31"/>
      <c r="W2122" s="31"/>
      <c r="X2122" s="31"/>
      <c r="Y2122" s="31"/>
    </row>
    <row r="2123" spans="1:25" x14ac:dyDescent="0.2">
      <c r="A2123" s="29"/>
      <c r="B2123" s="29"/>
      <c r="C2123" s="29"/>
      <c r="D2123" s="29"/>
      <c r="E2123" s="29"/>
      <c r="F2123" s="30"/>
      <c r="G2123" s="30"/>
      <c r="H2123" s="30"/>
      <c r="I2123" s="30"/>
      <c r="J2123" s="30"/>
      <c r="K2123" s="30"/>
      <c r="L2123" s="29"/>
      <c r="M2123" s="29"/>
      <c r="N2123" s="29"/>
      <c r="O2123" s="29"/>
      <c r="P2123" s="29"/>
      <c r="Q2123" s="29"/>
      <c r="R2123" s="29"/>
      <c r="S2123" s="29"/>
      <c r="T2123" s="29"/>
      <c r="U2123" s="31"/>
      <c r="V2123" s="31"/>
      <c r="W2123" s="31"/>
      <c r="X2123" s="31"/>
      <c r="Y2123" s="31"/>
    </row>
    <row r="2124" spans="1:25" x14ac:dyDescent="0.2">
      <c r="A2124" s="29"/>
      <c r="B2124" s="29"/>
      <c r="C2124" s="29"/>
      <c r="D2124" s="29"/>
      <c r="E2124" s="29"/>
      <c r="F2124" s="30"/>
      <c r="G2124" s="30"/>
      <c r="H2124" s="30"/>
      <c r="I2124" s="30"/>
      <c r="J2124" s="30"/>
      <c r="K2124" s="30"/>
      <c r="L2124" s="29"/>
      <c r="M2124" s="29"/>
      <c r="N2124" s="29"/>
      <c r="O2124" s="29"/>
      <c r="P2124" s="29"/>
      <c r="Q2124" s="29"/>
      <c r="R2124" s="29"/>
      <c r="S2124" s="29"/>
      <c r="T2124" s="29"/>
      <c r="U2124" s="31"/>
      <c r="V2124" s="31"/>
      <c r="W2124" s="31"/>
      <c r="X2124" s="31"/>
      <c r="Y2124" s="31"/>
    </row>
    <row r="2125" spans="1:25" x14ac:dyDescent="0.2">
      <c r="A2125" s="29"/>
      <c r="B2125" s="29"/>
      <c r="C2125" s="29"/>
      <c r="D2125" s="29"/>
      <c r="E2125" s="29"/>
      <c r="F2125" s="30"/>
      <c r="G2125" s="30"/>
      <c r="H2125" s="30"/>
      <c r="I2125" s="30"/>
      <c r="J2125" s="30"/>
      <c r="K2125" s="30"/>
      <c r="L2125" s="29"/>
      <c r="M2125" s="29"/>
      <c r="N2125" s="29"/>
      <c r="O2125" s="29"/>
      <c r="P2125" s="29"/>
      <c r="Q2125" s="29"/>
      <c r="R2125" s="29"/>
      <c r="S2125" s="29"/>
      <c r="T2125" s="29"/>
      <c r="U2125" s="31"/>
      <c r="V2125" s="31"/>
      <c r="W2125" s="31"/>
      <c r="X2125" s="31"/>
      <c r="Y2125" s="31"/>
    </row>
    <row r="2126" spans="1:25" x14ac:dyDescent="0.2">
      <c r="A2126" s="29"/>
      <c r="B2126" s="29"/>
      <c r="C2126" s="29"/>
      <c r="D2126" s="29"/>
      <c r="E2126" s="29"/>
      <c r="F2126" s="30"/>
      <c r="G2126" s="30"/>
      <c r="H2126" s="30"/>
      <c r="I2126" s="30"/>
      <c r="J2126" s="30"/>
      <c r="K2126" s="30"/>
      <c r="L2126" s="29"/>
      <c r="M2126" s="29"/>
      <c r="N2126" s="29"/>
      <c r="O2126" s="29"/>
      <c r="P2126" s="29"/>
      <c r="Q2126" s="29"/>
      <c r="R2126" s="29"/>
      <c r="S2126" s="29"/>
      <c r="T2126" s="29"/>
      <c r="U2126" s="31"/>
      <c r="V2126" s="31"/>
      <c r="W2126" s="31"/>
      <c r="X2126" s="31"/>
      <c r="Y2126" s="31"/>
    </row>
    <row r="2127" spans="1:25" x14ac:dyDescent="0.2">
      <c r="A2127" s="29"/>
      <c r="B2127" s="29"/>
      <c r="C2127" s="29"/>
      <c r="D2127" s="29"/>
      <c r="E2127" s="29"/>
      <c r="F2127" s="30"/>
      <c r="G2127" s="30"/>
      <c r="H2127" s="30"/>
      <c r="I2127" s="30"/>
      <c r="J2127" s="30"/>
      <c r="K2127" s="30"/>
      <c r="L2127" s="29"/>
      <c r="M2127" s="29"/>
      <c r="N2127" s="29"/>
      <c r="O2127" s="29"/>
      <c r="P2127" s="29"/>
      <c r="Q2127" s="29"/>
      <c r="R2127" s="29"/>
      <c r="S2127" s="29"/>
      <c r="T2127" s="29"/>
      <c r="U2127" s="31"/>
      <c r="V2127" s="31"/>
      <c r="W2127" s="31"/>
      <c r="X2127" s="31"/>
      <c r="Y2127" s="31"/>
    </row>
    <row r="2128" spans="1:25" x14ac:dyDescent="0.2">
      <c r="A2128" s="29"/>
      <c r="B2128" s="29"/>
      <c r="C2128" s="29"/>
      <c r="D2128" s="29"/>
      <c r="E2128" s="29"/>
      <c r="F2128" s="30"/>
      <c r="G2128" s="30"/>
      <c r="H2128" s="30"/>
      <c r="I2128" s="30"/>
      <c r="J2128" s="30"/>
      <c r="K2128" s="30"/>
      <c r="L2128" s="29"/>
      <c r="M2128" s="29"/>
      <c r="N2128" s="29"/>
      <c r="O2128" s="29"/>
      <c r="P2128" s="29"/>
      <c r="Q2128" s="29"/>
      <c r="R2128" s="29"/>
      <c r="S2128" s="29"/>
      <c r="T2128" s="29"/>
      <c r="U2128" s="31"/>
      <c r="V2128" s="31"/>
      <c r="W2128" s="31"/>
      <c r="X2128" s="31"/>
      <c r="Y2128" s="31"/>
    </row>
    <row r="2129" spans="1:25" x14ac:dyDescent="0.2">
      <c r="A2129" s="29"/>
      <c r="B2129" s="29"/>
      <c r="C2129" s="29"/>
      <c r="D2129" s="29"/>
      <c r="E2129" s="29"/>
      <c r="F2129" s="30"/>
      <c r="G2129" s="30"/>
      <c r="H2129" s="30"/>
      <c r="I2129" s="30"/>
      <c r="J2129" s="30"/>
      <c r="K2129" s="30"/>
      <c r="L2129" s="29"/>
      <c r="M2129" s="29"/>
      <c r="N2129" s="29"/>
      <c r="O2129" s="29"/>
      <c r="P2129" s="29"/>
      <c r="Q2129" s="29"/>
      <c r="R2129" s="29"/>
      <c r="S2129" s="29"/>
      <c r="T2129" s="29"/>
      <c r="U2129" s="31"/>
      <c r="V2129" s="31"/>
      <c r="W2129" s="31"/>
      <c r="X2129" s="31"/>
      <c r="Y2129" s="31"/>
    </row>
    <row r="2130" spans="1:25" x14ac:dyDescent="0.2">
      <c r="A2130" s="29"/>
      <c r="B2130" s="29"/>
      <c r="C2130" s="29"/>
      <c r="D2130" s="29"/>
      <c r="E2130" s="29"/>
      <c r="F2130" s="30"/>
      <c r="G2130" s="30"/>
      <c r="H2130" s="30"/>
      <c r="I2130" s="30"/>
      <c r="J2130" s="30"/>
      <c r="K2130" s="30"/>
      <c r="L2130" s="29"/>
      <c r="M2130" s="29"/>
      <c r="N2130" s="29"/>
      <c r="O2130" s="29"/>
      <c r="P2130" s="29"/>
      <c r="Q2130" s="29"/>
      <c r="R2130" s="29"/>
      <c r="S2130" s="29"/>
      <c r="T2130" s="29"/>
      <c r="U2130" s="31"/>
      <c r="V2130" s="31"/>
      <c r="W2130" s="31"/>
      <c r="X2130" s="31"/>
      <c r="Y2130" s="31"/>
    </row>
    <row r="2131" spans="1:25" x14ac:dyDescent="0.2">
      <c r="A2131" s="29"/>
      <c r="B2131" s="29"/>
      <c r="C2131" s="29"/>
      <c r="D2131" s="29"/>
      <c r="E2131" s="29"/>
      <c r="F2131" s="30"/>
      <c r="G2131" s="30"/>
      <c r="H2131" s="30"/>
      <c r="I2131" s="30"/>
      <c r="J2131" s="30"/>
      <c r="K2131" s="30"/>
      <c r="L2131" s="29"/>
      <c r="M2131" s="29"/>
      <c r="N2131" s="29"/>
      <c r="O2131" s="29"/>
      <c r="P2131" s="29"/>
      <c r="Q2131" s="29"/>
      <c r="R2131" s="29"/>
      <c r="S2131" s="29"/>
      <c r="T2131" s="29"/>
      <c r="U2131" s="31"/>
      <c r="V2131" s="31"/>
      <c r="W2131" s="31"/>
      <c r="X2131" s="31"/>
      <c r="Y2131" s="31"/>
    </row>
    <row r="2132" spans="1:25" x14ac:dyDescent="0.2">
      <c r="A2132" s="29"/>
      <c r="B2132" s="29"/>
      <c r="C2132" s="29"/>
      <c r="D2132" s="29"/>
      <c r="E2132" s="29"/>
      <c r="F2132" s="30"/>
      <c r="G2132" s="30"/>
      <c r="H2132" s="30"/>
      <c r="I2132" s="30"/>
      <c r="J2132" s="30"/>
      <c r="K2132" s="30"/>
      <c r="L2132" s="29"/>
      <c r="M2132" s="29"/>
      <c r="N2132" s="29"/>
      <c r="O2132" s="29"/>
      <c r="P2132" s="29"/>
      <c r="Q2132" s="29"/>
      <c r="R2132" s="29"/>
      <c r="S2132" s="29"/>
      <c r="T2132" s="29"/>
      <c r="U2132" s="31"/>
      <c r="V2132" s="31"/>
      <c r="W2132" s="31"/>
      <c r="X2132" s="31"/>
      <c r="Y2132" s="31"/>
    </row>
    <row r="2133" spans="1:25" x14ac:dyDescent="0.2">
      <c r="A2133" s="29"/>
      <c r="B2133" s="29"/>
      <c r="C2133" s="29"/>
      <c r="D2133" s="29"/>
      <c r="E2133" s="29"/>
      <c r="F2133" s="30"/>
      <c r="G2133" s="30"/>
      <c r="H2133" s="30"/>
      <c r="I2133" s="30"/>
      <c r="J2133" s="30"/>
      <c r="K2133" s="30"/>
      <c r="L2133" s="29"/>
      <c r="M2133" s="29"/>
      <c r="N2133" s="29"/>
      <c r="O2133" s="29"/>
      <c r="P2133" s="29"/>
      <c r="Q2133" s="29"/>
      <c r="R2133" s="29"/>
      <c r="S2133" s="29"/>
      <c r="T2133" s="29"/>
      <c r="U2133" s="31"/>
      <c r="V2133" s="31"/>
      <c r="W2133" s="31"/>
      <c r="X2133" s="31"/>
      <c r="Y2133" s="31"/>
    </row>
    <row r="2134" spans="1:25" x14ac:dyDescent="0.2">
      <c r="A2134" s="29"/>
      <c r="B2134" s="29"/>
      <c r="C2134" s="29"/>
      <c r="D2134" s="29"/>
      <c r="E2134" s="29"/>
      <c r="F2134" s="30"/>
      <c r="G2134" s="30"/>
      <c r="H2134" s="30"/>
      <c r="I2134" s="30"/>
      <c r="J2134" s="30"/>
      <c r="K2134" s="30"/>
      <c r="L2134" s="29"/>
      <c r="M2134" s="29"/>
      <c r="N2134" s="29"/>
      <c r="O2134" s="29"/>
      <c r="P2134" s="29"/>
      <c r="Q2134" s="29"/>
      <c r="R2134" s="29"/>
      <c r="S2134" s="29"/>
      <c r="T2134" s="29"/>
      <c r="U2134" s="31"/>
      <c r="V2134" s="31"/>
      <c r="W2134" s="31"/>
      <c r="X2134" s="31"/>
      <c r="Y2134" s="31"/>
    </row>
    <row r="2135" spans="1:25" x14ac:dyDescent="0.2">
      <c r="A2135" s="29"/>
      <c r="B2135" s="29"/>
      <c r="C2135" s="29"/>
      <c r="D2135" s="29"/>
      <c r="E2135" s="29"/>
      <c r="F2135" s="30"/>
      <c r="G2135" s="30"/>
      <c r="H2135" s="30"/>
      <c r="I2135" s="30"/>
      <c r="J2135" s="30"/>
      <c r="K2135" s="30"/>
      <c r="L2135" s="29"/>
      <c r="M2135" s="29"/>
      <c r="N2135" s="29"/>
      <c r="O2135" s="29"/>
      <c r="P2135" s="29"/>
      <c r="Q2135" s="29"/>
      <c r="R2135" s="29"/>
      <c r="S2135" s="29"/>
      <c r="T2135" s="29"/>
      <c r="U2135" s="31"/>
      <c r="V2135" s="31"/>
      <c r="W2135" s="31"/>
      <c r="X2135" s="31"/>
      <c r="Y2135" s="31"/>
    </row>
    <row r="2136" spans="1:25" x14ac:dyDescent="0.2">
      <c r="A2136" s="29"/>
      <c r="B2136" s="29"/>
      <c r="C2136" s="29"/>
      <c r="D2136" s="29"/>
      <c r="E2136" s="29"/>
      <c r="F2136" s="30"/>
      <c r="G2136" s="30"/>
      <c r="H2136" s="30"/>
      <c r="I2136" s="30"/>
      <c r="J2136" s="30"/>
      <c r="K2136" s="30"/>
      <c r="L2136" s="29"/>
      <c r="M2136" s="29"/>
      <c r="N2136" s="29"/>
      <c r="O2136" s="29"/>
      <c r="P2136" s="29"/>
      <c r="Q2136" s="29"/>
      <c r="R2136" s="29"/>
      <c r="S2136" s="29"/>
      <c r="T2136" s="29"/>
      <c r="U2136" s="31"/>
      <c r="V2136" s="31"/>
      <c r="W2136" s="31"/>
      <c r="X2136" s="31"/>
      <c r="Y2136" s="31"/>
    </row>
    <row r="2137" spans="1:25" x14ac:dyDescent="0.2">
      <c r="A2137" s="29"/>
      <c r="B2137" s="29"/>
      <c r="C2137" s="29"/>
      <c r="D2137" s="29"/>
      <c r="E2137" s="29"/>
      <c r="F2137" s="30"/>
      <c r="G2137" s="30"/>
      <c r="H2137" s="30"/>
      <c r="I2137" s="30"/>
      <c r="J2137" s="30"/>
      <c r="K2137" s="30"/>
      <c r="L2137" s="29"/>
      <c r="M2137" s="29"/>
      <c r="N2137" s="29"/>
      <c r="O2137" s="29"/>
      <c r="P2137" s="29"/>
      <c r="Q2137" s="29"/>
      <c r="R2137" s="29"/>
      <c r="S2137" s="29"/>
      <c r="T2137" s="29"/>
      <c r="U2137" s="31"/>
      <c r="V2137" s="31"/>
      <c r="W2137" s="31"/>
      <c r="X2137" s="31"/>
      <c r="Y2137" s="31"/>
    </row>
    <row r="2138" spans="1:25" x14ac:dyDescent="0.2">
      <c r="A2138" s="29"/>
      <c r="B2138" s="29"/>
      <c r="C2138" s="29"/>
      <c r="D2138" s="29"/>
      <c r="E2138" s="29"/>
      <c r="F2138" s="30"/>
      <c r="G2138" s="30"/>
      <c r="H2138" s="30"/>
      <c r="I2138" s="30"/>
      <c r="J2138" s="30"/>
      <c r="K2138" s="30"/>
      <c r="L2138" s="29"/>
      <c r="M2138" s="29"/>
      <c r="N2138" s="29"/>
      <c r="O2138" s="29"/>
      <c r="P2138" s="29"/>
      <c r="Q2138" s="29"/>
      <c r="R2138" s="29"/>
      <c r="S2138" s="29"/>
      <c r="T2138" s="29"/>
      <c r="U2138" s="31"/>
      <c r="V2138" s="31"/>
      <c r="W2138" s="31"/>
      <c r="X2138" s="31"/>
      <c r="Y2138" s="31"/>
    </row>
    <row r="2139" spans="1:25" x14ac:dyDescent="0.2">
      <c r="A2139" s="29"/>
      <c r="B2139" s="29"/>
      <c r="C2139" s="29"/>
      <c r="D2139" s="29"/>
      <c r="E2139" s="29"/>
      <c r="F2139" s="30"/>
      <c r="G2139" s="30"/>
      <c r="H2139" s="30"/>
      <c r="I2139" s="30"/>
      <c r="J2139" s="30"/>
      <c r="K2139" s="30"/>
      <c r="L2139" s="29"/>
      <c r="M2139" s="29"/>
      <c r="N2139" s="29"/>
      <c r="O2139" s="29"/>
      <c r="P2139" s="29"/>
      <c r="Q2139" s="29"/>
      <c r="R2139" s="29"/>
      <c r="S2139" s="29"/>
      <c r="T2139" s="29"/>
      <c r="U2139" s="31"/>
      <c r="V2139" s="31"/>
      <c r="W2139" s="31"/>
      <c r="X2139" s="31"/>
      <c r="Y2139" s="31"/>
    </row>
    <row r="2140" spans="1:25" x14ac:dyDescent="0.2">
      <c r="A2140" s="29"/>
      <c r="B2140" s="29"/>
      <c r="C2140" s="29"/>
      <c r="D2140" s="29"/>
      <c r="E2140" s="29"/>
      <c r="F2140" s="30"/>
      <c r="G2140" s="30"/>
      <c r="H2140" s="30"/>
      <c r="I2140" s="30"/>
      <c r="J2140" s="30"/>
      <c r="K2140" s="30"/>
      <c r="L2140" s="29"/>
      <c r="M2140" s="29"/>
      <c r="N2140" s="29"/>
      <c r="O2140" s="29"/>
      <c r="P2140" s="29"/>
      <c r="Q2140" s="29"/>
      <c r="R2140" s="29"/>
      <c r="S2140" s="29"/>
      <c r="T2140" s="29"/>
      <c r="U2140" s="31"/>
      <c r="V2140" s="31"/>
      <c r="W2140" s="31"/>
      <c r="X2140" s="31"/>
      <c r="Y2140" s="31"/>
    </row>
    <row r="2141" spans="1:25" x14ac:dyDescent="0.2">
      <c r="A2141" s="29"/>
      <c r="B2141" s="29"/>
      <c r="C2141" s="29"/>
      <c r="D2141" s="29"/>
      <c r="E2141" s="29"/>
      <c r="F2141" s="30"/>
      <c r="G2141" s="30"/>
      <c r="H2141" s="30"/>
      <c r="I2141" s="30"/>
      <c r="J2141" s="30"/>
      <c r="K2141" s="30"/>
      <c r="L2141" s="29"/>
      <c r="M2141" s="29"/>
      <c r="N2141" s="29"/>
      <c r="O2141" s="29"/>
      <c r="P2141" s="29"/>
      <c r="Q2141" s="29"/>
      <c r="R2141" s="29"/>
      <c r="S2141" s="29"/>
      <c r="T2141" s="29"/>
      <c r="U2141" s="31"/>
      <c r="V2141" s="31"/>
      <c r="W2141" s="31"/>
      <c r="X2141" s="31"/>
      <c r="Y2141" s="31"/>
    </row>
    <row r="2142" spans="1:25" x14ac:dyDescent="0.2">
      <c r="A2142" s="29"/>
      <c r="B2142" s="29"/>
      <c r="C2142" s="29"/>
      <c r="D2142" s="29"/>
      <c r="E2142" s="29"/>
      <c r="F2142" s="30"/>
      <c r="G2142" s="30"/>
      <c r="H2142" s="30"/>
      <c r="I2142" s="30"/>
      <c r="J2142" s="30"/>
      <c r="K2142" s="30"/>
      <c r="L2142" s="29"/>
      <c r="M2142" s="29"/>
      <c r="N2142" s="29"/>
      <c r="O2142" s="29"/>
      <c r="P2142" s="29"/>
      <c r="Q2142" s="29"/>
      <c r="R2142" s="29"/>
      <c r="S2142" s="29"/>
      <c r="T2142" s="29"/>
      <c r="U2142" s="31"/>
      <c r="V2142" s="31"/>
      <c r="W2142" s="31"/>
      <c r="X2142" s="31"/>
      <c r="Y2142" s="31"/>
    </row>
    <row r="2143" spans="1:25" x14ac:dyDescent="0.2">
      <c r="A2143" s="29"/>
      <c r="B2143" s="29"/>
      <c r="C2143" s="29"/>
      <c r="D2143" s="29"/>
      <c r="E2143" s="29"/>
      <c r="F2143" s="30"/>
      <c r="G2143" s="30"/>
      <c r="H2143" s="30"/>
      <c r="I2143" s="30"/>
      <c r="J2143" s="30"/>
      <c r="K2143" s="30"/>
      <c r="L2143" s="29"/>
      <c r="M2143" s="29"/>
      <c r="N2143" s="29"/>
      <c r="O2143" s="29"/>
      <c r="P2143" s="29"/>
      <c r="Q2143" s="29"/>
      <c r="R2143" s="29"/>
      <c r="S2143" s="29"/>
      <c r="T2143" s="29"/>
      <c r="U2143" s="31"/>
      <c r="V2143" s="31"/>
      <c r="W2143" s="31"/>
      <c r="X2143" s="31"/>
      <c r="Y2143" s="31"/>
    </row>
    <row r="2144" spans="1:25" x14ac:dyDescent="0.2">
      <c r="A2144" s="29"/>
      <c r="B2144" s="29"/>
      <c r="C2144" s="29"/>
      <c r="D2144" s="29"/>
      <c r="E2144" s="29"/>
      <c r="F2144" s="30"/>
      <c r="G2144" s="30"/>
      <c r="H2144" s="30"/>
      <c r="I2144" s="30"/>
      <c r="J2144" s="30"/>
      <c r="K2144" s="30"/>
      <c r="L2144" s="29"/>
      <c r="M2144" s="29"/>
      <c r="N2144" s="29"/>
      <c r="O2144" s="29"/>
      <c r="P2144" s="29"/>
      <c r="Q2144" s="29"/>
      <c r="R2144" s="29"/>
      <c r="S2144" s="29"/>
      <c r="T2144" s="29"/>
      <c r="U2144" s="31"/>
      <c r="V2144" s="31"/>
      <c r="W2144" s="31"/>
      <c r="X2144" s="31"/>
      <c r="Y2144" s="31"/>
    </row>
    <row r="2145" spans="1:25" x14ac:dyDescent="0.2">
      <c r="A2145" s="29"/>
      <c r="B2145" s="29"/>
      <c r="C2145" s="29"/>
      <c r="D2145" s="29"/>
      <c r="E2145" s="29"/>
      <c r="F2145" s="30"/>
      <c r="G2145" s="30"/>
      <c r="H2145" s="30"/>
      <c r="I2145" s="30"/>
      <c r="J2145" s="30"/>
      <c r="K2145" s="30"/>
      <c r="L2145" s="29"/>
      <c r="M2145" s="29"/>
      <c r="N2145" s="29"/>
      <c r="O2145" s="29"/>
      <c r="P2145" s="29"/>
      <c r="Q2145" s="29"/>
      <c r="R2145" s="29"/>
      <c r="S2145" s="29"/>
      <c r="T2145" s="29"/>
      <c r="U2145" s="31"/>
      <c r="V2145" s="31"/>
      <c r="W2145" s="31"/>
      <c r="X2145" s="31"/>
      <c r="Y2145" s="31"/>
    </row>
    <row r="2146" spans="1:25" x14ac:dyDescent="0.2">
      <c r="A2146" s="29"/>
      <c r="B2146" s="29"/>
      <c r="C2146" s="29"/>
      <c r="D2146" s="29"/>
      <c r="E2146" s="29"/>
      <c r="F2146" s="30"/>
      <c r="G2146" s="30"/>
      <c r="H2146" s="30"/>
      <c r="I2146" s="30"/>
      <c r="J2146" s="30"/>
      <c r="K2146" s="30"/>
      <c r="L2146" s="29"/>
      <c r="M2146" s="29"/>
      <c r="N2146" s="29"/>
      <c r="O2146" s="29"/>
      <c r="P2146" s="29"/>
      <c r="Q2146" s="29"/>
      <c r="R2146" s="29"/>
      <c r="S2146" s="29"/>
      <c r="T2146" s="29"/>
      <c r="U2146" s="31"/>
      <c r="V2146" s="31"/>
      <c r="W2146" s="31"/>
      <c r="X2146" s="31"/>
      <c r="Y2146" s="31"/>
    </row>
    <row r="2147" spans="1:25" x14ac:dyDescent="0.2">
      <c r="A2147" s="29"/>
      <c r="B2147" s="29"/>
      <c r="C2147" s="29"/>
      <c r="D2147" s="29"/>
      <c r="E2147" s="29"/>
      <c r="F2147" s="30"/>
      <c r="G2147" s="30"/>
      <c r="H2147" s="30"/>
      <c r="I2147" s="30"/>
      <c r="J2147" s="30"/>
      <c r="K2147" s="30"/>
      <c r="L2147" s="29"/>
      <c r="M2147" s="29"/>
      <c r="N2147" s="29"/>
      <c r="O2147" s="29"/>
      <c r="P2147" s="29"/>
      <c r="Q2147" s="29"/>
      <c r="R2147" s="29"/>
      <c r="S2147" s="29"/>
      <c r="T2147" s="29"/>
      <c r="U2147" s="31"/>
      <c r="V2147" s="31"/>
      <c r="W2147" s="31"/>
      <c r="X2147" s="31"/>
      <c r="Y2147" s="31"/>
    </row>
    <row r="2148" spans="1:25" x14ac:dyDescent="0.2">
      <c r="A2148" s="29"/>
      <c r="B2148" s="29"/>
      <c r="C2148" s="29"/>
      <c r="D2148" s="29"/>
      <c r="E2148" s="29"/>
      <c r="F2148" s="30"/>
      <c r="G2148" s="30"/>
      <c r="H2148" s="30"/>
      <c r="I2148" s="30"/>
      <c r="J2148" s="30"/>
      <c r="K2148" s="30"/>
      <c r="L2148" s="29"/>
      <c r="M2148" s="29"/>
      <c r="N2148" s="29"/>
      <c r="O2148" s="29"/>
      <c r="P2148" s="29"/>
      <c r="Q2148" s="29"/>
      <c r="R2148" s="29"/>
      <c r="S2148" s="29"/>
      <c r="T2148" s="29"/>
      <c r="U2148" s="31"/>
      <c r="V2148" s="31"/>
      <c r="W2148" s="31"/>
      <c r="X2148" s="31"/>
      <c r="Y2148" s="31"/>
    </row>
    <row r="2149" spans="1:25" x14ac:dyDescent="0.2">
      <c r="A2149" s="29"/>
      <c r="B2149" s="29"/>
      <c r="C2149" s="29"/>
      <c r="D2149" s="29"/>
      <c r="E2149" s="29"/>
      <c r="F2149" s="30"/>
      <c r="G2149" s="30"/>
      <c r="H2149" s="30"/>
      <c r="I2149" s="30"/>
      <c r="J2149" s="30"/>
      <c r="K2149" s="30"/>
      <c r="L2149" s="29"/>
      <c r="M2149" s="29"/>
      <c r="N2149" s="29"/>
      <c r="O2149" s="29"/>
      <c r="P2149" s="29"/>
      <c r="Q2149" s="29"/>
      <c r="R2149" s="29"/>
      <c r="S2149" s="29"/>
      <c r="T2149" s="29"/>
      <c r="U2149" s="31"/>
      <c r="V2149" s="31"/>
      <c r="W2149" s="31"/>
      <c r="X2149" s="31"/>
      <c r="Y2149" s="31"/>
    </row>
    <row r="2150" spans="1:25" x14ac:dyDescent="0.2">
      <c r="A2150" s="29"/>
      <c r="B2150" s="29"/>
      <c r="C2150" s="29"/>
      <c r="D2150" s="29"/>
      <c r="E2150" s="29"/>
      <c r="F2150" s="30"/>
      <c r="G2150" s="30"/>
      <c r="H2150" s="30"/>
      <c r="I2150" s="30"/>
      <c r="J2150" s="30"/>
      <c r="K2150" s="30"/>
      <c r="L2150" s="29"/>
      <c r="M2150" s="29"/>
      <c r="N2150" s="29"/>
      <c r="O2150" s="29"/>
      <c r="P2150" s="29"/>
      <c r="Q2150" s="29"/>
      <c r="R2150" s="29"/>
      <c r="S2150" s="29"/>
      <c r="T2150" s="29"/>
      <c r="U2150" s="31"/>
      <c r="V2150" s="31"/>
      <c r="W2150" s="31"/>
      <c r="X2150" s="31"/>
      <c r="Y2150" s="31"/>
    </row>
    <row r="2151" spans="1:25" x14ac:dyDescent="0.2">
      <c r="A2151" s="29"/>
      <c r="B2151" s="29"/>
      <c r="C2151" s="29"/>
      <c r="D2151" s="29"/>
      <c r="E2151" s="29"/>
      <c r="F2151" s="30"/>
      <c r="G2151" s="30"/>
      <c r="H2151" s="30"/>
      <c r="I2151" s="30"/>
      <c r="J2151" s="30"/>
      <c r="K2151" s="30"/>
      <c r="L2151" s="29"/>
      <c r="M2151" s="29"/>
      <c r="N2151" s="29"/>
      <c r="O2151" s="29"/>
      <c r="P2151" s="29"/>
      <c r="Q2151" s="29"/>
      <c r="R2151" s="29"/>
      <c r="S2151" s="29"/>
      <c r="T2151" s="29"/>
      <c r="U2151" s="31"/>
      <c r="V2151" s="31"/>
      <c r="W2151" s="31"/>
      <c r="X2151" s="31"/>
      <c r="Y2151" s="31"/>
    </row>
    <row r="2152" spans="1:25" x14ac:dyDescent="0.2">
      <c r="A2152" s="29"/>
      <c r="B2152" s="29"/>
      <c r="C2152" s="29"/>
      <c r="D2152" s="29"/>
      <c r="E2152" s="29"/>
      <c r="F2152" s="30"/>
      <c r="G2152" s="30"/>
      <c r="H2152" s="30"/>
      <c r="I2152" s="30"/>
      <c r="J2152" s="30"/>
      <c r="K2152" s="30"/>
      <c r="L2152" s="29"/>
      <c r="M2152" s="29"/>
      <c r="N2152" s="29"/>
      <c r="O2152" s="29"/>
      <c r="P2152" s="29"/>
      <c r="Q2152" s="29"/>
      <c r="R2152" s="29"/>
      <c r="S2152" s="29"/>
      <c r="T2152" s="29"/>
      <c r="U2152" s="31"/>
      <c r="V2152" s="31"/>
      <c r="W2152" s="31"/>
      <c r="X2152" s="31"/>
      <c r="Y2152" s="31"/>
    </row>
    <row r="2153" spans="1:25" x14ac:dyDescent="0.2">
      <c r="A2153" s="29"/>
      <c r="B2153" s="29"/>
      <c r="C2153" s="29"/>
      <c r="D2153" s="29"/>
      <c r="E2153" s="29"/>
      <c r="F2153" s="30"/>
      <c r="G2153" s="30"/>
      <c r="H2153" s="30"/>
      <c r="I2153" s="30"/>
      <c r="J2153" s="30"/>
      <c r="K2153" s="30"/>
      <c r="L2153" s="29"/>
      <c r="M2153" s="29"/>
      <c r="N2153" s="29"/>
      <c r="O2153" s="29"/>
      <c r="P2153" s="29"/>
      <c r="Q2153" s="29"/>
      <c r="R2153" s="29"/>
      <c r="S2153" s="29"/>
      <c r="T2153" s="29"/>
      <c r="U2153" s="31"/>
      <c r="V2153" s="31"/>
      <c r="W2153" s="31"/>
      <c r="X2153" s="31"/>
      <c r="Y2153" s="31"/>
    </row>
    <row r="2154" spans="1:25" x14ac:dyDescent="0.2">
      <c r="A2154" s="29"/>
      <c r="B2154" s="29"/>
      <c r="C2154" s="29"/>
      <c r="D2154" s="29"/>
      <c r="E2154" s="29"/>
      <c r="F2154" s="30"/>
      <c r="G2154" s="30"/>
      <c r="H2154" s="30"/>
      <c r="I2154" s="30"/>
      <c r="J2154" s="30"/>
      <c r="K2154" s="30"/>
      <c r="L2154" s="29"/>
      <c r="M2154" s="29"/>
      <c r="N2154" s="29"/>
      <c r="O2154" s="29"/>
      <c r="P2154" s="29"/>
      <c r="Q2154" s="29"/>
      <c r="R2154" s="29"/>
      <c r="S2154" s="29"/>
      <c r="T2154" s="29"/>
      <c r="U2154" s="31"/>
      <c r="V2154" s="31"/>
      <c r="W2154" s="31"/>
      <c r="X2154" s="31"/>
      <c r="Y2154" s="31"/>
    </row>
    <row r="2155" spans="1:25" x14ac:dyDescent="0.2">
      <c r="A2155" s="29"/>
      <c r="B2155" s="29"/>
      <c r="C2155" s="29"/>
      <c r="D2155" s="29"/>
      <c r="E2155" s="29"/>
      <c r="F2155" s="30"/>
      <c r="G2155" s="30"/>
      <c r="H2155" s="30"/>
      <c r="I2155" s="30"/>
      <c r="J2155" s="30"/>
      <c r="K2155" s="30"/>
      <c r="L2155" s="29"/>
      <c r="M2155" s="29"/>
      <c r="N2155" s="29"/>
      <c r="O2155" s="29"/>
      <c r="P2155" s="29"/>
      <c r="Q2155" s="29"/>
      <c r="R2155" s="29"/>
      <c r="S2155" s="29"/>
      <c r="T2155" s="29"/>
      <c r="U2155" s="31"/>
      <c r="V2155" s="31"/>
      <c r="W2155" s="31"/>
      <c r="X2155" s="31"/>
      <c r="Y2155" s="31"/>
    </row>
    <row r="2156" spans="1:25" x14ac:dyDescent="0.2">
      <c r="A2156" s="29"/>
      <c r="B2156" s="29"/>
      <c r="C2156" s="29"/>
      <c r="D2156" s="29"/>
      <c r="E2156" s="29"/>
      <c r="F2156" s="30"/>
      <c r="G2156" s="30"/>
      <c r="H2156" s="30"/>
      <c r="I2156" s="30"/>
      <c r="J2156" s="30"/>
      <c r="K2156" s="30"/>
      <c r="L2156" s="29"/>
      <c r="M2156" s="29"/>
      <c r="N2156" s="29"/>
      <c r="O2156" s="29"/>
      <c r="P2156" s="29"/>
      <c r="Q2156" s="29"/>
      <c r="R2156" s="29"/>
      <c r="S2156" s="29"/>
      <c r="T2156" s="29"/>
      <c r="U2156" s="31"/>
      <c r="V2156" s="31"/>
      <c r="W2156" s="31"/>
      <c r="X2156" s="31"/>
      <c r="Y2156" s="31"/>
    </row>
    <row r="2157" spans="1:25" x14ac:dyDescent="0.2">
      <c r="A2157" s="29"/>
      <c r="B2157" s="29"/>
      <c r="C2157" s="29"/>
      <c r="D2157" s="29"/>
      <c r="E2157" s="29"/>
      <c r="F2157" s="30"/>
      <c r="G2157" s="30"/>
      <c r="H2157" s="30"/>
      <c r="I2157" s="30"/>
      <c r="J2157" s="30"/>
      <c r="K2157" s="30"/>
      <c r="L2157" s="29"/>
      <c r="M2157" s="29"/>
      <c r="N2157" s="29"/>
      <c r="O2157" s="29"/>
      <c r="P2157" s="29"/>
      <c r="Q2157" s="29"/>
      <c r="R2157" s="29"/>
      <c r="S2157" s="29"/>
      <c r="T2157" s="29"/>
      <c r="U2157" s="31"/>
      <c r="V2157" s="31"/>
      <c r="W2157" s="31"/>
      <c r="X2157" s="31"/>
      <c r="Y2157" s="31"/>
    </row>
    <row r="2158" spans="1:25" x14ac:dyDescent="0.2">
      <c r="A2158" s="29"/>
      <c r="B2158" s="29"/>
      <c r="C2158" s="29"/>
      <c r="D2158" s="29"/>
      <c r="E2158" s="29"/>
      <c r="F2158" s="30"/>
      <c r="G2158" s="30"/>
      <c r="H2158" s="30"/>
      <c r="I2158" s="30"/>
      <c r="J2158" s="30"/>
      <c r="K2158" s="30"/>
      <c r="L2158" s="29"/>
      <c r="M2158" s="29"/>
      <c r="N2158" s="29"/>
      <c r="O2158" s="29"/>
      <c r="P2158" s="29"/>
      <c r="Q2158" s="29"/>
      <c r="R2158" s="29"/>
      <c r="S2158" s="29"/>
      <c r="T2158" s="29"/>
      <c r="U2158" s="31"/>
      <c r="V2158" s="31"/>
      <c r="W2158" s="31"/>
      <c r="X2158" s="31"/>
      <c r="Y2158" s="31"/>
    </row>
    <row r="2159" spans="1:25" x14ac:dyDescent="0.2">
      <c r="A2159" s="29"/>
      <c r="B2159" s="29"/>
      <c r="C2159" s="29"/>
      <c r="D2159" s="29"/>
      <c r="E2159" s="29"/>
      <c r="F2159" s="30"/>
      <c r="G2159" s="30"/>
      <c r="H2159" s="30"/>
      <c r="I2159" s="30"/>
      <c r="J2159" s="30"/>
      <c r="K2159" s="30"/>
      <c r="L2159" s="29"/>
      <c r="M2159" s="29"/>
      <c r="N2159" s="29"/>
      <c r="O2159" s="29"/>
      <c r="P2159" s="29"/>
      <c r="Q2159" s="29"/>
      <c r="R2159" s="29"/>
      <c r="S2159" s="29"/>
      <c r="T2159" s="29"/>
      <c r="U2159" s="31"/>
      <c r="V2159" s="31"/>
      <c r="W2159" s="31"/>
      <c r="X2159" s="31"/>
      <c r="Y2159" s="31"/>
    </row>
    <row r="2160" spans="1:25" x14ac:dyDescent="0.2">
      <c r="A2160" s="29"/>
      <c r="B2160" s="29"/>
      <c r="C2160" s="29"/>
      <c r="D2160" s="29"/>
      <c r="E2160" s="29"/>
      <c r="F2160" s="30"/>
      <c r="G2160" s="30"/>
      <c r="H2160" s="30"/>
      <c r="I2160" s="30"/>
      <c r="J2160" s="30"/>
      <c r="K2160" s="30"/>
      <c r="L2160" s="29"/>
      <c r="M2160" s="29"/>
      <c r="N2160" s="29"/>
      <c r="O2160" s="29"/>
      <c r="P2160" s="29"/>
      <c r="Q2160" s="29"/>
      <c r="R2160" s="29"/>
      <c r="S2160" s="29"/>
      <c r="T2160" s="29"/>
      <c r="U2160" s="31"/>
      <c r="V2160" s="31"/>
      <c r="W2160" s="31"/>
      <c r="X2160" s="31"/>
      <c r="Y2160" s="31"/>
    </row>
    <row r="2161" spans="1:25" x14ac:dyDescent="0.2">
      <c r="A2161" s="29"/>
      <c r="B2161" s="29"/>
      <c r="C2161" s="29"/>
      <c r="D2161" s="29"/>
      <c r="E2161" s="29"/>
      <c r="F2161" s="30"/>
      <c r="G2161" s="30"/>
      <c r="H2161" s="30"/>
      <c r="I2161" s="30"/>
      <c r="J2161" s="30"/>
      <c r="K2161" s="30"/>
      <c r="L2161" s="29"/>
      <c r="M2161" s="29"/>
      <c r="N2161" s="29"/>
      <c r="O2161" s="29"/>
      <c r="P2161" s="29"/>
      <c r="Q2161" s="29"/>
      <c r="R2161" s="29"/>
      <c r="S2161" s="29"/>
      <c r="T2161" s="29"/>
      <c r="U2161" s="31"/>
      <c r="V2161" s="31"/>
      <c r="W2161" s="31"/>
      <c r="X2161" s="31"/>
      <c r="Y2161" s="31"/>
    </row>
    <row r="2162" spans="1:25" x14ac:dyDescent="0.2">
      <c r="A2162" s="29"/>
      <c r="B2162" s="29"/>
      <c r="C2162" s="29"/>
      <c r="D2162" s="29"/>
      <c r="E2162" s="29"/>
      <c r="F2162" s="30"/>
      <c r="G2162" s="30"/>
      <c r="H2162" s="30"/>
      <c r="I2162" s="30"/>
      <c r="J2162" s="30"/>
      <c r="K2162" s="30"/>
      <c r="L2162" s="29"/>
      <c r="M2162" s="29"/>
      <c r="N2162" s="29"/>
      <c r="O2162" s="29"/>
      <c r="P2162" s="29"/>
      <c r="Q2162" s="29"/>
      <c r="R2162" s="29"/>
      <c r="S2162" s="29"/>
      <c r="T2162" s="29"/>
      <c r="U2162" s="31"/>
      <c r="V2162" s="31"/>
      <c r="W2162" s="31"/>
      <c r="X2162" s="31"/>
      <c r="Y2162" s="31"/>
    </row>
    <row r="2163" spans="1:25" x14ac:dyDescent="0.2">
      <c r="A2163" s="29"/>
      <c r="B2163" s="29"/>
      <c r="C2163" s="29"/>
      <c r="D2163" s="29"/>
      <c r="E2163" s="29"/>
      <c r="F2163" s="30"/>
      <c r="G2163" s="30"/>
      <c r="H2163" s="30"/>
      <c r="I2163" s="30"/>
      <c r="J2163" s="30"/>
      <c r="K2163" s="30"/>
      <c r="L2163" s="29"/>
      <c r="M2163" s="29"/>
      <c r="N2163" s="29"/>
      <c r="O2163" s="29"/>
      <c r="P2163" s="29"/>
      <c r="Q2163" s="29"/>
      <c r="R2163" s="29"/>
      <c r="S2163" s="29"/>
      <c r="T2163" s="29"/>
      <c r="U2163" s="31"/>
      <c r="V2163" s="31"/>
      <c r="W2163" s="31"/>
      <c r="X2163" s="31"/>
      <c r="Y2163" s="31"/>
    </row>
    <row r="2164" spans="1:25" x14ac:dyDescent="0.2">
      <c r="A2164" s="29"/>
      <c r="B2164" s="29"/>
      <c r="C2164" s="29"/>
      <c r="D2164" s="29"/>
      <c r="E2164" s="29"/>
      <c r="F2164" s="30"/>
      <c r="G2164" s="30"/>
      <c r="H2164" s="30"/>
      <c r="I2164" s="30"/>
      <c r="J2164" s="30"/>
      <c r="K2164" s="30"/>
      <c r="L2164" s="29"/>
      <c r="M2164" s="29"/>
      <c r="N2164" s="29"/>
      <c r="O2164" s="29"/>
      <c r="P2164" s="29"/>
      <c r="Q2164" s="29"/>
      <c r="R2164" s="29"/>
      <c r="S2164" s="29"/>
      <c r="T2164" s="29"/>
      <c r="U2164" s="31"/>
      <c r="V2164" s="31"/>
      <c r="W2164" s="31"/>
      <c r="X2164" s="31"/>
      <c r="Y2164" s="31"/>
    </row>
    <row r="2165" spans="1:25" x14ac:dyDescent="0.2">
      <c r="A2165" s="29"/>
      <c r="B2165" s="29"/>
      <c r="C2165" s="29"/>
      <c r="D2165" s="29"/>
      <c r="E2165" s="29"/>
      <c r="F2165" s="30"/>
      <c r="G2165" s="30"/>
      <c r="H2165" s="30"/>
      <c r="I2165" s="30"/>
      <c r="J2165" s="30"/>
      <c r="K2165" s="30"/>
      <c r="L2165" s="29"/>
      <c r="M2165" s="29"/>
      <c r="N2165" s="29"/>
      <c r="O2165" s="29"/>
      <c r="P2165" s="29"/>
      <c r="Q2165" s="29"/>
      <c r="R2165" s="29"/>
      <c r="S2165" s="29"/>
      <c r="T2165" s="29"/>
      <c r="U2165" s="31"/>
      <c r="V2165" s="31"/>
      <c r="W2165" s="31"/>
      <c r="X2165" s="31"/>
      <c r="Y2165" s="31"/>
    </row>
    <row r="2166" spans="1:25" x14ac:dyDescent="0.2">
      <c r="A2166" s="29"/>
      <c r="B2166" s="29"/>
      <c r="C2166" s="29"/>
      <c r="D2166" s="29"/>
      <c r="E2166" s="29"/>
      <c r="F2166" s="30"/>
      <c r="G2166" s="30"/>
      <c r="H2166" s="30"/>
      <c r="I2166" s="30"/>
      <c r="J2166" s="30"/>
      <c r="K2166" s="30"/>
      <c r="L2166" s="29"/>
      <c r="M2166" s="29"/>
      <c r="N2166" s="29"/>
      <c r="O2166" s="29"/>
      <c r="P2166" s="29"/>
      <c r="Q2166" s="29"/>
      <c r="R2166" s="29"/>
      <c r="S2166" s="29"/>
      <c r="T2166" s="29"/>
      <c r="U2166" s="31"/>
      <c r="V2166" s="31"/>
      <c r="W2166" s="31"/>
      <c r="X2166" s="31"/>
      <c r="Y2166" s="31"/>
    </row>
    <row r="2167" spans="1:25" x14ac:dyDescent="0.2">
      <c r="A2167" s="29"/>
      <c r="B2167" s="29"/>
      <c r="C2167" s="29"/>
      <c r="D2167" s="29"/>
      <c r="E2167" s="29"/>
      <c r="F2167" s="30"/>
      <c r="G2167" s="30"/>
      <c r="H2167" s="30"/>
      <c r="I2167" s="30"/>
      <c r="J2167" s="30"/>
      <c r="K2167" s="30"/>
      <c r="L2167" s="29"/>
      <c r="M2167" s="29"/>
      <c r="N2167" s="29"/>
      <c r="O2167" s="29"/>
      <c r="P2167" s="29"/>
      <c r="Q2167" s="29"/>
      <c r="R2167" s="29"/>
      <c r="S2167" s="29"/>
      <c r="T2167" s="29"/>
      <c r="U2167" s="31"/>
      <c r="V2167" s="31"/>
      <c r="W2167" s="31"/>
      <c r="X2167" s="31"/>
      <c r="Y2167" s="31"/>
    </row>
    <row r="2168" spans="1:25" x14ac:dyDescent="0.2">
      <c r="A2168" s="29"/>
      <c r="B2168" s="29"/>
      <c r="C2168" s="29"/>
      <c r="D2168" s="29"/>
      <c r="E2168" s="29"/>
      <c r="F2168" s="30"/>
      <c r="G2168" s="30"/>
      <c r="H2168" s="30"/>
      <c r="I2168" s="30"/>
      <c r="J2168" s="30"/>
      <c r="K2168" s="30"/>
      <c r="L2168" s="29"/>
      <c r="M2168" s="29"/>
      <c r="N2168" s="29"/>
      <c r="O2168" s="29"/>
      <c r="P2168" s="29"/>
      <c r="Q2168" s="29"/>
      <c r="R2168" s="29"/>
      <c r="S2168" s="29"/>
      <c r="T2168" s="29"/>
      <c r="U2168" s="31"/>
      <c r="V2168" s="31"/>
      <c r="W2168" s="31"/>
      <c r="X2168" s="31"/>
      <c r="Y2168" s="31"/>
    </row>
    <row r="2169" spans="1:25" x14ac:dyDescent="0.2">
      <c r="A2169" s="29"/>
      <c r="B2169" s="29"/>
      <c r="C2169" s="29"/>
      <c r="D2169" s="29"/>
      <c r="E2169" s="29"/>
      <c r="F2169" s="30"/>
      <c r="G2169" s="30"/>
      <c r="H2169" s="30"/>
      <c r="I2169" s="30"/>
      <c r="J2169" s="30"/>
      <c r="K2169" s="30"/>
      <c r="L2169" s="29"/>
      <c r="M2169" s="29"/>
      <c r="N2169" s="29"/>
      <c r="O2169" s="29"/>
      <c r="P2169" s="29"/>
      <c r="Q2169" s="29"/>
      <c r="R2169" s="29"/>
      <c r="S2169" s="29"/>
      <c r="T2169" s="29"/>
      <c r="U2169" s="31"/>
      <c r="V2169" s="31"/>
      <c r="W2169" s="31"/>
      <c r="X2169" s="31"/>
      <c r="Y2169" s="31"/>
    </row>
    <row r="2170" spans="1:25" x14ac:dyDescent="0.2">
      <c r="A2170" s="29"/>
      <c r="B2170" s="29"/>
      <c r="C2170" s="29"/>
      <c r="D2170" s="29"/>
      <c r="E2170" s="29"/>
      <c r="F2170" s="30"/>
      <c r="G2170" s="30"/>
      <c r="H2170" s="30"/>
      <c r="I2170" s="30"/>
      <c r="J2170" s="30"/>
      <c r="K2170" s="30"/>
      <c r="L2170" s="29"/>
      <c r="M2170" s="29"/>
      <c r="N2170" s="29"/>
      <c r="O2170" s="29"/>
      <c r="P2170" s="29"/>
      <c r="Q2170" s="29"/>
      <c r="R2170" s="29"/>
      <c r="S2170" s="29"/>
      <c r="T2170" s="29"/>
      <c r="U2170" s="31"/>
      <c r="V2170" s="31"/>
      <c r="W2170" s="31"/>
      <c r="X2170" s="31"/>
      <c r="Y2170" s="31"/>
    </row>
    <row r="2171" spans="1:25" x14ac:dyDescent="0.2">
      <c r="A2171" s="29"/>
      <c r="B2171" s="29"/>
      <c r="C2171" s="29"/>
      <c r="D2171" s="29"/>
      <c r="E2171" s="29"/>
      <c r="F2171" s="30"/>
      <c r="G2171" s="30"/>
      <c r="H2171" s="30"/>
      <c r="I2171" s="30"/>
      <c r="J2171" s="30"/>
      <c r="K2171" s="30"/>
      <c r="L2171" s="29"/>
      <c r="M2171" s="29"/>
      <c r="N2171" s="29"/>
      <c r="O2171" s="29"/>
      <c r="P2171" s="29"/>
      <c r="Q2171" s="29"/>
      <c r="R2171" s="29"/>
      <c r="S2171" s="29"/>
      <c r="T2171" s="29"/>
      <c r="U2171" s="31"/>
      <c r="V2171" s="31"/>
      <c r="W2171" s="31"/>
      <c r="X2171" s="31"/>
      <c r="Y2171" s="31"/>
    </row>
    <row r="2172" spans="1:25" x14ac:dyDescent="0.2">
      <c r="A2172" s="29"/>
      <c r="B2172" s="29"/>
      <c r="C2172" s="29"/>
      <c r="D2172" s="29"/>
      <c r="E2172" s="29"/>
      <c r="F2172" s="30"/>
      <c r="G2172" s="30"/>
      <c r="H2172" s="30"/>
      <c r="I2172" s="30"/>
      <c r="J2172" s="30"/>
      <c r="K2172" s="30"/>
      <c r="L2172" s="29"/>
      <c r="M2172" s="29"/>
      <c r="N2172" s="29"/>
      <c r="O2172" s="29"/>
      <c r="P2172" s="29"/>
      <c r="Q2172" s="29"/>
      <c r="R2172" s="29"/>
      <c r="S2172" s="29"/>
      <c r="T2172" s="29"/>
      <c r="U2172" s="31"/>
      <c r="V2172" s="31"/>
      <c r="W2172" s="31"/>
      <c r="X2172" s="31"/>
      <c r="Y2172" s="31"/>
    </row>
    <row r="2173" spans="1:25" x14ac:dyDescent="0.2">
      <c r="A2173" s="29"/>
      <c r="B2173" s="29"/>
      <c r="C2173" s="29"/>
      <c r="D2173" s="29"/>
      <c r="E2173" s="29"/>
      <c r="F2173" s="30"/>
      <c r="G2173" s="30"/>
      <c r="H2173" s="30"/>
      <c r="I2173" s="30"/>
      <c r="J2173" s="30"/>
      <c r="K2173" s="30"/>
      <c r="L2173" s="29"/>
      <c r="M2173" s="29"/>
      <c r="N2173" s="29"/>
      <c r="O2173" s="29"/>
      <c r="P2173" s="29"/>
      <c r="Q2173" s="29"/>
      <c r="R2173" s="29"/>
      <c r="S2173" s="29"/>
      <c r="T2173" s="29"/>
      <c r="U2173" s="31"/>
      <c r="V2173" s="31"/>
      <c r="W2173" s="31"/>
      <c r="X2173" s="31"/>
      <c r="Y2173" s="31"/>
    </row>
    <row r="2174" spans="1:25" x14ac:dyDescent="0.2">
      <c r="A2174" s="29"/>
      <c r="B2174" s="29"/>
      <c r="C2174" s="29"/>
      <c r="D2174" s="29"/>
      <c r="E2174" s="29"/>
      <c r="F2174" s="30"/>
      <c r="G2174" s="30"/>
      <c r="H2174" s="30"/>
      <c r="I2174" s="30"/>
      <c r="J2174" s="30"/>
      <c r="K2174" s="30"/>
      <c r="L2174" s="29"/>
      <c r="M2174" s="29"/>
      <c r="N2174" s="29"/>
      <c r="O2174" s="29"/>
      <c r="P2174" s="29"/>
      <c r="Q2174" s="29"/>
      <c r="R2174" s="29"/>
      <c r="S2174" s="29"/>
      <c r="T2174" s="29"/>
      <c r="U2174" s="31"/>
      <c r="V2174" s="31"/>
      <c r="W2174" s="31"/>
      <c r="X2174" s="31"/>
      <c r="Y2174" s="31"/>
    </row>
    <row r="2175" spans="1:25" x14ac:dyDescent="0.2">
      <c r="A2175" s="29"/>
      <c r="B2175" s="29"/>
      <c r="C2175" s="29"/>
      <c r="D2175" s="29"/>
      <c r="E2175" s="29"/>
      <c r="F2175" s="30"/>
      <c r="G2175" s="30"/>
      <c r="H2175" s="30"/>
      <c r="I2175" s="30"/>
      <c r="J2175" s="30"/>
      <c r="K2175" s="30"/>
      <c r="L2175" s="29"/>
      <c r="M2175" s="29"/>
      <c r="N2175" s="29"/>
      <c r="O2175" s="29"/>
      <c r="P2175" s="29"/>
      <c r="Q2175" s="29"/>
      <c r="R2175" s="29"/>
      <c r="S2175" s="29"/>
      <c r="T2175" s="29"/>
      <c r="U2175" s="31"/>
      <c r="V2175" s="31"/>
      <c r="W2175" s="31"/>
      <c r="X2175" s="31"/>
      <c r="Y2175" s="31"/>
    </row>
    <row r="2176" spans="1:25" x14ac:dyDescent="0.2">
      <c r="A2176" s="29"/>
      <c r="B2176" s="29"/>
      <c r="C2176" s="29"/>
      <c r="D2176" s="29"/>
      <c r="E2176" s="29"/>
      <c r="F2176" s="30"/>
      <c r="G2176" s="30"/>
      <c r="H2176" s="30"/>
      <c r="I2176" s="30"/>
      <c r="J2176" s="30"/>
      <c r="K2176" s="30"/>
      <c r="L2176" s="29"/>
      <c r="M2176" s="29"/>
      <c r="N2176" s="29"/>
      <c r="O2176" s="29"/>
      <c r="P2176" s="29"/>
      <c r="Q2176" s="29"/>
      <c r="R2176" s="29"/>
      <c r="S2176" s="29"/>
      <c r="T2176" s="29"/>
      <c r="U2176" s="31"/>
      <c r="V2176" s="31"/>
      <c r="W2176" s="31"/>
      <c r="X2176" s="31"/>
      <c r="Y2176" s="31"/>
    </row>
    <row r="2177" spans="1:25" x14ac:dyDescent="0.2">
      <c r="A2177" s="29"/>
      <c r="B2177" s="29"/>
      <c r="C2177" s="29"/>
      <c r="D2177" s="29"/>
      <c r="E2177" s="29"/>
      <c r="F2177" s="30"/>
      <c r="G2177" s="30"/>
      <c r="H2177" s="30"/>
      <c r="I2177" s="30"/>
      <c r="J2177" s="30"/>
      <c r="K2177" s="30"/>
      <c r="L2177" s="29"/>
      <c r="M2177" s="29"/>
      <c r="N2177" s="29"/>
      <c r="O2177" s="29"/>
      <c r="P2177" s="29"/>
      <c r="Q2177" s="29"/>
      <c r="R2177" s="29"/>
      <c r="S2177" s="29"/>
      <c r="T2177" s="29"/>
      <c r="U2177" s="31"/>
      <c r="V2177" s="31"/>
      <c r="W2177" s="31"/>
      <c r="X2177" s="31"/>
      <c r="Y2177" s="31"/>
    </row>
    <row r="2178" spans="1:25" x14ac:dyDescent="0.2">
      <c r="A2178" s="29"/>
      <c r="B2178" s="29"/>
      <c r="C2178" s="29"/>
      <c r="D2178" s="29"/>
      <c r="E2178" s="29"/>
      <c r="F2178" s="30"/>
      <c r="G2178" s="30"/>
      <c r="H2178" s="30"/>
      <c r="I2178" s="30"/>
      <c r="J2178" s="30"/>
      <c r="K2178" s="30"/>
      <c r="L2178" s="29"/>
      <c r="M2178" s="29"/>
      <c r="N2178" s="29"/>
      <c r="O2178" s="29"/>
      <c r="P2178" s="29"/>
      <c r="Q2178" s="29"/>
      <c r="R2178" s="29"/>
      <c r="S2178" s="29"/>
      <c r="T2178" s="29"/>
      <c r="U2178" s="31"/>
      <c r="V2178" s="31"/>
      <c r="W2178" s="31"/>
      <c r="X2178" s="31"/>
      <c r="Y2178" s="31"/>
    </row>
    <row r="2179" spans="1:25" x14ac:dyDescent="0.2">
      <c r="A2179" s="29"/>
      <c r="B2179" s="29"/>
      <c r="C2179" s="29"/>
      <c r="D2179" s="29"/>
      <c r="E2179" s="29"/>
      <c r="F2179" s="30"/>
      <c r="G2179" s="30"/>
      <c r="H2179" s="30"/>
      <c r="I2179" s="30"/>
      <c r="J2179" s="30"/>
      <c r="K2179" s="30"/>
      <c r="L2179" s="29"/>
      <c r="M2179" s="29"/>
      <c r="N2179" s="29"/>
      <c r="O2179" s="29"/>
      <c r="P2179" s="29"/>
      <c r="Q2179" s="29"/>
      <c r="R2179" s="29"/>
      <c r="S2179" s="29"/>
      <c r="T2179" s="29"/>
      <c r="U2179" s="31"/>
      <c r="V2179" s="31"/>
      <c r="W2179" s="31"/>
      <c r="X2179" s="31"/>
      <c r="Y2179" s="31"/>
    </row>
    <row r="2180" spans="1:25" x14ac:dyDescent="0.2">
      <c r="A2180" s="29"/>
      <c r="B2180" s="29"/>
      <c r="C2180" s="29"/>
      <c r="D2180" s="29"/>
      <c r="E2180" s="29"/>
      <c r="F2180" s="30"/>
      <c r="G2180" s="30"/>
      <c r="H2180" s="30"/>
      <c r="I2180" s="30"/>
      <c r="J2180" s="30"/>
      <c r="K2180" s="30"/>
      <c r="L2180" s="29"/>
      <c r="M2180" s="29"/>
      <c r="N2180" s="29"/>
      <c r="O2180" s="29"/>
      <c r="P2180" s="29"/>
      <c r="Q2180" s="29"/>
      <c r="R2180" s="29"/>
      <c r="S2180" s="29"/>
      <c r="T2180" s="29"/>
      <c r="U2180" s="31"/>
      <c r="V2180" s="31"/>
      <c r="W2180" s="31"/>
      <c r="X2180" s="31"/>
      <c r="Y2180" s="31"/>
    </row>
    <row r="2181" spans="1:25" x14ac:dyDescent="0.2">
      <c r="A2181" s="29"/>
      <c r="B2181" s="29"/>
      <c r="C2181" s="29"/>
      <c r="D2181" s="29"/>
      <c r="E2181" s="29"/>
      <c r="F2181" s="30"/>
      <c r="G2181" s="30"/>
      <c r="H2181" s="30"/>
      <c r="I2181" s="30"/>
      <c r="J2181" s="30"/>
      <c r="K2181" s="30"/>
      <c r="L2181" s="29"/>
      <c r="M2181" s="29"/>
      <c r="N2181" s="29"/>
      <c r="O2181" s="29"/>
      <c r="P2181" s="29"/>
      <c r="Q2181" s="29"/>
      <c r="R2181" s="29"/>
      <c r="S2181" s="29"/>
      <c r="T2181" s="29"/>
      <c r="U2181" s="31"/>
      <c r="V2181" s="31"/>
      <c r="W2181" s="31"/>
      <c r="X2181" s="31"/>
      <c r="Y2181" s="31"/>
    </row>
    <row r="2182" spans="1:25" x14ac:dyDescent="0.2">
      <c r="A2182" s="29"/>
      <c r="B2182" s="29"/>
      <c r="C2182" s="29"/>
      <c r="D2182" s="29"/>
      <c r="E2182" s="29"/>
      <c r="F2182" s="30"/>
      <c r="G2182" s="30"/>
      <c r="H2182" s="30"/>
      <c r="I2182" s="30"/>
      <c r="J2182" s="30"/>
      <c r="K2182" s="30"/>
      <c r="L2182" s="29"/>
      <c r="M2182" s="29"/>
      <c r="N2182" s="29"/>
      <c r="O2182" s="29"/>
      <c r="P2182" s="29"/>
      <c r="Q2182" s="29"/>
      <c r="R2182" s="29"/>
      <c r="S2182" s="29"/>
      <c r="T2182" s="29"/>
      <c r="U2182" s="31"/>
      <c r="V2182" s="31"/>
      <c r="W2182" s="31"/>
      <c r="X2182" s="31"/>
      <c r="Y2182" s="31"/>
    </row>
    <row r="2183" spans="1:25" x14ac:dyDescent="0.2">
      <c r="A2183" s="29"/>
      <c r="B2183" s="29"/>
      <c r="C2183" s="29"/>
      <c r="D2183" s="29"/>
      <c r="E2183" s="29"/>
      <c r="F2183" s="30"/>
      <c r="G2183" s="30"/>
      <c r="H2183" s="30"/>
      <c r="I2183" s="30"/>
      <c r="J2183" s="30"/>
      <c r="K2183" s="30"/>
      <c r="L2183" s="29"/>
      <c r="M2183" s="29"/>
      <c r="N2183" s="29"/>
      <c r="O2183" s="29"/>
      <c r="P2183" s="29"/>
      <c r="Q2183" s="29"/>
      <c r="R2183" s="29"/>
      <c r="S2183" s="29"/>
      <c r="T2183" s="29"/>
      <c r="U2183" s="31"/>
      <c r="V2183" s="31"/>
      <c r="W2183" s="31"/>
      <c r="X2183" s="31"/>
      <c r="Y2183" s="31"/>
    </row>
    <row r="2184" spans="1:25" x14ac:dyDescent="0.2">
      <c r="A2184" s="29"/>
      <c r="B2184" s="29"/>
      <c r="C2184" s="29"/>
      <c r="D2184" s="29"/>
      <c r="E2184" s="29"/>
      <c r="F2184" s="30"/>
      <c r="G2184" s="30"/>
      <c r="H2184" s="30"/>
      <c r="I2184" s="30"/>
      <c r="J2184" s="30"/>
      <c r="K2184" s="30"/>
      <c r="L2184" s="29"/>
      <c r="M2184" s="29"/>
      <c r="N2184" s="29"/>
      <c r="O2184" s="29"/>
      <c r="P2184" s="29"/>
      <c r="Q2184" s="29"/>
      <c r="R2184" s="29"/>
      <c r="S2184" s="29"/>
      <c r="T2184" s="29"/>
      <c r="U2184" s="31"/>
      <c r="V2184" s="31"/>
      <c r="W2184" s="31"/>
      <c r="X2184" s="31"/>
      <c r="Y2184" s="31"/>
    </row>
    <row r="2185" spans="1:25" x14ac:dyDescent="0.2">
      <c r="A2185" s="29"/>
      <c r="B2185" s="29"/>
      <c r="C2185" s="29"/>
      <c r="D2185" s="29"/>
      <c r="E2185" s="29"/>
      <c r="F2185" s="30"/>
      <c r="G2185" s="30"/>
      <c r="H2185" s="30"/>
      <c r="I2185" s="30"/>
      <c r="J2185" s="30"/>
      <c r="K2185" s="30"/>
      <c r="L2185" s="29"/>
      <c r="M2185" s="29"/>
      <c r="N2185" s="29"/>
      <c r="O2185" s="29"/>
      <c r="P2185" s="29"/>
      <c r="Q2185" s="29"/>
      <c r="R2185" s="29"/>
      <c r="S2185" s="29"/>
      <c r="T2185" s="29"/>
      <c r="U2185" s="31"/>
      <c r="V2185" s="31"/>
      <c r="W2185" s="31"/>
      <c r="X2185" s="31"/>
      <c r="Y2185" s="31"/>
    </row>
    <row r="2186" spans="1:25" x14ac:dyDescent="0.2">
      <c r="A2186" s="29"/>
      <c r="B2186" s="29"/>
      <c r="C2186" s="29"/>
      <c r="D2186" s="29"/>
      <c r="E2186" s="29"/>
      <c r="F2186" s="30"/>
      <c r="G2186" s="30"/>
      <c r="H2186" s="30"/>
      <c r="I2186" s="30"/>
      <c r="J2186" s="30"/>
      <c r="K2186" s="30"/>
      <c r="L2186" s="29"/>
      <c r="M2186" s="29"/>
      <c r="N2186" s="29"/>
      <c r="O2186" s="29"/>
      <c r="P2186" s="29"/>
      <c r="Q2186" s="29"/>
      <c r="R2186" s="29"/>
      <c r="S2186" s="29"/>
      <c r="T2186" s="29"/>
      <c r="U2186" s="31"/>
      <c r="V2186" s="31"/>
      <c r="W2186" s="31"/>
      <c r="X2186" s="31"/>
      <c r="Y2186" s="31"/>
    </row>
    <row r="2187" spans="1:25" x14ac:dyDescent="0.2">
      <c r="A2187" s="29"/>
      <c r="B2187" s="29"/>
      <c r="C2187" s="29"/>
      <c r="D2187" s="29"/>
      <c r="E2187" s="29"/>
      <c r="F2187" s="30"/>
      <c r="G2187" s="30"/>
      <c r="H2187" s="30"/>
      <c r="I2187" s="30"/>
      <c r="J2187" s="30"/>
      <c r="K2187" s="30"/>
      <c r="L2187" s="29"/>
      <c r="M2187" s="29"/>
      <c r="N2187" s="29"/>
      <c r="O2187" s="29"/>
      <c r="P2187" s="29"/>
      <c r="Q2187" s="29"/>
      <c r="R2187" s="29"/>
      <c r="S2187" s="29"/>
      <c r="T2187" s="29"/>
      <c r="U2187" s="31"/>
      <c r="V2187" s="31"/>
      <c r="W2187" s="31"/>
      <c r="X2187" s="31"/>
      <c r="Y2187" s="31"/>
    </row>
    <row r="2188" spans="1:25" x14ac:dyDescent="0.2">
      <c r="A2188" s="29"/>
      <c r="B2188" s="29"/>
      <c r="C2188" s="29"/>
      <c r="D2188" s="29"/>
      <c r="E2188" s="29"/>
      <c r="F2188" s="30"/>
      <c r="G2188" s="30"/>
      <c r="H2188" s="30"/>
      <c r="I2188" s="30"/>
      <c r="J2188" s="30"/>
      <c r="K2188" s="30"/>
      <c r="L2188" s="29"/>
      <c r="M2188" s="29"/>
      <c r="N2188" s="29"/>
      <c r="O2188" s="29"/>
      <c r="P2188" s="29"/>
      <c r="Q2188" s="29"/>
      <c r="R2188" s="29"/>
      <c r="S2188" s="29"/>
      <c r="T2188" s="29"/>
      <c r="U2188" s="31"/>
      <c r="V2188" s="31"/>
      <c r="W2188" s="31"/>
      <c r="X2188" s="31"/>
      <c r="Y2188" s="31"/>
    </row>
    <row r="2189" spans="1:25" x14ac:dyDescent="0.2">
      <c r="A2189" s="29"/>
      <c r="B2189" s="29"/>
      <c r="C2189" s="29"/>
      <c r="D2189" s="29"/>
      <c r="E2189" s="29"/>
      <c r="F2189" s="30"/>
      <c r="G2189" s="30"/>
      <c r="H2189" s="30"/>
      <c r="I2189" s="30"/>
      <c r="J2189" s="30"/>
      <c r="K2189" s="30"/>
      <c r="L2189" s="29"/>
      <c r="M2189" s="29"/>
      <c r="N2189" s="29"/>
      <c r="O2189" s="29"/>
      <c r="P2189" s="29"/>
      <c r="Q2189" s="29"/>
      <c r="R2189" s="29"/>
      <c r="S2189" s="29"/>
      <c r="T2189" s="29"/>
      <c r="U2189" s="31"/>
      <c r="V2189" s="31"/>
      <c r="W2189" s="31"/>
      <c r="X2189" s="31"/>
      <c r="Y2189" s="31"/>
    </row>
    <row r="2190" spans="1:25" x14ac:dyDescent="0.2">
      <c r="A2190" s="29"/>
      <c r="B2190" s="29"/>
      <c r="C2190" s="29"/>
      <c r="D2190" s="29"/>
      <c r="E2190" s="29"/>
      <c r="F2190" s="30"/>
      <c r="G2190" s="30"/>
      <c r="H2190" s="30"/>
      <c r="I2190" s="30"/>
      <c r="J2190" s="30"/>
      <c r="K2190" s="30"/>
      <c r="L2190" s="29"/>
      <c r="M2190" s="29"/>
      <c r="N2190" s="29"/>
      <c r="O2190" s="29"/>
      <c r="P2190" s="29"/>
      <c r="Q2190" s="29"/>
      <c r="R2190" s="29"/>
      <c r="S2190" s="29"/>
      <c r="T2190" s="29"/>
      <c r="U2190" s="31"/>
      <c r="V2190" s="31"/>
      <c r="W2190" s="31"/>
      <c r="X2190" s="31"/>
      <c r="Y2190" s="31"/>
    </row>
    <row r="2191" spans="1:25" x14ac:dyDescent="0.2">
      <c r="A2191" s="29"/>
      <c r="B2191" s="29"/>
      <c r="C2191" s="29"/>
      <c r="D2191" s="29"/>
      <c r="E2191" s="29"/>
      <c r="F2191" s="30"/>
      <c r="G2191" s="30"/>
      <c r="H2191" s="30"/>
      <c r="I2191" s="30"/>
      <c r="J2191" s="30"/>
      <c r="K2191" s="30"/>
      <c r="L2191" s="29"/>
      <c r="M2191" s="29"/>
      <c r="N2191" s="29"/>
      <c r="O2191" s="29"/>
      <c r="P2191" s="29"/>
      <c r="Q2191" s="29"/>
      <c r="R2191" s="29"/>
      <c r="S2191" s="29"/>
      <c r="T2191" s="29"/>
      <c r="U2191" s="31"/>
      <c r="V2191" s="31"/>
      <c r="W2191" s="31"/>
      <c r="X2191" s="31"/>
      <c r="Y2191" s="31"/>
    </row>
    <row r="2192" spans="1:25" x14ac:dyDescent="0.2">
      <c r="A2192" s="29"/>
      <c r="B2192" s="29"/>
      <c r="C2192" s="29"/>
      <c r="D2192" s="29"/>
      <c r="E2192" s="29"/>
      <c r="F2192" s="30"/>
      <c r="G2192" s="30"/>
      <c r="H2192" s="30"/>
      <c r="I2192" s="30"/>
      <c r="J2192" s="30"/>
      <c r="K2192" s="30"/>
      <c r="L2192" s="29"/>
      <c r="M2192" s="29"/>
      <c r="N2192" s="29"/>
      <c r="O2192" s="29"/>
      <c r="P2192" s="29"/>
      <c r="Q2192" s="29"/>
      <c r="R2192" s="29"/>
      <c r="S2192" s="29"/>
      <c r="T2192" s="29"/>
      <c r="U2192" s="31"/>
      <c r="V2192" s="31"/>
      <c r="W2192" s="31"/>
      <c r="X2192" s="31"/>
      <c r="Y2192" s="31"/>
    </row>
    <row r="2193" spans="1:25" x14ac:dyDescent="0.2">
      <c r="A2193" s="29"/>
      <c r="B2193" s="29"/>
      <c r="C2193" s="29"/>
      <c r="D2193" s="29"/>
      <c r="E2193" s="29"/>
      <c r="F2193" s="30"/>
      <c r="G2193" s="30"/>
      <c r="H2193" s="30"/>
      <c r="I2193" s="30"/>
      <c r="J2193" s="30"/>
      <c r="K2193" s="30"/>
      <c r="L2193" s="29"/>
      <c r="M2193" s="29"/>
      <c r="N2193" s="29"/>
      <c r="O2193" s="29"/>
      <c r="P2193" s="29"/>
      <c r="Q2193" s="29"/>
      <c r="R2193" s="29"/>
      <c r="S2193" s="29"/>
      <c r="T2193" s="29"/>
      <c r="U2193" s="31"/>
      <c r="V2193" s="31"/>
      <c r="W2193" s="31"/>
      <c r="X2193" s="31"/>
      <c r="Y2193" s="31"/>
    </row>
    <row r="2194" spans="1:25" x14ac:dyDescent="0.2">
      <c r="A2194" s="29"/>
      <c r="B2194" s="29"/>
      <c r="C2194" s="29"/>
      <c r="D2194" s="29"/>
      <c r="E2194" s="29"/>
      <c r="F2194" s="30"/>
      <c r="G2194" s="30"/>
      <c r="H2194" s="30"/>
      <c r="I2194" s="30"/>
      <c r="J2194" s="30"/>
      <c r="K2194" s="30"/>
      <c r="L2194" s="29"/>
      <c r="M2194" s="29"/>
      <c r="N2194" s="29"/>
      <c r="O2194" s="29"/>
      <c r="P2194" s="29"/>
      <c r="Q2194" s="29"/>
      <c r="R2194" s="29"/>
      <c r="S2194" s="29"/>
      <c r="T2194" s="29"/>
      <c r="U2194" s="31"/>
      <c r="V2194" s="31"/>
      <c r="W2194" s="31"/>
      <c r="X2194" s="31"/>
      <c r="Y2194" s="31"/>
    </row>
    <row r="2195" spans="1:25" x14ac:dyDescent="0.2">
      <c r="A2195" s="29"/>
      <c r="B2195" s="29"/>
      <c r="C2195" s="29"/>
      <c r="D2195" s="29"/>
      <c r="E2195" s="29"/>
      <c r="F2195" s="30"/>
      <c r="G2195" s="30"/>
      <c r="H2195" s="30"/>
      <c r="I2195" s="30"/>
      <c r="J2195" s="30"/>
      <c r="K2195" s="30"/>
      <c r="L2195" s="29"/>
      <c r="M2195" s="29"/>
      <c r="N2195" s="29"/>
      <c r="O2195" s="29"/>
      <c r="P2195" s="29"/>
      <c r="Q2195" s="29"/>
      <c r="R2195" s="29"/>
      <c r="S2195" s="29"/>
      <c r="T2195" s="29"/>
      <c r="U2195" s="31"/>
      <c r="V2195" s="31"/>
      <c r="W2195" s="31"/>
      <c r="X2195" s="31"/>
      <c r="Y2195" s="31"/>
    </row>
    <row r="2196" spans="1:25" x14ac:dyDescent="0.2">
      <c r="A2196" s="29"/>
      <c r="B2196" s="29"/>
      <c r="C2196" s="29"/>
      <c r="D2196" s="29"/>
      <c r="E2196" s="29"/>
      <c r="F2196" s="30"/>
      <c r="G2196" s="30"/>
      <c r="H2196" s="30"/>
      <c r="I2196" s="30"/>
      <c r="J2196" s="30"/>
      <c r="K2196" s="30"/>
      <c r="L2196" s="29"/>
      <c r="M2196" s="29"/>
      <c r="N2196" s="29"/>
      <c r="O2196" s="29"/>
      <c r="P2196" s="29"/>
      <c r="Q2196" s="29"/>
      <c r="R2196" s="29"/>
      <c r="S2196" s="29"/>
      <c r="T2196" s="29"/>
      <c r="U2196" s="31"/>
      <c r="V2196" s="31"/>
      <c r="W2196" s="31"/>
      <c r="X2196" s="31"/>
      <c r="Y2196" s="31"/>
    </row>
    <row r="2197" spans="1:25" x14ac:dyDescent="0.2">
      <c r="A2197" s="29"/>
      <c r="B2197" s="29"/>
      <c r="C2197" s="29"/>
      <c r="D2197" s="29"/>
      <c r="E2197" s="29"/>
      <c r="F2197" s="30"/>
      <c r="G2197" s="30"/>
      <c r="H2197" s="30"/>
      <c r="I2197" s="30"/>
      <c r="J2197" s="30"/>
      <c r="K2197" s="30"/>
      <c r="L2197" s="29"/>
      <c r="M2197" s="29"/>
      <c r="N2197" s="29"/>
      <c r="O2197" s="29"/>
      <c r="P2197" s="29"/>
      <c r="Q2197" s="29"/>
      <c r="R2197" s="29"/>
      <c r="S2197" s="29"/>
      <c r="T2197" s="29"/>
      <c r="U2197" s="31"/>
      <c r="V2197" s="31"/>
      <c r="W2197" s="31"/>
      <c r="X2197" s="31"/>
      <c r="Y2197" s="31"/>
    </row>
    <row r="2198" spans="1:25" x14ac:dyDescent="0.2">
      <c r="A2198" s="29"/>
      <c r="B2198" s="29"/>
      <c r="C2198" s="29"/>
      <c r="D2198" s="29"/>
      <c r="E2198" s="29"/>
      <c r="F2198" s="30"/>
      <c r="G2198" s="30"/>
      <c r="H2198" s="30"/>
      <c r="I2198" s="30"/>
      <c r="J2198" s="30"/>
      <c r="K2198" s="30"/>
      <c r="L2198" s="29"/>
      <c r="M2198" s="29"/>
      <c r="N2198" s="29"/>
      <c r="O2198" s="29"/>
      <c r="P2198" s="29"/>
      <c r="Q2198" s="29"/>
      <c r="R2198" s="29"/>
      <c r="S2198" s="29"/>
      <c r="T2198" s="29"/>
      <c r="U2198" s="31"/>
      <c r="V2198" s="31"/>
      <c r="W2198" s="31"/>
      <c r="X2198" s="31"/>
      <c r="Y2198" s="31"/>
    </row>
    <row r="2199" spans="1:25" x14ac:dyDescent="0.2">
      <c r="A2199" s="29"/>
      <c r="B2199" s="29"/>
      <c r="C2199" s="29"/>
      <c r="D2199" s="29"/>
      <c r="E2199" s="29"/>
      <c r="F2199" s="30"/>
      <c r="G2199" s="30"/>
      <c r="H2199" s="30"/>
      <c r="I2199" s="30"/>
      <c r="J2199" s="30"/>
      <c r="K2199" s="30"/>
      <c r="L2199" s="29"/>
      <c r="M2199" s="29"/>
      <c r="N2199" s="29"/>
      <c r="O2199" s="29"/>
      <c r="P2199" s="29"/>
      <c r="Q2199" s="29"/>
      <c r="R2199" s="29"/>
      <c r="S2199" s="29"/>
      <c r="T2199" s="29"/>
      <c r="U2199" s="31"/>
      <c r="V2199" s="31"/>
      <c r="W2199" s="31"/>
      <c r="X2199" s="31"/>
      <c r="Y2199" s="31"/>
    </row>
    <row r="2200" spans="1:25" x14ac:dyDescent="0.2">
      <c r="A2200" s="29"/>
      <c r="B2200" s="29"/>
      <c r="C2200" s="29"/>
      <c r="D2200" s="29"/>
      <c r="E2200" s="29"/>
      <c r="F2200" s="30"/>
      <c r="G2200" s="30"/>
      <c r="H2200" s="30"/>
      <c r="I2200" s="30"/>
      <c r="J2200" s="30"/>
      <c r="K2200" s="30"/>
      <c r="L2200" s="29"/>
      <c r="M2200" s="29"/>
      <c r="N2200" s="29"/>
      <c r="O2200" s="29"/>
      <c r="P2200" s="29"/>
      <c r="Q2200" s="29"/>
      <c r="R2200" s="29"/>
      <c r="S2200" s="29"/>
      <c r="T2200" s="29"/>
      <c r="U2200" s="31"/>
      <c r="V2200" s="31"/>
      <c r="W2200" s="31"/>
      <c r="X2200" s="31"/>
      <c r="Y2200" s="31"/>
    </row>
    <row r="2201" spans="1:25" x14ac:dyDescent="0.2">
      <c r="A2201" s="29"/>
      <c r="B2201" s="29"/>
      <c r="C2201" s="29"/>
      <c r="D2201" s="29"/>
      <c r="E2201" s="29"/>
      <c r="F2201" s="30"/>
      <c r="G2201" s="30"/>
      <c r="H2201" s="30"/>
      <c r="I2201" s="30"/>
      <c r="J2201" s="30"/>
      <c r="K2201" s="30"/>
      <c r="L2201" s="29"/>
      <c r="M2201" s="29"/>
      <c r="N2201" s="29"/>
      <c r="O2201" s="29"/>
      <c r="P2201" s="29"/>
      <c r="Q2201" s="29"/>
      <c r="R2201" s="29"/>
      <c r="S2201" s="29"/>
      <c r="T2201" s="29"/>
      <c r="U2201" s="31"/>
      <c r="V2201" s="31"/>
      <c r="W2201" s="31"/>
      <c r="X2201" s="31"/>
      <c r="Y2201" s="31"/>
    </row>
    <row r="2202" spans="1:25" x14ac:dyDescent="0.2">
      <c r="A2202" s="29"/>
      <c r="B2202" s="29"/>
      <c r="C2202" s="29"/>
      <c r="D2202" s="29"/>
      <c r="E2202" s="29"/>
      <c r="F2202" s="30"/>
      <c r="G2202" s="30"/>
      <c r="H2202" s="30"/>
      <c r="I2202" s="30"/>
      <c r="J2202" s="30"/>
      <c r="K2202" s="30"/>
      <c r="L2202" s="29"/>
      <c r="M2202" s="29"/>
      <c r="N2202" s="29"/>
      <c r="O2202" s="29"/>
      <c r="P2202" s="29"/>
      <c r="Q2202" s="29"/>
      <c r="R2202" s="29"/>
      <c r="S2202" s="29"/>
      <c r="T2202" s="29"/>
      <c r="U2202" s="31"/>
      <c r="V2202" s="31"/>
      <c r="W2202" s="31"/>
      <c r="X2202" s="31"/>
      <c r="Y2202" s="31"/>
    </row>
    <row r="2203" spans="1:25" x14ac:dyDescent="0.2">
      <c r="A2203" s="29"/>
      <c r="B2203" s="29"/>
      <c r="C2203" s="29"/>
      <c r="D2203" s="29"/>
      <c r="E2203" s="29"/>
      <c r="F2203" s="30"/>
      <c r="G2203" s="30"/>
      <c r="H2203" s="30"/>
      <c r="I2203" s="30"/>
      <c r="J2203" s="30"/>
      <c r="K2203" s="30"/>
      <c r="L2203" s="29"/>
      <c r="M2203" s="29"/>
      <c r="N2203" s="29"/>
      <c r="O2203" s="29"/>
      <c r="P2203" s="29"/>
      <c r="Q2203" s="29"/>
      <c r="R2203" s="29"/>
      <c r="S2203" s="29"/>
      <c r="T2203" s="29"/>
      <c r="U2203" s="31"/>
      <c r="V2203" s="31"/>
      <c r="W2203" s="31"/>
      <c r="X2203" s="31"/>
      <c r="Y2203" s="31"/>
    </row>
    <row r="2204" spans="1:25" x14ac:dyDescent="0.2">
      <c r="A2204" s="29"/>
      <c r="B2204" s="29"/>
      <c r="C2204" s="29"/>
      <c r="D2204" s="29"/>
      <c r="E2204" s="29"/>
      <c r="F2204" s="30"/>
      <c r="G2204" s="30"/>
      <c r="H2204" s="30"/>
      <c r="I2204" s="30"/>
      <c r="J2204" s="30"/>
      <c r="K2204" s="30"/>
      <c r="L2204" s="29"/>
      <c r="M2204" s="29"/>
      <c r="N2204" s="29"/>
      <c r="O2204" s="29"/>
      <c r="P2204" s="29"/>
      <c r="Q2204" s="29"/>
      <c r="R2204" s="29"/>
      <c r="S2204" s="29"/>
      <c r="T2204" s="29"/>
      <c r="U2204" s="31"/>
      <c r="V2204" s="31"/>
      <c r="W2204" s="31"/>
      <c r="X2204" s="31"/>
      <c r="Y2204" s="31"/>
    </row>
    <row r="2205" spans="1:25" x14ac:dyDescent="0.2">
      <c r="A2205" s="29"/>
      <c r="B2205" s="29"/>
      <c r="C2205" s="29"/>
      <c r="D2205" s="29"/>
      <c r="E2205" s="29"/>
      <c r="F2205" s="30"/>
      <c r="G2205" s="30"/>
      <c r="H2205" s="30"/>
      <c r="I2205" s="30"/>
      <c r="J2205" s="30"/>
      <c r="K2205" s="30"/>
      <c r="L2205" s="29"/>
      <c r="M2205" s="29"/>
      <c r="N2205" s="29"/>
      <c r="O2205" s="29"/>
      <c r="P2205" s="29"/>
      <c r="Q2205" s="29"/>
      <c r="R2205" s="29"/>
      <c r="S2205" s="29"/>
      <c r="T2205" s="29"/>
      <c r="U2205" s="31"/>
      <c r="V2205" s="31"/>
      <c r="W2205" s="31"/>
      <c r="X2205" s="31"/>
      <c r="Y2205" s="31"/>
    </row>
    <row r="2206" spans="1:25" x14ac:dyDescent="0.2">
      <c r="A2206" s="29"/>
      <c r="B2206" s="29"/>
      <c r="C2206" s="29"/>
      <c r="D2206" s="29"/>
      <c r="E2206" s="29"/>
      <c r="F2206" s="30"/>
      <c r="G2206" s="30"/>
      <c r="H2206" s="30"/>
      <c r="I2206" s="30"/>
      <c r="J2206" s="30"/>
      <c r="K2206" s="30"/>
      <c r="L2206" s="29"/>
      <c r="M2206" s="29"/>
      <c r="N2206" s="29"/>
      <c r="O2206" s="29"/>
      <c r="P2206" s="29"/>
      <c r="Q2206" s="29"/>
      <c r="R2206" s="29"/>
      <c r="S2206" s="29"/>
      <c r="T2206" s="29"/>
      <c r="U2206" s="31"/>
      <c r="V2206" s="31"/>
      <c r="W2206" s="31"/>
      <c r="X2206" s="31"/>
      <c r="Y2206" s="31"/>
    </row>
    <row r="2207" spans="1:25" x14ac:dyDescent="0.2">
      <c r="A2207" s="29"/>
      <c r="B2207" s="29"/>
      <c r="C2207" s="29"/>
      <c r="D2207" s="29"/>
      <c r="E2207" s="29"/>
      <c r="F2207" s="30"/>
      <c r="G2207" s="30"/>
      <c r="H2207" s="30"/>
      <c r="I2207" s="30"/>
      <c r="J2207" s="30"/>
      <c r="K2207" s="30"/>
      <c r="L2207" s="29"/>
      <c r="M2207" s="29"/>
      <c r="N2207" s="29"/>
      <c r="O2207" s="29"/>
      <c r="P2207" s="29"/>
      <c r="Q2207" s="29"/>
      <c r="R2207" s="29"/>
      <c r="S2207" s="29"/>
      <c r="T2207" s="29"/>
      <c r="U2207" s="31"/>
      <c r="V2207" s="31"/>
      <c r="W2207" s="31"/>
      <c r="X2207" s="31"/>
      <c r="Y2207" s="31"/>
    </row>
    <row r="2208" spans="1:25" x14ac:dyDescent="0.2">
      <c r="A2208" s="29"/>
      <c r="B2208" s="29"/>
      <c r="C2208" s="29"/>
      <c r="D2208" s="29"/>
      <c r="E2208" s="29"/>
      <c r="F2208" s="30"/>
      <c r="G2208" s="30"/>
      <c r="H2208" s="30"/>
      <c r="I2208" s="30"/>
      <c r="J2208" s="30"/>
      <c r="K2208" s="30"/>
      <c r="L2208" s="29"/>
      <c r="M2208" s="29"/>
      <c r="N2208" s="29"/>
      <c r="O2208" s="29"/>
      <c r="P2208" s="29"/>
      <c r="Q2208" s="29"/>
      <c r="R2208" s="29"/>
      <c r="S2208" s="29"/>
      <c r="T2208" s="29"/>
      <c r="U2208" s="31"/>
      <c r="V2208" s="31"/>
      <c r="W2208" s="31"/>
      <c r="X2208" s="31"/>
      <c r="Y2208" s="31"/>
    </row>
    <row r="2209" spans="1:25" x14ac:dyDescent="0.2">
      <c r="A2209" s="29"/>
      <c r="B2209" s="29"/>
      <c r="C2209" s="29"/>
      <c r="D2209" s="29"/>
      <c r="E2209" s="29"/>
      <c r="F2209" s="30"/>
      <c r="G2209" s="30"/>
      <c r="H2209" s="30"/>
      <c r="I2209" s="30"/>
      <c r="J2209" s="30"/>
      <c r="K2209" s="30"/>
      <c r="L2209" s="29"/>
      <c r="M2209" s="29"/>
      <c r="N2209" s="29"/>
      <c r="O2209" s="29"/>
      <c r="P2209" s="29"/>
      <c r="Q2209" s="29"/>
      <c r="R2209" s="29"/>
      <c r="S2209" s="29"/>
      <c r="T2209" s="29"/>
      <c r="U2209" s="31"/>
      <c r="V2209" s="31"/>
      <c r="W2209" s="31"/>
      <c r="X2209" s="31"/>
      <c r="Y2209" s="31"/>
    </row>
    <row r="2210" spans="1:25" x14ac:dyDescent="0.2">
      <c r="A2210" s="29"/>
      <c r="B2210" s="29"/>
      <c r="C2210" s="29"/>
      <c r="D2210" s="29"/>
      <c r="E2210" s="29"/>
      <c r="F2210" s="30"/>
      <c r="G2210" s="30"/>
      <c r="H2210" s="30"/>
      <c r="I2210" s="30"/>
      <c r="J2210" s="30"/>
      <c r="K2210" s="30"/>
      <c r="L2210" s="29"/>
      <c r="M2210" s="29"/>
      <c r="N2210" s="29"/>
      <c r="O2210" s="29"/>
      <c r="P2210" s="29"/>
      <c r="Q2210" s="29"/>
      <c r="R2210" s="29"/>
      <c r="S2210" s="29"/>
      <c r="T2210" s="29"/>
      <c r="U2210" s="31"/>
      <c r="V2210" s="31"/>
      <c r="W2210" s="31"/>
      <c r="X2210" s="31"/>
      <c r="Y2210" s="31"/>
    </row>
    <row r="2211" spans="1:25" x14ac:dyDescent="0.2">
      <c r="A2211" s="29"/>
      <c r="B2211" s="29"/>
      <c r="C2211" s="29"/>
      <c r="D2211" s="29"/>
      <c r="E2211" s="29"/>
      <c r="F2211" s="30"/>
      <c r="G2211" s="30"/>
      <c r="H2211" s="30"/>
      <c r="I2211" s="30"/>
      <c r="J2211" s="30"/>
      <c r="K2211" s="30"/>
      <c r="L2211" s="29"/>
      <c r="M2211" s="29"/>
      <c r="N2211" s="29"/>
      <c r="O2211" s="29"/>
      <c r="P2211" s="29"/>
      <c r="Q2211" s="29"/>
      <c r="R2211" s="29"/>
      <c r="S2211" s="29"/>
      <c r="T2211" s="29"/>
      <c r="U2211" s="31"/>
      <c r="V2211" s="31"/>
      <c r="W2211" s="31"/>
      <c r="X2211" s="31"/>
      <c r="Y2211" s="31"/>
    </row>
    <row r="2212" spans="1:25" x14ac:dyDescent="0.2">
      <c r="A2212" s="29"/>
      <c r="B2212" s="29"/>
      <c r="C2212" s="29"/>
      <c r="D2212" s="29"/>
      <c r="E2212" s="29"/>
      <c r="F2212" s="30"/>
      <c r="G2212" s="30"/>
      <c r="H2212" s="30"/>
      <c r="I2212" s="30"/>
      <c r="J2212" s="30"/>
      <c r="K2212" s="30"/>
      <c r="L2212" s="29"/>
      <c r="M2212" s="29"/>
      <c r="N2212" s="29"/>
      <c r="O2212" s="29"/>
      <c r="P2212" s="29"/>
      <c r="Q2212" s="29"/>
      <c r="R2212" s="29"/>
      <c r="S2212" s="29"/>
      <c r="T2212" s="29"/>
      <c r="U2212" s="31"/>
      <c r="V2212" s="31"/>
      <c r="W2212" s="31"/>
      <c r="X2212" s="31"/>
      <c r="Y2212" s="31"/>
    </row>
    <row r="2213" spans="1:25" x14ac:dyDescent="0.2">
      <c r="A2213" s="29"/>
      <c r="B2213" s="29"/>
      <c r="C2213" s="29"/>
      <c r="D2213" s="29"/>
      <c r="E2213" s="29"/>
      <c r="F2213" s="30"/>
      <c r="G2213" s="30"/>
      <c r="H2213" s="30"/>
      <c r="I2213" s="30"/>
      <c r="J2213" s="30"/>
      <c r="K2213" s="30"/>
      <c r="L2213" s="29"/>
      <c r="M2213" s="29"/>
      <c r="N2213" s="29"/>
      <c r="O2213" s="29"/>
      <c r="P2213" s="29"/>
      <c r="Q2213" s="29"/>
      <c r="R2213" s="29"/>
      <c r="S2213" s="29"/>
      <c r="T2213" s="29"/>
      <c r="U2213" s="31"/>
      <c r="V2213" s="31"/>
      <c r="W2213" s="31"/>
      <c r="X2213" s="31"/>
      <c r="Y2213" s="31"/>
    </row>
    <row r="2214" spans="1:25" x14ac:dyDescent="0.2">
      <c r="A2214" s="29"/>
      <c r="B2214" s="29"/>
      <c r="C2214" s="29"/>
      <c r="D2214" s="29"/>
      <c r="E2214" s="29"/>
      <c r="F2214" s="30"/>
      <c r="G2214" s="30"/>
      <c r="H2214" s="30"/>
      <c r="I2214" s="30"/>
      <c r="J2214" s="30"/>
      <c r="K2214" s="30"/>
      <c r="L2214" s="29"/>
      <c r="M2214" s="29"/>
      <c r="N2214" s="29"/>
      <c r="O2214" s="29"/>
      <c r="P2214" s="29"/>
      <c r="Q2214" s="29"/>
      <c r="R2214" s="29"/>
      <c r="S2214" s="29"/>
      <c r="T2214" s="29"/>
      <c r="U2214" s="31"/>
      <c r="V2214" s="31"/>
      <c r="W2214" s="31"/>
      <c r="X2214" s="31"/>
      <c r="Y2214" s="31"/>
    </row>
    <row r="2215" spans="1:25" x14ac:dyDescent="0.2">
      <c r="A2215" s="29"/>
      <c r="B2215" s="29"/>
      <c r="C2215" s="29"/>
      <c r="D2215" s="29"/>
      <c r="E2215" s="29"/>
      <c r="F2215" s="30"/>
      <c r="G2215" s="30"/>
      <c r="H2215" s="30"/>
      <c r="I2215" s="30"/>
      <c r="J2215" s="30"/>
      <c r="K2215" s="30"/>
      <c r="L2215" s="29"/>
      <c r="M2215" s="29"/>
      <c r="N2215" s="29"/>
      <c r="O2215" s="29"/>
      <c r="P2215" s="29"/>
      <c r="Q2215" s="29"/>
      <c r="R2215" s="29"/>
      <c r="S2215" s="29"/>
      <c r="T2215" s="29"/>
      <c r="U2215" s="31"/>
      <c r="V2215" s="31"/>
      <c r="W2215" s="31"/>
      <c r="X2215" s="31"/>
      <c r="Y2215" s="31"/>
    </row>
    <row r="2216" spans="1:25" x14ac:dyDescent="0.2">
      <c r="A2216" s="29"/>
      <c r="B2216" s="29"/>
      <c r="C2216" s="29"/>
      <c r="D2216" s="29"/>
      <c r="E2216" s="29"/>
      <c r="F2216" s="30"/>
      <c r="G2216" s="30"/>
      <c r="H2216" s="30"/>
      <c r="I2216" s="30"/>
      <c r="J2216" s="30"/>
      <c r="K2216" s="30"/>
      <c r="L2216" s="29"/>
      <c r="M2216" s="29"/>
      <c r="N2216" s="29"/>
      <c r="O2216" s="29"/>
      <c r="P2216" s="29"/>
      <c r="Q2216" s="29"/>
      <c r="R2216" s="29"/>
      <c r="S2216" s="29"/>
      <c r="T2216" s="29"/>
      <c r="U2216" s="31"/>
      <c r="V2216" s="31"/>
      <c r="W2216" s="31"/>
      <c r="X2216" s="31"/>
      <c r="Y2216" s="31"/>
    </row>
    <row r="2217" spans="1:25" x14ac:dyDescent="0.2">
      <c r="A2217" s="29"/>
      <c r="B2217" s="29"/>
      <c r="C2217" s="29"/>
      <c r="D2217" s="29"/>
      <c r="E2217" s="29"/>
      <c r="F2217" s="30"/>
      <c r="G2217" s="30"/>
      <c r="H2217" s="30"/>
      <c r="I2217" s="30"/>
      <c r="J2217" s="30"/>
      <c r="K2217" s="30"/>
      <c r="L2217" s="29"/>
      <c r="M2217" s="29"/>
      <c r="N2217" s="29"/>
      <c r="O2217" s="29"/>
      <c r="P2217" s="29"/>
      <c r="Q2217" s="29"/>
      <c r="R2217" s="29"/>
      <c r="S2217" s="29"/>
      <c r="T2217" s="29"/>
      <c r="U2217" s="31"/>
      <c r="V2217" s="31"/>
      <c r="W2217" s="31"/>
      <c r="X2217" s="31"/>
      <c r="Y2217" s="31"/>
    </row>
    <row r="2218" spans="1:25" x14ac:dyDescent="0.2">
      <c r="A2218" s="29"/>
      <c r="B2218" s="29"/>
      <c r="C2218" s="29"/>
      <c r="D2218" s="29"/>
      <c r="E2218" s="29"/>
      <c r="F2218" s="30"/>
      <c r="G2218" s="30"/>
      <c r="H2218" s="30"/>
      <c r="I2218" s="30"/>
      <c r="J2218" s="30"/>
      <c r="K2218" s="30"/>
      <c r="L2218" s="29"/>
      <c r="M2218" s="29"/>
      <c r="N2218" s="29"/>
      <c r="O2218" s="29"/>
      <c r="P2218" s="29"/>
      <c r="Q2218" s="29"/>
      <c r="R2218" s="29"/>
      <c r="S2218" s="29"/>
      <c r="T2218" s="29"/>
      <c r="U2218" s="31"/>
      <c r="V2218" s="31"/>
      <c r="W2218" s="31"/>
      <c r="X2218" s="31"/>
      <c r="Y2218" s="31"/>
    </row>
    <row r="2219" spans="1:25" x14ac:dyDescent="0.2">
      <c r="A2219" s="29"/>
      <c r="B2219" s="29"/>
      <c r="C2219" s="29"/>
      <c r="D2219" s="29"/>
      <c r="E2219" s="29"/>
      <c r="F2219" s="30"/>
      <c r="G2219" s="30"/>
      <c r="H2219" s="30"/>
      <c r="I2219" s="30"/>
      <c r="J2219" s="30"/>
      <c r="K2219" s="30"/>
      <c r="L2219" s="29"/>
      <c r="M2219" s="29"/>
      <c r="N2219" s="29"/>
      <c r="O2219" s="29"/>
      <c r="P2219" s="29"/>
      <c r="Q2219" s="29"/>
      <c r="R2219" s="29"/>
      <c r="S2219" s="29"/>
      <c r="T2219" s="29"/>
      <c r="U2219" s="31"/>
      <c r="V2219" s="31"/>
      <c r="W2219" s="31"/>
      <c r="X2219" s="31"/>
      <c r="Y2219" s="31"/>
    </row>
    <row r="2220" spans="1:25" x14ac:dyDescent="0.2">
      <c r="A2220" s="29"/>
      <c r="B2220" s="29"/>
      <c r="C2220" s="29"/>
      <c r="D2220" s="29"/>
      <c r="E2220" s="29"/>
      <c r="F2220" s="30"/>
      <c r="G2220" s="30"/>
      <c r="H2220" s="30"/>
      <c r="I2220" s="30"/>
      <c r="J2220" s="30"/>
      <c r="K2220" s="30"/>
      <c r="L2220" s="29"/>
      <c r="M2220" s="29"/>
      <c r="N2220" s="29"/>
      <c r="O2220" s="29"/>
      <c r="P2220" s="29"/>
      <c r="Q2220" s="29"/>
      <c r="R2220" s="29"/>
      <c r="S2220" s="29"/>
      <c r="T2220" s="29"/>
      <c r="U2220" s="31"/>
      <c r="V2220" s="31"/>
      <c r="W2220" s="31"/>
      <c r="X2220" s="31"/>
      <c r="Y2220" s="31"/>
    </row>
    <row r="2221" spans="1:25" x14ac:dyDescent="0.2">
      <c r="A2221" s="29"/>
      <c r="B2221" s="29"/>
      <c r="C2221" s="29"/>
      <c r="D2221" s="29"/>
      <c r="E2221" s="29"/>
      <c r="F2221" s="30"/>
      <c r="G2221" s="30"/>
      <c r="H2221" s="30"/>
      <c r="I2221" s="30"/>
      <c r="J2221" s="30"/>
      <c r="K2221" s="30"/>
      <c r="L2221" s="29"/>
      <c r="M2221" s="29"/>
      <c r="N2221" s="29"/>
      <c r="O2221" s="29"/>
      <c r="P2221" s="29"/>
      <c r="Q2221" s="29"/>
      <c r="R2221" s="29"/>
      <c r="S2221" s="29"/>
      <c r="T2221" s="29"/>
      <c r="U2221" s="31"/>
      <c r="V2221" s="31"/>
      <c r="W2221" s="31"/>
      <c r="X2221" s="31"/>
      <c r="Y2221" s="31"/>
    </row>
    <row r="2222" spans="1:25" x14ac:dyDescent="0.2">
      <c r="A2222" s="29"/>
      <c r="B2222" s="29"/>
      <c r="C2222" s="29"/>
      <c r="D2222" s="29"/>
      <c r="E2222" s="29"/>
      <c r="F2222" s="30"/>
      <c r="G2222" s="30"/>
      <c r="H2222" s="30"/>
      <c r="I2222" s="30"/>
      <c r="J2222" s="30"/>
      <c r="K2222" s="30"/>
      <c r="L2222" s="29"/>
      <c r="M2222" s="29"/>
      <c r="N2222" s="29"/>
      <c r="O2222" s="29"/>
      <c r="P2222" s="29"/>
      <c r="Q2222" s="29"/>
      <c r="R2222" s="29"/>
      <c r="S2222" s="29"/>
      <c r="T2222" s="29"/>
      <c r="U2222" s="31"/>
      <c r="V2222" s="31"/>
      <c r="W2222" s="31"/>
      <c r="X2222" s="31"/>
      <c r="Y2222" s="31"/>
    </row>
    <row r="2223" spans="1:25" x14ac:dyDescent="0.2">
      <c r="A2223" s="29"/>
      <c r="B2223" s="29"/>
      <c r="C2223" s="29"/>
      <c r="D2223" s="29"/>
      <c r="E2223" s="29"/>
      <c r="F2223" s="30"/>
      <c r="G2223" s="30"/>
      <c r="H2223" s="30"/>
      <c r="I2223" s="30"/>
      <c r="J2223" s="30"/>
      <c r="K2223" s="30"/>
      <c r="L2223" s="29"/>
      <c r="M2223" s="29"/>
      <c r="N2223" s="29"/>
      <c r="O2223" s="29"/>
      <c r="P2223" s="29"/>
      <c r="Q2223" s="29"/>
      <c r="R2223" s="29"/>
      <c r="S2223" s="29"/>
      <c r="T2223" s="29"/>
      <c r="U2223" s="31"/>
      <c r="V2223" s="31"/>
      <c r="W2223" s="31"/>
      <c r="X2223" s="31"/>
      <c r="Y2223" s="31"/>
    </row>
    <row r="2224" spans="1:25" x14ac:dyDescent="0.2">
      <c r="A2224" s="29"/>
      <c r="B2224" s="29"/>
      <c r="C2224" s="29"/>
      <c r="D2224" s="29"/>
      <c r="E2224" s="29"/>
      <c r="F2224" s="30"/>
      <c r="G2224" s="30"/>
      <c r="H2224" s="30"/>
      <c r="I2224" s="30"/>
      <c r="J2224" s="30"/>
      <c r="K2224" s="30"/>
      <c r="L2224" s="29"/>
      <c r="M2224" s="29"/>
      <c r="N2224" s="29"/>
      <c r="O2224" s="29"/>
      <c r="P2224" s="29"/>
      <c r="Q2224" s="29"/>
      <c r="R2224" s="29"/>
      <c r="S2224" s="29"/>
      <c r="T2224" s="29"/>
      <c r="U2224" s="31"/>
      <c r="V2224" s="31"/>
      <c r="W2224" s="31"/>
      <c r="X2224" s="31"/>
      <c r="Y2224" s="31"/>
    </row>
    <row r="2225" spans="1:25" x14ac:dyDescent="0.2">
      <c r="A2225" s="29"/>
      <c r="B2225" s="29"/>
      <c r="C2225" s="29"/>
      <c r="D2225" s="29"/>
      <c r="E2225" s="29"/>
      <c r="F2225" s="30"/>
      <c r="G2225" s="30"/>
      <c r="H2225" s="30"/>
      <c r="I2225" s="30"/>
      <c r="J2225" s="30"/>
      <c r="K2225" s="30"/>
      <c r="L2225" s="29"/>
      <c r="M2225" s="29"/>
      <c r="N2225" s="29"/>
      <c r="O2225" s="29"/>
      <c r="P2225" s="29"/>
      <c r="Q2225" s="29"/>
      <c r="R2225" s="29"/>
      <c r="S2225" s="29"/>
      <c r="T2225" s="29"/>
      <c r="U2225" s="31"/>
      <c r="V2225" s="31"/>
      <c r="W2225" s="31"/>
      <c r="X2225" s="31"/>
      <c r="Y2225" s="31"/>
    </row>
    <row r="2226" spans="1:25" x14ac:dyDescent="0.2">
      <c r="A2226" s="29"/>
      <c r="B2226" s="29"/>
      <c r="C2226" s="29"/>
      <c r="D2226" s="29"/>
      <c r="E2226" s="29"/>
      <c r="F2226" s="30"/>
      <c r="G2226" s="30"/>
      <c r="H2226" s="30"/>
      <c r="I2226" s="30"/>
      <c r="J2226" s="30"/>
      <c r="K2226" s="30"/>
      <c r="L2226" s="29"/>
      <c r="M2226" s="29"/>
      <c r="N2226" s="29"/>
      <c r="O2226" s="29"/>
      <c r="P2226" s="29"/>
      <c r="Q2226" s="29"/>
      <c r="R2226" s="29"/>
      <c r="S2226" s="29"/>
      <c r="T2226" s="29"/>
      <c r="U2226" s="31"/>
      <c r="V2226" s="31"/>
      <c r="W2226" s="31"/>
      <c r="X2226" s="31"/>
      <c r="Y2226" s="31"/>
    </row>
    <row r="2227" spans="1:25" x14ac:dyDescent="0.2">
      <c r="A2227" s="29"/>
      <c r="B2227" s="29"/>
      <c r="C2227" s="29"/>
      <c r="D2227" s="29"/>
      <c r="E2227" s="29"/>
      <c r="F2227" s="30"/>
      <c r="G2227" s="30"/>
      <c r="H2227" s="30"/>
      <c r="I2227" s="30"/>
      <c r="J2227" s="30"/>
      <c r="K2227" s="30"/>
      <c r="L2227" s="29"/>
      <c r="M2227" s="29"/>
      <c r="N2227" s="29"/>
      <c r="O2227" s="29"/>
      <c r="P2227" s="29"/>
      <c r="Q2227" s="29"/>
      <c r="R2227" s="29"/>
      <c r="S2227" s="29"/>
      <c r="T2227" s="29"/>
      <c r="U2227" s="31"/>
      <c r="V2227" s="31"/>
      <c r="W2227" s="31"/>
      <c r="X2227" s="31"/>
      <c r="Y2227" s="31"/>
    </row>
    <row r="2228" spans="1:25" x14ac:dyDescent="0.2">
      <c r="A2228" s="29"/>
      <c r="B2228" s="29"/>
      <c r="C2228" s="29"/>
      <c r="D2228" s="29"/>
      <c r="E2228" s="29"/>
      <c r="F2228" s="30"/>
      <c r="G2228" s="30"/>
      <c r="H2228" s="30"/>
      <c r="I2228" s="30"/>
      <c r="J2228" s="30"/>
      <c r="K2228" s="30"/>
      <c r="L2228" s="29"/>
      <c r="M2228" s="29"/>
      <c r="N2228" s="29"/>
      <c r="O2228" s="29"/>
      <c r="P2228" s="29"/>
      <c r="Q2228" s="29"/>
      <c r="R2228" s="29"/>
      <c r="S2228" s="29"/>
      <c r="T2228" s="29"/>
      <c r="U2228" s="31"/>
      <c r="V2228" s="31"/>
      <c r="W2228" s="31"/>
      <c r="X2228" s="31"/>
      <c r="Y2228" s="31"/>
    </row>
    <row r="2229" spans="1:25" x14ac:dyDescent="0.2">
      <c r="A2229" s="29"/>
      <c r="B2229" s="29"/>
      <c r="C2229" s="29"/>
      <c r="D2229" s="29"/>
      <c r="E2229" s="29"/>
      <c r="F2229" s="30"/>
      <c r="G2229" s="30"/>
      <c r="H2229" s="30"/>
      <c r="I2229" s="30"/>
      <c r="J2229" s="30"/>
      <c r="K2229" s="30"/>
      <c r="L2229" s="29"/>
      <c r="M2229" s="29"/>
      <c r="N2229" s="29"/>
      <c r="O2229" s="29"/>
      <c r="P2229" s="29"/>
      <c r="Q2229" s="29"/>
      <c r="R2229" s="29"/>
      <c r="S2229" s="29"/>
      <c r="T2229" s="29"/>
      <c r="U2229" s="31"/>
      <c r="V2229" s="31"/>
      <c r="W2229" s="31"/>
      <c r="X2229" s="31"/>
      <c r="Y2229" s="31"/>
    </row>
    <row r="2230" spans="1:25" x14ac:dyDescent="0.2">
      <c r="A2230" s="29"/>
      <c r="B2230" s="29"/>
      <c r="C2230" s="29"/>
      <c r="D2230" s="29"/>
      <c r="E2230" s="29"/>
      <c r="F2230" s="30"/>
      <c r="G2230" s="30"/>
      <c r="H2230" s="30"/>
      <c r="I2230" s="30"/>
      <c r="J2230" s="30"/>
      <c r="K2230" s="30"/>
      <c r="L2230" s="29"/>
      <c r="M2230" s="29"/>
      <c r="N2230" s="29"/>
      <c r="O2230" s="29"/>
      <c r="P2230" s="29"/>
      <c r="Q2230" s="29"/>
      <c r="R2230" s="29"/>
      <c r="S2230" s="29"/>
      <c r="T2230" s="29"/>
      <c r="U2230" s="31"/>
      <c r="V2230" s="31"/>
      <c r="W2230" s="31"/>
      <c r="X2230" s="31"/>
      <c r="Y2230" s="31"/>
    </row>
    <row r="2231" spans="1:25" x14ac:dyDescent="0.2">
      <c r="A2231" s="29"/>
      <c r="B2231" s="29"/>
      <c r="C2231" s="29"/>
      <c r="D2231" s="29"/>
      <c r="E2231" s="29"/>
      <c r="F2231" s="30"/>
      <c r="G2231" s="30"/>
      <c r="H2231" s="30"/>
      <c r="I2231" s="30"/>
      <c r="J2231" s="30"/>
      <c r="K2231" s="30"/>
      <c r="L2231" s="29"/>
      <c r="M2231" s="29"/>
      <c r="N2231" s="29"/>
      <c r="O2231" s="29"/>
      <c r="P2231" s="29"/>
      <c r="Q2231" s="29"/>
      <c r="R2231" s="29"/>
      <c r="S2231" s="29"/>
      <c r="T2231" s="29"/>
      <c r="U2231" s="31"/>
      <c r="V2231" s="31"/>
      <c r="W2231" s="31"/>
      <c r="X2231" s="31"/>
      <c r="Y2231" s="31"/>
    </row>
    <row r="2232" spans="1:25" x14ac:dyDescent="0.2">
      <c r="A2232" s="29"/>
      <c r="B2232" s="29"/>
      <c r="C2232" s="29"/>
      <c r="D2232" s="29"/>
      <c r="E2232" s="29"/>
      <c r="F2232" s="30"/>
      <c r="G2232" s="30"/>
      <c r="H2232" s="30"/>
      <c r="I2232" s="30"/>
      <c r="J2232" s="30"/>
      <c r="K2232" s="30"/>
      <c r="L2232" s="29"/>
      <c r="M2232" s="29"/>
      <c r="N2232" s="29"/>
      <c r="O2232" s="29"/>
      <c r="P2232" s="29"/>
      <c r="Q2232" s="29"/>
      <c r="R2232" s="29"/>
      <c r="S2232" s="29"/>
      <c r="T2232" s="29"/>
      <c r="U2232" s="31"/>
      <c r="V2232" s="31"/>
      <c r="W2232" s="31"/>
      <c r="X2232" s="31"/>
      <c r="Y2232" s="31"/>
    </row>
    <row r="2233" spans="1:25" x14ac:dyDescent="0.2">
      <c r="A2233" s="29"/>
      <c r="B2233" s="29"/>
      <c r="C2233" s="29"/>
      <c r="D2233" s="29"/>
      <c r="E2233" s="29"/>
      <c r="F2233" s="30"/>
      <c r="G2233" s="30"/>
      <c r="H2233" s="30"/>
      <c r="I2233" s="30"/>
      <c r="J2233" s="30"/>
      <c r="K2233" s="30"/>
      <c r="L2233" s="29"/>
      <c r="M2233" s="29"/>
      <c r="N2233" s="29"/>
      <c r="O2233" s="29"/>
      <c r="P2233" s="29"/>
      <c r="Q2233" s="29"/>
      <c r="R2233" s="29"/>
      <c r="S2233" s="29"/>
      <c r="T2233" s="29"/>
      <c r="U2233" s="31"/>
      <c r="V2233" s="31"/>
      <c r="W2233" s="31"/>
      <c r="X2233" s="31"/>
      <c r="Y2233" s="31"/>
    </row>
    <row r="2234" spans="1:25" x14ac:dyDescent="0.2">
      <c r="A2234" s="29"/>
      <c r="B2234" s="29"/>
      <c r="C2234" s="29"/>
      <c r="D2234" s="29"/>
      <c r="E2234" s="29"/>
      <c r="F2234" s="30"/>
      <c r="G2234" s="30"/>
      <c r="H2234" s="30"/>
      <c r="I2234" s="30"/>
      <c r="J2234" s="30"/>
      <c r="K2234" s="30"/>
      <c r="L2234" s="29"/>
      <c r="M2234" s="29"/>
      <c r="N2234" s="29"/>
      <c r="O2234" s="29"/>
      <c r="P2234" s="29"/>
      <c r="Q2234" s="29"/>
      <c r="R2234" s="29"/>
      <c r="S2234" s="29"/>
      <c r="T2234" s="29"/>
      <c r="U2234" s="31"/>
      <c r="V2234" s="31"/>
      <c r="W2234" s="31"/>
      <c r="X2234" s="31"/>
      <c r="Y2234" s="31"/>
    </row>
    <row r="2235" spans="1:25" x14ac:dyDescent="0.2">
      <c r="A2235" s="29"/>
      <c r="B2235" s="29"/>
      <c r="C2235" s="29"/>
      <c r="D2235" s="29"/>
      <c r="E2235" s="29"/>
      <c r="F2235" s="30"/>
      <c r="G2235" s="30"/>
      <c r="H2235" s="30"/>
      <c r="I2235" s="30"/>
      <c r="J2235" s="30"/>
      <c r="K2235" s="30"/>
      <c r="L2235" s="29"/>
      <c r="M2235" s="29"/>
      <c r="N2235" s="29"/>
      <c r="O2235" s="29"/>
      <c r="P2235" s="29"/>
      <c r="Q2235" s="29"/>
      <c r="R2235" s="29"/>
      <c r="S2235" s="29"/>
      <c r="T2235" s="29"/>
      <c r="U2235" s="31"/>
      <c r="V2235" s="31"/>
      <c r="W2235" s="31"/>
      <c r="X2235" s="31"/>
      <c r="Y2235" s="31"/>
    </row>
    <row r="2236" spans="1:25" x14ac:dyDescent="0.2">
      <c r="A2236" s="29"/>
      <c r="B2236" s="29"/>
      <c r="C2236" s="29"/>
      <c r="D2236" s="29"/>
      <c r="E2236" s="29"/>
      <c r="F2236" s="30"/>
      <c r="G2236" s="30"/>
      <c r="H2236" s="30"/>
      <c r="I2236" s="30"/>
      <c r="J2236" s="30"/>
      <c r="K2236" s="30"/>
      <c r="L2236" s="29"/>
      <c r="M2236" s="29"/>
      <c r="N2236" s="29"/>
      <c r="O2236" s="29"/>
      <c r="P2236" s="29"/>
      <c r="Q2236" s="29"/>
      <c r="R2236" s="29"/>
      <c r="S2236" s="29"/>
      <c r="T2236" s="29"/>
      <c r="U2236" s="31"/>
      <c r="V2236" s="31"/>
      <c r="W2236" s="31"/>
      <c r="X2236" s="31"/>
      <c r="Y2236" s="31"/>
    </row>
    <row r="2237" spans="1:25" x14ac:dyDescent="0.2">
      <c r="A2237" s="29"/>
      <c r="B2237" s="29"/>
      <c r="C2237" s="29"/>
      <c r="D2237" s="29"/>
      <c r="E2237" s="29"/>
      <c r="F2237" s="30"/>
      <c r="G2237" s="30"/>
      <c r="H2237" s="30"/>
      <c r="I2237" s="30"/>
      <c r="J2237" s="30"/>
      <c r="K2237" s="30"/>
      <c r="L2237" s="29"/>
      <c r="M2237" s="29"/>
      <c r="N2237" s="29"/>
      <c r="O2237" s="29"/>
      <c r="P2237" s="29"/>
      <c r="Q2237" s="29"/>
      <c r="R2237" s="29"/>
      <c r="S2237" s="29"/>
      <c r="T2237" s="29"/>
      <c r="U2237" s="31"/>
      <c r="V2237" s="31"/>
      <c r="W2237" s="31"/>
      <c r="X2237" s="31"/>
      <c r="Y2237" s="31"/>
    </row>
    <row r="2238" spans="1:25" x14ac:dyDescent="0.2">
      <c r="A2238" s="29"/>
      <c r="B2238" s="29"/>
      <c r="C2238" s="29"/>
      <c r="D2238" s="29"/>
      <c r="E2238" s="29"/>
      <c r="F2238" s="30"/>
      <c r="G2238" s="30"/>
      <c r="H2238" s="30"/>
      <c r="I2238" s="30"/>
      <c r="J2238" s="30"/>
      <c r="K2238" s="30"/>
      <c r="L2238" s="29"/>
      <c r="M2238" s="29"/>
      <c r="N2238" s="29"/>
      <c r="O2238" s="29"/>
      <c r="P2238" s="29"/>
      <c r="Q2238" s="29"/>
      <c r="R2238" s="29"/>
      <c r="S2238" s="29"/>
      <c r="T2238" s="29"/>
      <c r="U2238" s="31"/>
      <c r="V2238" s="31"/>
      <c r="W2238" s="31"/>
      <c r="X2238" s="31"/>
      <c r="Y2238" s="31"/>
    </row>
    <row r="2239" spans="1:25" x14ac:dyDescent="0.2">
      <c r="A2239" s="29"/>
      <c r="B2239" s="29"/>
      <c r="C2239" s="29"/>
      <c r="D2239" s="29"/>
      <c r="E2239" s="29"/>
      <c r="F2239" s="30"/>
      <c r="G2239" s="30"/>
      <c r="H2239" s="30"/>
      <c r="I2239" s="30"/>
      <c r="J2239" s="30"/>
      <c r="K2239" s="30"/>
      <c r="L2239" s="29"/>
      <c r="M2239" s="29"/>
      <c r="N2239" s="29"/>
      <c r="O2239" s="29"/>
      <c r="P2239" s="29"/>
      <c r="Q2239" s="29"/>
      <c r="R2239" s="29"/>
      <c r="S2239" s="29"/>
      <c r="T2239" s="29"/>
      <c r="U2239" s="31"/>
      <c r="V2239" s="31"/>
      <c r="W2239" s="31"/>
      <c r="X2239" s="31"/>
      <c r="Y2239" s="31"/>
    </row>
    <row r="2240" spans="1:25" x14ac:dyDescent="0.2">
      <c r="A2240" s="29"/>
      <c r="B2240" s="29"/>
      <c r="C2240" s="29"/>
      <c r="D2240" s="29"/>
      <c r="E2240" s="29"/>
      <c r="F2240" s="30"/>
      <c r="G2240" s="30"/>
      <c r="H2240" s="30"/>
      <c r="I2240" s="30"/>
      <c r="J2240" s="30"/>
      <c r="K2240" s="30"/>
      <c r="L2240" s="29"/>
      <c r="M2240" s="29"/>
      <c r="N2240" s="29"/>
      <c r="O2240" s="29"/>
      <c r="P2240" s="29"/>
      <c r="Q2240" s="29"/>
      <c r="R2240" s="29"/>
      <c r="S2240" s="29"/>
      <c r="T2240" s="29"/>
      <c r="U2240" s="31"/>
      <c r="V2240" s="31"/>
      <c r="W2240" s="31"/>
      <c r="X2240" s="31"/>
      <c r="Y2240" s="31"/>
    </row>
    <row r="2241" spans="1:25" x14ac:dyDescent="0.2">
      <c r="A2241" s="29"/>
      <c r="B2241" s="29"/>
      <c r="C2241" s="29"/>
      <c r="D2241" s="29"/>
      <c r="E2241" s="29"/>
      <c r="F2241" s="30"/>
      <c r="G2241" s="30"/>
      <c r="H2241" s="30"/>
      <c r="I2241" s="30"/>
      <c r="J2241" s="30"/>
      <c r="K2241" s="30"/>
      <c r="L2241" s="29"/>
      <c r="M2241" s="29"/>
      <c r="N2241" s="29"/>
      <c r="O2241" s="29"/>
      <c r="P2241" s="29"/>
      <c r="Q2241" s="29"/>
      <c r="R2241" s="29"/>
      <c r="S2241" s="29"/>
      <c r="T2241" s="29"/>
      <c r="U2241" s="31"/>
      <c r="V2241" s="31"/>
      <c r="W2241" s="31"/>
      <c r="X2241" s="31"/>
      <c r="Y2241" s="31"/>
    </row>
    <row r="2242" spans="1:25" x14ac:dyDescent="0.2">
      <c r="A2242" s="29"/>
      <c r="B2242" s="29"/>
      <c r="C2242" s="29"/>
      <c r="D2242" s="29"/>
      <c r="E2242" s="29"/>
      <c r="F2242" s="30"/>
      <c r="G2242" s="30"/>
      <c r="H2242" s="30"/>
      <c r="I2242" s="30"/>
      <c r="J2242" s="30"/>
      <c r="K2242" s="30"/>
      <c r="L2242" s="29"/>
      <c r="M2242" s="29"/>
      <c r="N2242" s="29"/>
      <c r="O2242" s="29"/>
      <c r="P2242" s="29"/>
      <c r="Q2242" s="29"/>
      <c r="R2242" s="29"/>
      <c r="S2242" s="29"/>
      <c r="T2242" s="29"/>
      <c r="U2242" s="31"/>
      <c r="V2242" s="31"/>
      <c r="W2242" s="31"/>
      <c r="X2242" s="31"/>
      <c r="Y2242" s="31"/>
    </row>
    <row r="2243" spans="1:25" x14ac:dyDescent="0.2">
      <c r="A2243" s="29"/>
      <c r="B2243" s="29"/>
      <c r="C2243" s="29"/>
      <c r="D2243" s="29"/>
      <c r="E2243" s="29"/>
      <c r="F2243" s="30"/>
      <c r="G2243" s="30"/>
      <c r="H2243" s="30"/>
      <c r="I2243" s="30"/>
      <c r="J2243" s="30"/>
      <c r="K2243" s="30"/>
      <c r="L2243" s="29"/>
      <c r="M2243" s="29"/>
      <c r="N2243" s="29"/>
      <c r="O2243" s="29"/>
      <c r="P2243" s="29"/>
      <c r="Q2243" s="29"/>
      <c r="R2243" s="29"/>
      <c r="S2243" s="29"/>
      <c r="T2243" s="29"/>
      <c r="U2243" s="31"/>
      <c r="V2243" s="31"/>
      <c r="W2243" s="31"/>
      <c r="X2243" s="31"/>
      <c r="Y2243" s="31"/>
    </row>
    <row r="2244" spans="1:25" x14ac:dyDescent="0.2">
      <c r="A2244" s="29"/>
      <c r="B2244" s="29"/>
      <c r="C2244" s="29"/>
      <c r="D2244" s="29"/>
      <c r="E2244" s="29"/>
      <c r="F2244" s="30"/>
      <c r="G2244" s="30"/>
      <c r="H2244" s="30"/>
      <c r="I2244" s="30"/>
      <c r="J2244" s="30"/>
      <c r="K2244" s="30"/>
      <c r="L2244" s="29"/>
      <c r="M2244" s="29"/>
      <c r="N2244" s="29"/>
      <c r="O2244" s="29"/>
      <c r="P2244" s="29"/>
      <c r="Q2244" s="29"/>
      <c r="R2244" s="29"/>
      <c r="S2244" s="29"/>
      <c r="T2244" s="29"/>
      <c r="U2244" s="31"/>
      <c r="V2244" s="31"/>
      <c r="W2244" s="31"/>
      <c r="X2244" s="31"/>
      <c r="Y2244" s="31"/>
    </row>
    <row r="2245" spans="1:25" x14ac:dyDescent="0.2">
      <c r="A2245" s="29"/>
      <c r="B2245" s="29"/>
      <c r="C2245" s="29"/>
      <c r="D2245" s="29"/>
      <c r="E2245" s="29"/>
      <c r="F2245" s="30"/>
      <c r="G2245" s="30"/>
      <c r="H2245" s="30"/>
      <c r="I2245" s="30"/>
      <c r="J2245" s="30"/>
      <c r="K2245" s="30"/>
      <c r="L2245" s="29"/>
      <c r="M2245" s="29"/>
      <c r="N2245" s="29"/>
      <c r="O2245" s="29"/>
      <c r="P2245" s="29"/>
      <c r="Q2245" s="29"/>
      <c r="R2245" s="29"/>
      <c r="S2245" s="29"/>
      <c r="T2245" s="29"/>
      <c r="U2245" s="31"/>
      <c r="V2245" s="31"/>
      <c r="W2245" s="31"/>
      <c r="X2245" s="31"/>
      <c r="Y2245" s="31"/>
    </row>
    <row r="2246" spans="1:25" x14ac:dyDescent="0.2">
      <c r="A2246" s="29"/>
      <c r="B2246" s="29"/>
      <c r="C2246" s="29"/>
      <c r="D2246" s="29"/>
      <c r="E2246" s="29"/>
      <c r="F2246" s="30"/>
      <c r="G2246" s="30"/>
      <c r="H2246" s="30"/>
      <c r="I2246" s="30"/>
      <c r="J2246" s="30"/>
      <c r="K2246" s="30"/>
      <c r="L2246" s="29"/>
      <c r="M2246" s="29"/>
      <c r="N2246" s="29"/>
      <c r="O2246" s="29"/>
      <c r="P2246" s="29"/>
      <c r="Q2246" s="29"/>
      <c r="R2246" s="29"/>
      <c r="S2246" s="29"/>
      <c r="T2246" s="29"/>
      <c r="U2246" s="31"/>
      <c r="V2246" s="31"/>
      <c r="W2246" s="31"/>
      <c r="X2246" s="31"/>
      <c r="Y2246" s="31"/>
    </row>
    <row r="2247" spans="1:25" x14ac:dyDescent="0.2">
      <c r="A2247" s="29"/>
      <c r="B2247" s="29"/>
      <c r="C2247" s="29"/>
      <c r="D2247" s="29"/>
      <c r="E2247" s="29"/>
      <c r="F2247" s="30"/>
      <c r="G2247" s="30"/>
      <c r="H2247" s="30"/>
      <c r="I2247" s="30"/>
      <c r="J2247" s="30"/>
      <c r="K2247" s="30"/>
      <c r="L2247" s="29"/>
      <c r="M2247" s="29"/>
      <c r="N2247" s="29"/>
      <c r="O2247" s="29"/>
      <c r="P2247" s="29"/>
      <c r="Q2247" s="29"/>
      <c r="R2247" s="29"/>
      <c r="S2247" s="29"/>
      <c r="T2247" s="29"/>
      <c r="U2247" s="31"/>
      <c r="V2247" s="31"/>
      <c r="W2247" s="31"/>
      <c r="X2247" s="31"/>
      <c r="Y2247" s="31"/>
    </row>
    <row r="2248" spans="1:25" x14ac:dyDescent="0.2">
      <c r="A2248" s="29"/>
      <c r="B2248" s="29"/>
      <c r="C2248" s="29"/>
      <c r="D2248" s="29"/>
      <c r="E2248" s="29"/>
      <c r="F2248" s="30"/>
      <c r="G2248" s="30"/>
      <c r="H2248" s="30"/>
      <c r="I2248" s="30"/>
      <c r="J2248" s="30"/>
      <c r="K2248" s="30"/>
      <c r="L2248" s="29"/>
      <c r="M2248" s="29"/>
      <c r="N2248" s="29"/>
      <c r="O2248" s="29"/>
      <c r="P2248" s="29"/>
      <c r="Q2248" s="29"/>
      <c r="R2248" s="29"/>
      <c r="S2248" s="29"/>
      <c r="T2248" s="29"/>
      <c r="U2248" s="31"/>
      <c r="V2248" s="31"/>
      <c r="W2248" s="31"/>
      <c r="X2248" s="31"/>
      <c r="Y2248" s="31"/>
    </row>
    <row r="2249" spans="1:25" x14ac:dyDescent="0.2">
      <c r="A2249" s="29"/>
      <c r="B2249" s="29"/>
      <c r="C2249" s="29"/>
      <c r="D2249" s="29"/>
      <c r="E2249" s="29"/>
      <c r="F2249" s="30"/>
      <c r="G2249" s="30"/>
      <c r="H2249" s="30"/>
      <c r="I2249" s="30"/>
      <c r="J2249" s="30"/>
      <c r="K2249" s="30"/>
      <c r="L2249" s="29"/>
      <c r="M2249" s="29"/>
      <c r="N2249" s="29"/>
      <c r="O2249" s="29"/>
      <c r="P2249" s="29"/>
      <c r="Q2249" s="29"/>
      <c r="R2249" s="29"/>
      <c r="S2249" s="29"/>
      <c r="T2249" s="29"/>
      <c r="U2249" s="31"/>
      <c r="V2249" s="31"/>
      <c r="W2249" s="31"/>
      <c r="X2249" s="31"/>
      <c r="Y2249" s="31"/>
    </row>
    <row r="2250" spans="1:25" x14ac:dyDescent="0.2">
      <c r="A2250" s="29"/>
      <c r="B2250" s="29"/>
      <c r="C2250" s="29"/>
      <c r="D2250" s="29"/>
      <c r="E2250" s="29"/>
      <c r="F2250" s="30"/>
      <c r="G2250" s="30"/>
      <c r="H2250" s="30"/>
      <c r="I2250" s="30"/>
      <c r="J2250" s="30"/>
      <c r="K2250" s="30"/>
      <c r="L2250" s="29"/>
      <c r="M2250" s="29"/>
      <c r="N2250" s="29"/>
      <c r="O2250" s="29"/>
      <c r="P2250" s="29"/>
      <c r="Q2250" s="29"/>
      <c r="R2250" s="29"/>
      <c r="S2250" s="29"/>
      <c r="T2250" s="29"/>
      <c r="U2250" s="31"/>
      <c r="V2250" s="31"/>
      <c r="W2250" s="31"/>
      <c r="X2250" s="31"/>
      <c r="Y2250" s="31"/>
    </row>
    <row r="2251" spans="1:25" x14ac:dyDescent="0.2">
      <c r="A2251" s="29"/>
      <c r="B2251" s="29"/>
      <c r="C2251" s="29"/>
      <c r="D2251" s="29"/>
      <c r="E2251" s="29"/>
      <c r="F2251" s="30"/>
      <c r="G2251" s="30"/>
      <c r="H2251" s="30"/>
      <c r="I2251" s="30"/>
      <c r="J2251" s="30"/>
      <c r="K2251" s="30"/>
      <c r="L2251" s="29"/>
      <c r="M2251" s="29"/>
      <c r="N2251" s="29"/>
      <c r="O2251" s="29"/>
      <c r="P2251" s="29"/>
      <c r="Q2251" s="29"/>
      <c r="R2251" s="29"/>
      <c r="S2251" s="29"/>
      <c r="T2251" s="29"/>
      <c r="U2251" s="31"/>
      <c r="V2251" s="31"/>
      <c r="W2251" s="31"/>
      <c r="X2251" s="31"/>
      <c r="Y2251" s="31"/>
    </row>
    <row r="2252" spans="1:25" x14ac:dyDescent="0.2">
      <c r="A2252" s="29"/>
      <c r="B2252" s="29"/>
      <c r="C2252" s="29"/>
      <c r="D2252" s="29"/>
      <c r="E2252" s="29"/>
      <c r="F2252" s="30"/>
      <c r="G2252" s="30"/>
      <c r="H2252" s="30"/>
      <c r="I2252" s="30"/>
      <c r="J2252" s="30"/>
      <c r="K2252" s="30"/>
      <c r="L2252" s="29"/>
      <c r="M2252" s="29"/>
      <c r="N2252" s="29"/>
      <c r="O2252" s="29"/>
      <c r="P2252" s="29"/>
      <c r="Q2252" s="29"/>
      <c r="R2252" s="29"/>
      <c r="S2252" s="29"/>
      <c r="T2252" s="29"/>
      <c r="U2252" s="31"/>
      <c r="V2252" s="31"/>
      <c r="W2252" s="31"/>
      <c r="X2252" s="31"/>
      <c r="Y2252" s="31"/>
    </row>
    <row r="2253" spans="1:25" x14ac:dyDescent="0.2">
      <c r="A2253" s="29"/>
      <c r="B2253" s="29"/>
      <c r="C2253" s="29"/>
      <c r="D2253" s="29"/>
      <c r="E2253" s="29"/>
      <c r="F2253" s="30"/>
      <c r="G2253" s="30"/>
      <c r="H2253" s="30"/>
      <c r="I2253" s="30"/>
      <c r="J2253" s="30"/>
      <c r="K2253" s="30"/>
      <c r="L2253" s="29"/>
      <c r="M2253" s="29"/>
      <c r="N2253" s="29"/>
      <c r="O2253" s="29"/>
      <c r="P2253" s="29"/>
      <c r="Q2253" s="29"/>
      <c r="R2253" s="29"/>
      <c r="S2253" s="29"/>
      <c r="T2253" s="29"/>
      <c r="U2253" s="31"/>
      <c r="V2253" s="31"/>
      <c r="W2253" s="31"/>
      <c r="X2253" s="31"/>
      <c r="Y2253" s="31"/>
    </row>
    <row r="2254" spans="1:25" x14ac:dyDescent="0.2">
      <c r="A2254" s="29"/>
      <c r="B2254" s="29"/>
      <c r="C2254" s="29"/>
      <c r="D2254" s="29"/>
      <c r="E2254" s="29"/>
      <c r="F2254" s="30"/>
      <c r="G2254" s="30"/>
      <c r="H2254" s="30"/>
      <c r="I2254" s="30"/>
      <c r="J2254" s="30"/>
      <c r="K2254" s="30"/>
      <c r="L2254" s="29"/>
      <c r="M2254" s="29"/>
      <c r="N2254" s="29"/>
      <c r="O2254" s="29"/>
      <c r="P2254" s="29"/>
      <c r="Q2254" s="29"/>
      <c r="R2254" s="29"/>
      <c r="S2254" s="29"/>
      <c r="T2254" s="29"/>
      <c r="U2254" s="31"/>
      <c r="V2254" s="31"/>
      <c r="W2254" s="31"/>
      <c r="X2254" s="31"/>
      <c r="Y2254" s="31"/>
    </row>
    <row r="2255" spans="1:25" x14ac:dyDescent="0.2">
      <c r="A2255" s="29"/>
      <c r="B2255" s="29"/>
      <c r="C2255" s="29"/>
      <c r="D2255" s="29"/>
      <c r="E2255" s="29"/>
      <c r="F2255" s="30"/>
      <c r="G2255" s="30"/>
      <c r="H2255" s="30"/>
      <c r="I2255" s="30"/>
      <c r="J2255" s="30"/>
      <c r="K2255" s="30"/>
      <c r="L2255" s="29"/>
      <c r="M2255" s="29"/>
      <c r="N2255" s="29"/>
      <c r="O2255" s="29"/>
      <c r="P2255" s="29"/>
      <c r="Q2255" s="29"/>
      <c r="R2255" s="29"/>
      <c r="S2255" s="29"/>
      <c r="T2255" s="29"/>
      <c r="U2255" s="31"/>
      <c r="V2255" s="31"/>
      <c r="W2255" s="31"/>
      <c r="X2255" s="31"/>
      <c r="Y2255" s="31"/>
    </row>
    <row r="2256" spans="1:25" x14ac:dyDescent="0.2">
      <c r="A2256" s="29"/>
      <c r="B2256" s="29"/>
      <c r="C2256" s="29"/>
      <c r="D2256" s="29"/>
      <c r="E2256" s="29"/>
      <c r="F2256" s="30"/>
      <c r="G2256" s="30"/>
      <c r="H2256" s="30"/>
      <c r="I2256" s="30"/>
      <c r="J2256" s="30"/>
      <c r="K2256" s="30"/>
      <c r="L2256" s="29"/>
      <c r="M2256" s="29"/>
      <c r="N2256" s="29"/>
      <c r="O2256" s="29"/>
      <c r="P2256" s="29"/>
      <c r="Q2256" s="29"/>
      <c r="R2256" s="29"/>
      <c r="S2256" s="29"/>
      <c r="T2256" s="29"/>
      <c r="U2256" s="31"/>
      <c r="V2256" s="31"/>
      <c r="W2256" s="31"/>
      <c r="X2256" s="31"/>
      <c r="Y2256" s="31"/>
    </row>
    <row r="2257" spans="1:25" x14ac:dyDescent="0.2">
      <c r="A2257" s="29"/>
      <c r="B2257" s="29"/>
      <c r="C2257" s="29"/>
      <c r="D2257" s="29"/>
      <c r="E2257" s="29"/>
      <c r="F2257" s="30"/>
      <c r="G2257" s="30"/>
      <c r="H2257" s="30"/>
      <c r="I2257" s="30"/>
      <c r="J2257" s="30"/>
      <c r="K2257" s="30"/>
      <c r="L2257" s="29"/>
      <c r="M2257" s="29"/>
      <c r="N2257" s="29"/>
      <c r="O2257" s="29"/>
      <c r="P2257" s="29"/>
      <c r="Q2257" s="29"/>
      <c r="R2257" s="29"/>
      <c r="S2257" s="29"/>
      <c r="T2257" s="29"/>
      <c r="U2257" s="31"/>
      <c r="V2257" s="31"/>
      <c r="W2257" s="31"/>
      <c r="X2257" s="31"/>
      <c r="Y2257" s="31"/>
    </row>
    <row r="2258" spans="1:25" x14ac:dyDescent="0.2">
      <c r="A2258" s="29"/>
      <c r="B2258" s="29"/>
      <c r="C2258" s="29"/>
      <c r="D2258" s="29"/>
      <c r="E2258" s="29"/>
      <c r="F2258" s="30"/>
      <c r="G2258" s="30"/>
      <c r="H2258" s="30"/>
      <c r="I2258" s="30"/>
      <c r="J2258" s="30"/>
      <c r="K2258" s="30"/>
      <c r="L2258" s="29"/>
      <c r="M2258" s="29"/>
      <c r="N2258" s="29"/>
      <c r="O2258" s="29"/>
      <c r="P2258" s="29"/>
      <c r="Q2258" s="29"/>
      <c r="R2258" s="29"/>
      <c r="S2258" s="29"/>
      <c r="T2258" s="29"/>
      <c r="U2258" s="31"/>
      <c r="V2258" s="31"/>
      <c r="W2258" s="31"/>
      <c r="X2258" s="31"/>
      <c r="Y2258" s="31"/>
    </row>
    <row r="2259" spans="1:25" x14ac:dyDescent="0.2">
      <c r="A2259" s="29"/>
      <c r="B2259" s="29"/>
      <c r="C2259" s="29"/>
      <c r="D2259" s="29"/>
      <c r="E2259" s="29"/>
      <c r="F2259" s="30"/>
      <c r="G2259" s="30"/>
      <c r="H2259" s="30"/>
      <c r="I2259" s="30"/>
      <c r="J2259" s="30"/>
      <c r="K2259" s="30"/>
      <c r="L2259" s="29"/>
      <c r="M2259" s="29"/>
      <c r="N2259" s="29"/>
      <c r="O2259" s="29"/>
      <c r="P2259" s="29"/>
      <c r="Q2259" s="29"/>
      <c r="R2259" s="29"/>
      <c r="S2259" s="29"/>
      <c r="T2259" s="29"/>
      <c r="U2259" s="31"/>
      <c r="V2259" s="31"/>
      <c r="W2259" s="31"/>
      <c r="X2259" s="31"/>
      <c r="Y2259" s="31"/>
    </row>
    <row r="2260" spans="1:25" x14ac:dyDescent="0.2">
      <c r="A2260" s="29"/>
      <c r="B2260" s="29"/>
      <c r="C2260" s="29"/>
      <c r="D2260" s="29"/>
      <c r="E2260" s="29"/>
      <c r="F2260" s="30"/>
      <c r="G2260" s="30"/>
      <c r="H2260" s="30"/>
      <c r="I2260" s="30"/>
      <c r="J2260" s="30"/>
      <c r="K2260" s="30"/>
      <c r="L2260" s="29"/>
      <c r="M2260" s="29"/>
      <c r="N2260" s="29"/>
      <c r="O2260" s="29"/>
      <c r="P2260" s="29"/>
      <c r="Q2260" s="29"/>
      <c r="R2260" s="29"/>
      <c r="S2260" s="29"/>
      <c r="T2260" s="29"/>
      <c r="U2260" s="31"/>
      <c r="V2260" s="31"/>
      <c r="W2260" s="31"/>
      <c r="X2260" s="31"/>
      <c r="Y2260" s="31"/>
    </row>
    <row r="2261" spans="1:25" x14ac:dyDescent="0.2">
      <c r="A2261" s="29"/>
      <c r="B2261" s="29"/>
      <c r="C2261" s="29"/>
      <c r="D2261" s="29"/>
      <c r="E2261" s="29"/>
      <c r="F2261" s="30"/>
      <c r="G2261" s="30"/>
      <c r="H2261" s="30"/>
      <c r="I2261" s="30"/>
      <c r="J2261" s="30"/>
      <c r="K2261" s="30"/>
      <c r="L2261" s="29"/>
      <c r="M2261" s="29"/>
      <c r="N2261" s="29"/>
      <c r="O2261" s="29"/>
      <c r="P2261" s="29"/>
      <c r="Q2261" s="29"/>
      <c r="R2261" s="29"/>
      <c r="S2261" s="29"/>
      <c r="T2261" s="29"/>
      <c r="U2261" s="31"/>
      <c r="V2261" s="31"/>
      <c r="W2261" s="31"/>
      <c r="X2261" s="31"/>
      <c r="Y2261" s="31"/>
    </row>
    <row r="2262" spans="1:25" x14ac:dyDescent="0.2">
      <c r="A2262" s="29"/>
      <c r="B2262" s="29"/>
      <c r="C2262" s="29"/>
      <c r="D2262" s="29"/>
      <c r="E2262" s="29"/>
      <c r="F2262" s="30"/>
      <c r="G2262" s="30"/>
      <c r="H2262" s="30"/>
      <c r="I2262" s="30"/>
      <c r="J2262" s="30"/>
      <c r="K2262" s="30"/>
      <c r="L2262" s="29"/>
      <c r="M2262" s="29"/>
      <c r="N2262" s="29"/>
      <c r="O2262" s="29"/>
      <c r="P2262" s="29"/>
      <c r="Q2262" s="29"/>
      <c r="R2262" s="29"/>
      <c r="S2262" s="29"/>
      <c r="T2262" s="29"/>
      <c r="U2262" s="31"/>
      <c r="V2262" s="31"/>
      <c r="W2262" s="31"/>
      <c r="X2262" s="31"/>
      <c r="Y2262" s="31"/>
    </row>
    <row r="2263" spans="1:25" x14ac:dyDescent="0.2">
      <c r="A2263" s="29"/>
      <c r="B2263" s="29"/>
      <c r="C2263" s="29"/>
      <c r="D2263" s="29"/>
      <c r="E2263" s="29"/>
      <c r="F2263" s="30"/>
      <c r="G2263" s="30"/>
      <c r="H2263" s="30"/>
      <c r="I2263" s="30"/>
      <c r="J2263" s="30"/>
      <c r="K2263" s="30"/>
      <c r="L2263" s="29"/>
      <c r="M2263" s="29"/>
      <c r="N2263" s="29"/>
      <c r="O2263" s="29"/>
      <c r="P2263" s="29"/>
      <c r="Q2263" s="29"/>
      <c r="R2263" s="29"/>
      <c r="S2263" s="29"/>
      <c r="T2263" s="29"/>
      <c r="U2263" s="31"/>
      <c r="V2263" s="31"/>
      <c r="W2263" s="31"/>
      <c r="X2263" s="31"/>
      <c r="Y2263" s="31"/>
    </row>
    <row r="2264" spans="1:25" x14ac:dyDescent="0.2">
      <c r="A2264" s="29"/>
      <c r="B2264" s="29"/>
      <c r="C2264" s="29"/>
      <c r="D2264" s="29"/>
      <c r="E2264" s="29"/>
      <c r="F2264" s="30"/>
      <c r="G2264" s="30"/>
      <c r="H2264" s="30"/>
      <c r="I2264" s="30"/>
      <c r="J2264" s="30"/>
      <c r="K2264" s="30"/>
      <c r="L2264" s="29"/>
      <c r="M2264" s="29"/>
      <c r="N2264" s="29"/>
      <c r="O2264" s="29"/>
      <c r="P2264" s="29"/>
      <c r="Q2264" s="29"/>
      <c r="R2264" s="29"/>
      <c r="S2264" s="29"/>
      <c r="T2264" s="29"/>
      <c r="U2264" s="31"/>
      <c r="V2264" s="31"/>
      <c r="W2264" s="31"/>
      <c r="X2264" s="31"/>
      <c r="Y2264" s="31"/>
    </row>
    <row r="2265" spans="1:25" x14ac:dyDescent="0.2">
      <c r="A2265" s="29"/>
      <c r="B2265" s="29"/>
      <c r="C2265" s="29"/>
      <c r="D2265" s="29"/>
      <c r="E2265" s="29"/>
      <c r="F2265" s="30"/>
      <c r="G2265" s="30"/>
      <c r="H2265" s="30"/>
      <c r="I2265" s="30"/>
      <c r="J2265" s="30"/>
      <c r="K2265" s="30"/>
      <c r="L2265" s="29"/>
      <c r="M2265" s="29"/>
      <c r="N2265" s="29"/>
      <c r="O2265" s="29"/>
      <c r="P2265" s="29"/>
      <c r="Q2265" s="29"/>
      <c r="R2265" s="29"/>
      <c r="S2265" s="29"/>
      <c r="T2265" s="29"/>
      <c r="U2265" s="31"/>
      <c r="V2265" s="31"/>
      <c r="W2265" s="31"/>
      <c r="X2265" s="31"/>
      <c r="Y2265" s="31"/>
    </row>
    <row r="2266" spans="1:25" x14ac:dyDescent="0.2">
      <c r="A2266" s="29"/>
      <c r="B2266" s="29"/>
      <c r="C2266" s="29"/>
      <c r="D2266" s="29"/>
      <c r="E2266" s="29"/>
      <c r="F2266" s="30"/>
      <c r="G2266" s="30"/>
      <c r="H2266" s="30"/>
      <c r="I2266" s="30"/>
      <c r="J2266" s="30"/>
      <c r="K2266" s="30"/>
      <c r="L2266" s="29"/>
      <c r="M2266" s="29"/>
      <c r="N2266" s="29"/>
      <c r="O2266" s="29"/>
      <c r="P2266" s="29"/>
      <c r="Q2266" s="29"/>
      <c r="R2266" s="29"/>
      <c r="S2266" s="29"/>
      <c r="T2266" s="29"/>
      <c r="U2266" s="31"/>
      <c r="V2266" s="31"/>
      <c r="W2266" s="31"/>
      <c r="X2266" s="31"/>
      <c r="Y2266" s="31"/>
    </row>
    <row r="2267" spans="1:25" x14ac:dyDescent="0.2">
      <c r="A2267" s="29"/>
      <c r="B2267" s="29"/>
      <c r="C2267" s="29"/>
      <c r="D2267" s="29"/>
      <c r="E2267" s="29"/>
      <c r="F2267" s="30"/>
      <c r="G2267" s="30"/>
      <c r="H2267" s="30"/>
      <c r="I2267" s="30"/>
      <c r="J2267" s="30"/>
      <c r="K2267" s="30"/>
      <c r="L2267" s="29"/>
      <c r="M2267" s="29"/>
      <c r="N2267" s="29"/>
      <c r="O2267" s="29"/>
      <c r="P2267" s="29"/>
      <c r="Q2267" s="29"/>
      <c r="R2267" s="29"/>
      <c r="S2267" s="29"/>
      <c r="T2267" s="29"/>
      <c r="U2267" s="31"/>
      <c r="V2267" s="31"/>
      <c r="W2267" s="31"/>
      <c r="X2267" s="31"/>
      <c r="Y2267" s="31"/>
    </row>
    <row r="2268" spans="1:25" x14ac:dyDescent="0.2">
      <c r="A2268" s="29"/>
      <c r="B2268" s="29"/>
      <c r="C2268" s="29"/>
      <c r="D2268" s="29"/>
      <c r="E2268" s="29"/>
      <c r="F2268" s="30"/>
      <c r="G2268" s="30"/>
      <c r="H2268" s="30"/>
      <c r="I2268" s="30"/>
      <c r="J2268" s="30"/>
      <c r="K2268" s="30"/>
      <c r="L2268" s="29"/>
      <c r="M2268" s="29"/>
      <c r="N2268" s="29"/>
      <c r="O2268" s="29"/>
      <c r="P2268" s="29"/>
      <c r="Q2268" s="29"/>
      <c r="R2268" s="29"/>
      <c r="S2268" s="29"/>
      <c r="T2268" s="29"/>
      <c r="U2268" s="31"/>
      <c r="V2268" s="31"/>
      <c r="W2268" s="31"/>
      <c r="X2268" s="31"/>
      <c r="Y2268" s="31"/>
    </row>
    <row r="2269" spans="1:25" x14ac:dyDescent="0.2">
      <c r="A2269" s="29"/>
      <c r="B2269" s="29"/>
      <c r="C2269" s="29"/>
      <c r="D2269" s="29"/>
      <c r="E2269" s="29"/>
      <c r="F2269" s="30"/>
      <c r="G2269" s="30"/>
      <c r="H2269" s="30"/>
      <c r="I2269" s="30"/>
      <c r="J2269" s="30"/>
      <c r="K2269" s="30"/>
      <c r="L2269" s="29"/>
      <c r="M2269" s="29"/>
      <c r="N2269" s="29"/>
      <c r="O2269" s="29"/>
      <c r="P2269" s="29"/>
      <c r="Q2269" s="29"/>
      <c r="R2269" s="29"/>
      <c r="S2269" s="29"/>
      <c r="T2269" s="29"/>
      <c r="U2269" s="31"/>
      <c r="V2269" s="31"/>
      <c r="W2269" s="31"/>
      <c r="X2269" s="31"/>
      <c r="Y2269" s="31"/>
    </row>
    <row r="2270" spans="1:25" x14ac:dyDescent="0.2">
      <c r="A2270" s="29"/>
      <c r="B2270" s="29"/>
      <c r="C2270" s="29"/>
      <c r="D2270" s="29"/>
      <c r="E2270" s="29"/>
      <c r="F2270" s="30"/>
      <c r="G2270" s="30"/>
      <c r="H2270" s="30"/>
      <c r="I2270" s="30"/>
      <c r="J2270" s="30"/>
      <c r="K2270" s="30"/>
      <c r="L2270" s="29"/>
      <c r="M2270" s="29"/>
      <c r="N2270" s="29"/>
      <c r="O2270" s="29"/>
      <c r="P2270" s="29"/>
      <c r="Q2270" s="29"/>
      <c r="R2270" s="29"/>
      <c r="S2270" s="29"/>
      <c r="T2270" s="29"/>
      <c r="U2270" s="31"/>
      <c r="V2270" s="31"/>
      <c r="W2270" s="31"/>
      <c r="X2270" s="31"/>
      <c r="Y2270" s="31"/>
    </row>
    <row r="2271" spans="1:25" x14ac:dyDescent="0.2">
      <c r="A2271" s="29"/>
      <c r="B2271" s="29"/>
      <c r="C2271" s="29"/>
      <c r="D2271" s="29"/>
      <c r="E2271" s="29"/>
      <c r="F2271" s="30"/>
      <c r="G2271" s="30"/>
      <c r="H2271" s="30"/>
      <c r="I2271" s="30"/>
      <c r="J2271" s="30"/>
      <c r="K2271" s="30"/>
      <c r="L2271" s="29"/>
      <c r="M2271" s="29"/>
      <c r="N2271" s="29"/>
      <c r="O2271" s="29"/>
      <c r="P2271" s="29"/>
      <c r="Q2271" s="29"/>
      <c r="R2271" s="29"/>
      <c r="S2271" s="29"/>
      <c r="T2271" s="29"/>
      <c r="U2271" s="31"/>
      <c r="V2271" s="31"/>
      <c r="W2271" s="31"/>
      <c r="X2271" s="31"/>
      <c r="Y2271" s="31"/>
    </row>
    <row r="2272" spans="1:25" x14ac:dyDescent="0.2">
      <c r="A2272" s="29"/>
      <c r="B2272" s="29"/>
      <c r="C2272" s="29"/>
      <c r="D2272" s="29"/>
      <c r="E2272" s="29"/>
      <c r="F2272" s="30"/>
      <c r="G2272" s="30"/>
      <c r="H2272" s="30"/>
      <c r="I2272" s="30"/>
      <c r="J2272" s="30"/>
      <c r="K2272" s="30"/>
      <c r="L2272" s="29"/>
      <c r="M2272" s="29"/>
      <c r="N2272" s="29"/>
      <c r="O2272" s="29"/>
      <c r="P2272" s="29"/>
      <c r="Q2272" s="29"/>
      <c r="R2272" s="29"/>
      <c r="S2272" s="29"/>
      <c r="T2272" s="29"/>
      <c r="U2272" s="31"/>
      <c r="V2272" s="31"/>
      <c r="W2272" s="31"/>
      <c r="X2272" s="31"/>
      <c r="Y2272" s="31"/>
    </row>
    <row r="2273" spans="1:25" x14ac:dyDescent="0.2">
      <c r="A2273" s="29"/>
      <c r="B2273" s="29"/>
      <c r="C2273" s="29"/>
      <c r="D2273" s="29"/>
      <c r="E2273" s="29"/>
      <c r="F2273" s="30"/>
      <c r="G2273" s="30"/>
      <c r="H2273" s="30"/>
      <c r="I2273" s="30"/>
      <c r="J2273" s="30"/>
      <c r="K2273" s="30"/>
      <c r="L2273" s="29"/>
      <c r="M2273" s="29"/>
      <c r="N2273" s="29"/>
      <c r="O2273" s="29"/>
      <c r="P2273" s="29"/>
      <c r="Q2273" s="29"/>
      <c r="R2273" s="29"/>
      <c r="S2273" s="29"/>
      <c r="T2273" s="29"/>
      <c r="U2273" s="31"/>
      <c r="V2273" s="31"/>
      <c r="W2273" s="31"/>
      <c r="X2273" s="31"/>
      <c r="Y2273" s="31"/>
    </row>
    <row r="2274" spans="1:25" x14ac:dyDescent="0.2">
      <c r="A2274" s="29"/>
      <c r="B2274" s="29"/>
      <c r="C2274" s="29"/>
      <c r="D2274" s="29"/>
      <c r="E2274" s="29"/>
      <c r="F2274" s="30"/>
      <c r="G2274" s="30"/>
      <c r="H2274" s="30"/>
      <c r="I2274" s="30"/>
      <c r="J2274" s="30"/>
      <c r="K2274" s="30"/>
      <c r="L2274" s="29"/>
      <c r="M2274" s="29"/>
      <c r="N2274" s="29"/>
      <c r="O2274" s="29"/>
      <c r="P2274" s="29"/>
      <c r="Q2274" s="29"/>
      <c r="R2274" s="29"/>
      <c r="S2274" s="29"/>
      <c r="T2274" s="29"/>
      <c r="U2274" s="31"/>
      <c r="V2274" s="31"/>
      <c r="W2274" s="31"/>
      <c r="X2274" s="31"/>
      <c r="Y2274" s="31"/>
    </row>
    <row r="2275" spans="1:25" x14ac:dyDescent="0.2">
      <c r="A2275" s="29"/>
      <c r="B2275" s="29"/>
      <c r="C2275" s="29"/>
      <c r="D2275" s="29"/>
      <c r="E2275" s="29"/>
      <c r="F2275" s="30"/>
      <c r="G2275" s="30"/>
      <c r="H2275" s="30"/>
      <c r="I2275" s="30"/>
      <c r="J2275" s="30"/>
      <c r="K2275" s="30"/>
      <c r="L2275" s="29"/>
      <c r="M2275" s="29"/>
      <c r="N2275" s="29"/>
      <c r="O2275" s="29"/>
      <c r="P2275" s="29"/>
      <c r="Q2275" s="29"/>
      <c r="R2275" s="29"/>
      <c r="S2275" s="29"/>
      <c r="T2275" s="29"/>
      <c r="U2275" s="31"/>
      <c r="V2275" s="31"/>
      <c r="W2275" s="31"/>
      <c r="X2275" s="31"/>
      <c r="Y2275" s="31"/>
    </row>
    <row r="2276" spans="1:25" x14ac:dyDescent="0.2">
      <c r="A2276" s="29"/>
      <c r="B2276" s="29"/>
      <c r="C2276" s="29"/>
      <c r="D2276" s="29"/>
      <c r="E2276" s="29"/>
      <c r="F2276" s="30"/>
      <c r="G2276" s="30"/>
      <c r="H2276" s="30"/>
      <c r="I2276" s="30"/>
      <c r="J2276" s="30"/>
      <c r="K2276" s="30"/>
      <c r="L2276" s="29"/>
      <c r="M2276" s="29"/>
      <c r="N2276" s="29"/>
      <c r="O2276" s="29"/>
      <c r="P2276" s="29"/>
      <c r="Q2276" s="29"/>
      <c r="R2276" s="29"/>
      <c r="S2276" s="29"/>
      <c r="T2276" s="29"/>
      <c r="U2276" s="31"/>
      <c r="V2276" s="31"/>
      <c r="W2276" s="31"/>
      <c r="X2276" s="31"/>
      <c r="Y2276" s="31"/>
    </row>
    <row r="2277" spans="1:25" x14ac:dyDescent="0.2">
      <c r="A2277" s="29"/>
      <c r="B2277" s="29"/>
      <c r="C2277" s="29"/>
      <c r="D2277" s="29"/>
      <c r="E2277" s="29"/>
      <c r="F2277" s="30"/>
      <c r="G2277" s="30"/>
      <c r="H2277" s="30"/>
      <c r="I2277" s="30"/>
      <c r="J2277" s="30"/>
      <c r="K2277" s="30"/>
      <c r="L2277" s="29"/>
      <c r="M2277" s="29"/>
      <c r="N2277" s="29"/>
      <c r="O2277" s="29"/>
      <c r="P2277" s="29"/>
      <c r="Q2277" s="29"/>
      <c r="R2277" s="29"/>
      <c r="S2277" s="29"/>
      <c r="T2277" s="29"/>
      <c r="U2277" s="31"/>
      <c r="V2277" s="31"/>
      <c r="W2277" s="31"/>
      <c r="X2277" s="31"/>
      <c r="Y2277" s="31"/>
    </row>
    <row r="2278" spans="1:25" x14ac:dyDescent="0.2">
      <c r="A2278" s="29"/>
      <c r="B2278" s="29"/>
      <c r="C2278" s="29"/>
      <c r="D2278" s="29"/>
      <c r="E2278" s="29"/>
      <c r="F2278" s="30"/>
      <c r="G2278" s="30"/>
      <c r="H2278" s="30"/>
      <c r="I2278" s="30"/>
      <c r="J2278" s="30"/>
      <c r="K2278" s="30"/>
      <c r="L2278" s="29"/>
      <c r="M2278" s="29"/>
      <c r="N2278" s="29"/>
      <c r="O2278" s="29"/>
      <c r="P2278" s="29"/>
      <c r="Q2278" s="29"/>
      <c r="R2278" s="29"/>
      <c r="S2278" s="29"/>
      <c r="T2278" s="29"/>
      <c r="U2278" s="31"/>
      <c r="V2278" s="31"/>
      <c r="W2278" s="31"/>
      <c r="X2278" s="31"/>
      <c r="Y2278" s="31"/>
    </row>
    <row r="2279" spans="1:25" x14ac:dyDescent="0.2">
      <c r="A2279" s="29"/>
      <c r="B2279" s="29"/>
      <c r="C2279" s="29"/>
      <c r="D2279" s="29"/>
      <c r="E2279" s="29"/>
      <c r="F2279" s="30"/>
      <c r="G2279" s="30"/>
      <c r="H2279" s="30"/>
      <c r="I2279" s="30"/>
      <c r="J2279" s="30"/>
      <c r="K2279" s="30"/>
      <c r="L2279" s="29"/>
      <c r="M2279" s="29"/>
      <c r="N2279" s="29"/>
      <c r="O2279" s="29"/>
      <c r="P2279" s="29"/>
      <c r="Q2279" s="29"/>
      <c r="R2279" s="29"/>
      <c r="S2279" s="29"/>
      <c r="T2279" s="29"/>
      <c r="U2279" s="31"/>
      <c r="V2279" s="31"/>
      <c r="W2279" s="31"/>
      <c r="X2279" s="31"/>
      <c r="Y2279" s="31"/>
    </row>
    <row r="2280" spans="1:25" x14ac:dyDescent="0.2">
      <c r="A2280" s="29"/>
      <c r="B2280" s="29"/>
      <c r="C2280" s="29"/>
      <c r="D2280" s="29"/>
      <c r="E2280" s="29"/>
      <c r="F2280" s="30"/>
      <c r="G2280" s="30"/>
      <c r="H2280" s="30"/>
      <c r="I2280" s="30"/>
      <c r="J2280" s="30"/>
      <c r="K2280" s="30"/>
      <c r="L2280" s="29"/>
      <c r="M2280" s="29"/>
      <c r="N2280" s="29"/>
      <c r="O2280" s="29"/>
      <c r="P2280" s="29"/>
      <c r="Q2280" s="29"/>
      <c r="R2280" s="29"/>
      <c r="S2280" s="29"/>
      <c r="T2280" s="29"/>
      <c r="U2280" s="31"/>
      <c r="V2280" s="31"/>
      <c r="W2280" s="31"/>
      <c r="X2280" s="31"/>
      <c r="Y2280" s="31"/>
    </row>
    <row r="2281" spans="1:25" x14ac:dyDescent="0.2">
      <c r="A2281" s="29"/>
      <c r="B2281" s="29"/>
      <c r="C2281" s="29"/>
      <c r="D2281" s="29"/>
      <c r="E2281" s="29"/>
      <c r="F2281" s="30"/>
      <c r="G2281" s="30"/>
      <c r="H2281" s="30"/>
      <c r="I2281" s="30"/>
      <c r="J2281" s="30"/>
      <c r="K2281" s="30"/>
      <c r="L2281" s="29"/>
      <c r="M2281" s="29"/>
      <c r="N2281" s="29"/>
      <c r="O2281" s="29"/>
      <c r="P2281" s="29"/>
      <c r="Q2281" s="29"/>
      <c r="R2281" s="29"/>
      <c r="S2281" s="29"/>
      <c r="T2281" s="29"/>
      <c r="U2281" s="31"/>
      <c r="V2281" s="31"/>
      <c r="W2281" s="31"/>
      <c r="X2281" s="31"/>
      <c r="Y2281" s="31"/>
    </row>
    <row r="2282" spans="1:25" x14ac:dyDescent="0.2">
      <c r="A2282" s="29"/>
      <c r="B2282" s="29"/>
      <c r="C2282" s="29"/>
      <c r="D2282" s="29"/>
      <c r="E2282" s="29"/>
      <c r="F2282" s="30"/>
      <c r="G2282" s="30"/>
      <c r="H2282" s="30"/>
      <c r="I2282" s="30"/>
      <c r="J2282" s="30"/>
      <c r="K2282" s="30"/>
      <c r="L2282" s="29"/>
      <c r="M2282" s="29"/>
      <c r="N2282" s="29"/>
      <c r="O2282" s="29"/>
      <c r="P2282" s="29"/>
      <c r="Q2282" s="29"/>
      <c r="R2282" s="29"/>
      <c r="S2282" s="29"/>
      <c r="T2282" s="29"/>
      <c r="U2282" s="31"/>
      <c r="V2282" s="31"/>
      <c r="W2282" s="31"/>
      <c r="X2282" s="31"/>
      <c r="Y2282" s="31"/>
    </row>
    <row r="2283" spans="1:25" x14ac:dyDescent="0.2">
      <c r="A2283" s="29"/>
      <c r="B2283" s="29"/>
      <c r="C2283" s="29"/>
      <c r="D2283" s="29"/>
      <c r="E2283" s="29"/>
      <c r="F2283" s="30"/>
      <c r="G2283" s="30"/>
      <c r="H2283" s="30"/>
      <c r="I2283" s="30"/>
      <c r="J2283" s="30"/>
      <c r="K2283" s="30"/>
      <c r="L2283" s="29"/>
      <c r="M2283" s="29"/>
      <c r="N2283" s="29"/>
      <c r="O2283" s="29"/>
      <c r="P2283" s="29"/>
      <c r="Q2283" s="29"/>
      <c r="R2283" s="29"/>
      <c r="S2283" s="29"/>
      <c r="T2283" s="29"/>
      <c r="U2283" s="31"/>
      <c r="V2283" s="31"/>
      <c r="W2283" s="31"/>
      <c r="X2283" s="31"/>
      <c r="Y2283" s="31"/>
    </row>
    <row r="2284" spans="1:25" x14ac:dyDescent="0.2">
      <c r="A2284" s="29"/>
      <c r="B2284" s="29"/>
      <c r="C2284" s="29"/>
      <c r="D2284" s="29"/>
      <c r="E2284" s="29"/>
      <c r="F2284" s="30"/>
      <c r="G2284" s="30"/>
      <c r="H2284" s="30"/>
      <c r="I2284" s="30"/>
      <c r="J2284" s="30"/>
      <c r="K2284" s="30"/>
      <c r="L2284" s="29"/>
      <c r="M2284" s="29"/>
      <c r="N2284" s="29"/>
      <c r="O2284" s="29"/>
      <c r="P2284" s="29"/>
      <c r="Q2284" s="29"/>
      <c r="R2284" s="29"/>
      <c r="S2284" s="29"/>
      <c r="T2284" s="29"/>
      <c r="U2284" s="31"/>
      <c r="V2284" s="31"/>
      <c r="W2284" s="31"/>
      <c r="X2284" s="31"/>
      <c r="Y2284" s="31"/>
    </row>
    <row r="2285" spans="1:25" x14ac:dyDescent="0.2">
      <c r="A2285" s="29"/>
      <c r="B2285" s="29"/>
      <c r="C2285" s="29"/>
      <c r="D2285" s="29"/>
      <c r="E2285" s="29"/>
      <c r="F2285" s="30"/>
      <c r="G2285" s="30"/>
      <c r="H2285" s="30"/>
      <c r="I2285" s="30"/>
      <c r="J2285" s="30"/>
      <c r="K2285" s="30"/>
      <c r="L2285" s="29"/>
      <c r="M2285" s="29"/>
      <c r="N2285" s="29"/>
      <c r="O2285" s="29"/>
      <c r="P2285" s="29"/>
      <c r="Q2285" s="29"/>
      <c r="R2285" s="29"/>
      <c r="S2285" s="29"/>
      <c r="T2285" s="29"/>
      <c r="U2285" s="31"/>
      <c r="V2285" s="31"/>
      <c r="W2285" s="31"/>
      <c r="X2285" s="31"/>
      <c r="Y2285" s="31"/>
    </row>
    <row r="2286" spans="1:25" x14ac:dyDescent="0.2">
      <c r="A2286" s="29"/>
      <c r="B2286" s="29"/>
      <c r="C2286" s="29"/>
      <c r="D2286" s="29"/>
      <c r="E2286" s="29"/>
      <c r="F2286" s="30"/>
      <c r="G2286" s="30"/>
      <c r="H2286" s="30"/>
      <c r="I2286" s="30"/>
      <c r="J2286" s="30"/>
      <c r="K2286" s="30"/>
      <c r="L2286" s="29"/>
      <c r="M2286" s="29"/>
      <c r="N2286" s="29"/>
      <c r="O2286" s="29"/>
      <c r="P2286" s="29"/>
      <c r="Q2286" s="29"/>
      <c r="R2286" s="29"/>
      <c r="S2286" s="29"/>
      <c r="T2286" s="29"/>
      <c r="U2286" s="31"/>
      <c r="V2286" s="31"/>
      <c r="W2286" s="31"/>
      <c r="X2286" s="31"/>
      <c r="Y2286" s="31"/>
    </row>
    <row r="2287" spans="1:25" x14ac:dyDescent="0.2">
      <c r="A2287" s="29"/>
      <c r="B2287" s="29"/>
      <c r="C2287" s="29"/>
      <c r="D2287" s="29"/>
      <c r="E2287" s="29"/>
      <c r="F2287" s="30"/>
      <c r="G2287" s="30"/>
      <c r="H2287" s="30"/>
      <c r="I2287" s="30"/>
      <c r="J2287" s="30"/>
      <c r="K2287" s="30"/>
      <c r="L2287" s="29"/>
      <c r="M2287" s="29"/>
      <c r="N2287" s="29"/>
      <c r="O2287" s="29"/>
      <c r="P2287" s="29"/>
      <c r="Q2287" s="29"/>
      <c r="R2287" s="29"/>
      <c r="S2287" s="29"/>
      <c r="T2287" s="29"/>
      <c r="U2287" s="31"/>
      <c r="V2287" s="31"/>
      <c r="W2287" s="31"/>
      <c r="X2287" s="31"/>
      <c r="Y2287" s="31"/>
    </row>
    <row r="2288" spans="1:25" x14ac:dyDescent="0.2">
      <c r="A2288" s="29"/>
      <c r="B2288" s="29"/>
      <c r="C2288" s="29"/>
      <c r="D2288" s="29"/>
      <c r="E2288" s="29"/>
      <c r="F2288" s="30"/>
      <c r="G2288" s="30"/>
      <c r="H2288" s="30"/>
      <c r="I2288" s="30"/>
      <c r="J2288" s="30"/>
      <c r="K2288" s="30"/>
      <c r="L2288" s="29"/>
      <c r="M2288" s="29"/>
      <c r="N2288" s="29"/>
      <c r="O2288" s="29"/>
      <c r="P2288" s="29"/>
      <c r="Q2288" s="29"/>
      <c r="R2288" s="29"/>
      <c r="S2288" s="29"/>
      <c r="T2288" s="29"/>
      <c r="U2288" s="31"/>
      <c r="V2288" s="31"/>
      <c r="W2288" s="31"/>
      <c r="X2288" s="31"/>
      <c r="Y2288" s="31"/>
    </row>
    <row r="2289" spans="1:25" x14ac:dyDescent="0.2">
      <c r="A2289" s="29"/>
      <c r="B2289" s="29"/>
      <c r="C2289" s="29"/>
      <c r="D2289" s="29"/>
      <c r="E2289" s="29"/>
      <c r="F2289" s="30"/>
      <c r="G2289" s="30"/>
      <c r="H2289" s="30"/>
      <c r="I2289" s="30"/>
      <c r="J2289" s="30"/>
      <c r="K2289" s="30"/>
      <c r="L2289" s="29"/>
      <c r="M2289" s="29"/>
      <c r="N2289" s="29"/>
      <c r="O2289" s="29"/>
      <c r="P2289" s="29"/>
      <c r="Q2289" s="29"/>
      <c r="R2289" s="29"/>
      <c r="S2289" s="29"/>
      <c r="T2289" s="29"/>
      <c r="U2289" s="31"/>
      <c r="V2289" s="31"/>
      <c r="W2289" s="31"/>
      <c r="X2289" s="31"/>
      <c r="Y2289" s="31"/>
    </row>
    <row r="2290" spans="1:25" x14ac:dyDescent="0.2">
      <c r="A2290" s="29"/>
      <c r="B2290" s="29"/>
      <c r="C2290" s="29"/>
      <c r="D2290" s="29"/>
      <c r="E2290" s="29"/>
      <c r="F2290" s="30"/>
      <c r="G2290" s="30"/>
      <c r="H2290" s="30"/>
      <c r="I2290" s="30"/>
      <c r="J2290" s="30"/>
      <c r="K2290" s="30"/>
      <c r="L2290" s="29"/>
      <c r="M2290" s="29"/>
      <c r="N2290" s="29"/>
      <c r="O2290" s="29"/>
      <c r="P2290" s="29"/>
      <c r="Q2290" s="29"/>
      <c r="R2290" s="29"/>
      <c r="S2290" s="29"/>
      <c r="T2290" s="29"/>
      <c r="U2290" s="31"/>
      <c r="V2290" s="31"/>
      <c r="W2290" s="31"/>
      <c r="X2290" s="31"/>
      <c r="Y2290" s="31"/>
    </row>
    <row r="2291" spans="1:25" x14ac:dyDescent="0.2">
      <c r="A2291" s="29"/>
      <c r="B2291" s="29"/>
      <c r="C2291" s="29"/>
      <c r="D2291" s="29"/>
      <c r="E2291" s="29"/>
      <c r="F2291" s="30"/>
      <c r="G2291" s="30"/>
      <c r="H2291" s="30"/>
      <c r="I2291" s="30"/>
      <c r="J2291" s="30"/>
      <c r="K2291" s="30"/>
      <c r="L2291" s="29"/>
      <c r="M2291" s="29"/>
      <c r="N2291" s="29"/>
      <c r="O2291" s="29"/>
      <c r="P2291" s="29"/>
      <c r="Q2291" s="29"/>
      <c r="R2291" s="29"/>
      <c r="S2291" s="29"/>
      <c r="T2291" s="29"/>
      <c r="U2291" s="31"/>
      <c r="V2291" s="31"/>
      <c r="W2291" s="31"/>
      <c r="X2291" s="31"/>
      <c r="Y2291" s="31"/>
    </row>
    <row r="2292" spans="1:25" x14ac:dyDescent="0.2">
      <c r="A2292" s="29"/>
      <c r="B2292" s="29"/>
      <c r="C2292" s="29"/>
      <c r="D2292" s="29"/>
      <c r="E2292" s="29"/>
      <c r="F2292" s="30"/>
      <c r="G2292" s="30"/>
      <c r="H2292" s="30"/>
      <c r="I2292" s="30"/>
      <c r="J2292" s="30"/>
      <c r="K2292" s="30"/>
      <c r="L2292" s="29"/>
      <c r="M2292" s="29"/>
      <c r="N2292" s="29"/>
      <c r="O2292" s="29"/>
      <c r="P2292" s="29"/>
      <c r="Q2292" s="29"/>
      <c r="R2292" s="29"/>
      <c r="S2292" s="29"/>
      <c r="T2292" s="29"/>
      <c r="U2292" s="31"/>
      <c r="V2292" s="31"/>
      <c r="W2292" s="31"/>
      <c r="X2292" s="31"/>
      <c r="Y2292" s="31"/>
    </row>
    <row r="2293" spans="1:25" x14ac:dyDescent="0.2">
      <c r="A2293" s="29"/>
      <c r="B2293" s="29"/>
      <c r="C2293" s="29"/>
      <c r="D2293" s="29"/>
      <c r="E2293" s="29"/>
      <c r="F2293" s="30"/>
      <c r="G2293" s="30"/>
      <c r="H2293" s="30"/>
      <c r="I2293" s="30"/>
      <c r="J2293" s="30"/>
      <c r="K2293" s="30"/>
      <c r="L2293" s="29"/>
      <c r="M2293" s="29"/>
      <c r="N2293" s="29"/>
      <c r="O2293" s="29"/>
      <c r="P2293" s="29"/>
      <c r="Q2293" s="29"/>
      <c r="R2293" s="29"/>
      <c r="S2293" s="29"/>
      <c r="T2293" s="29"/>
      <c r="U2293" s="31"/>
      <c r="V2293" s="31"/>
      <c r="W2293" s="31"/>
      <c r="X2293" s="31"/>
      <c r="Y2293" s="31"/>
    </row>
    <row r="2294" spans="1:25" x14ac:dyDescent="0.2">
      <c r="A2294" s="29"/>
      <c r="B2294" s="29"/>
      <c r="C2294" s="29"/>
      <c r="D2294" s="29"/>
      <c r="E2294" s="29"/>
      <c r="F2294" s="30"/>
      <c r="G2294" s="30"/>
      <c r="H2294" s="30"/>
      <c r="I2294" s="30"/>
      <c r="J2294" s="30"/>
      <c r="K2294" s="30"/>
      <c r="L2294" s="29"/>
      <c r="M2294" s="29"/>
      <c r="N2294" s="29"/>
      <c r="O2294" s="29"/>
      <c r="P2294" s="29"/>
      <c r="Q2294" s="29"/>
      <c r="R2294" s="29"/>
      <c r="S2294" s="29"/>
      <c r="T2294" s="29"/>
      <c r="U2294" s="31"/>
      <c r="V2294" s="31"/>
      <c r="W2294" s="31"/>
      <c r="X2294" s="31"/>
      <c r="Y2294" s="31"/>
    </row>
    <row r="2295" spans="1:25" x14ac:dyDescent="0.2">
      <c r="A2295" s="29"/>
      <c r="B2295" s="29"/>
      <c r="C2295" s="29"/>
      <c r="D2295" s="29"/>
      <c r="E2295" s="29"/>
      <c r="F2295" s="30"/>
      <c r="G2295" s="30"/>
      <c r="H2295" s="30"/>
      <c r="I2295" s="30"/>
      <c r="J2295" s="30"/>
      <c r="K2295" s="30"/>
      <c r="L2295" s="29"/>
      <c r="M2295" s="29"/>
      <c r="N2295" s="29"/>
      <c r="O2295" s="29"/>
      <c r="P2295" s="29"/>
      <c r="Q2295" s="29"/>
      <c r="R2295" s="29"/>
      <c r="S2295" s="29"/>
      <c r="T2295" s="29"/>
      <c r="U2295" s="31"/>
      <c r="V2295" s="31"/>
      <c r="W2295" s="31"/>
      <c r="X2295" s="31"/>
      <c r="Y2295" s="31"/>
    </row>
    <row r="2296" spans="1:25" x14ac:dyDescent="0.2">
      <c r="A2296" s="29"/>
      <c r="B2296" s="29"/>
      <c r="C2296" s="29"/>
      <c r="D2296" s="29"/>
      <c r="E2296" s="29"/>
      <c r="F2296" s="30"/>
      <c r="G2296" s="30"/>
      <c r="H2296" s="30"/>
      <c r="I2296" s="30"/>
      <c r="J2296" s="30"/>
      <c r="K2296" s="30"/>
      <c r="L2296" s="29"/>
      <c r="M2296" s="29"/>
      <c r="N2296" s="29"/>
      <c r="O2296" s="29"/>
      <c r="P2296" s="29"/>
      <c r="Q2296" s="29"/>
      <c r="R2296" s="29"/>
      <c r="S2296" s="29"/>
      <c r="T2296" s="29"/>
      <c r="U2296" s="31"/>
      <c r="V2296" s="31"/>
      <c r="W2296" s="31"/>
      <c r="X2296" s="31"/>
      <c r="Y2296" s="31"/>
    </row>
    <row r="2297" spans="1:25" x14ac:dyDescent="0.2">
      <c r="A2297" s="29"/>
      <c r="B2297" s="29"/>
      <c r="C2297" s="29"/>
      <c r="D2297" s="29"/>
      <c r="E2297" s="29"/>
      <c r="F2297" s="30"/>
      <c r="G2297" s="30"/>
      <c r="H2297" s="30"/>
      <c r="I2297" s="30"/>
      <c r="J2297" s="30"/>
      <c r="K2297" s="30"/>
      <c r="L2297" s="29"/>
      <c r="M2297" s="29"/>
      <c r="N2297" s="29"/>
      <c r="O2297" s="29"/>
      <c r="P2297" s="29"/>
      <c r="Q2297" s="29"/>
      <c r="R2297" s="29"/>
      <c r="S2297" s="29"/>
      <c r="T2297" s="29"/>
      <c r="U2297" s="31"/>
      <c r="V2297" s="31"/>
      <c r="W2297" s="31"/>
      <c r="X2297" s="31"/>
      <c r="Y2297" s="31"/>
    </row>
    <row r="2298" spans="1:25" x14ac:dyDescent="0.2">
      <c r="A2298" s="29"/>
      <c r="B2298" s="29"/>
      <c r="C2298" s="29"/>
      <c r="D2298" s="29"/>
      <c r="E2298" s="29"/>
      <c r="F2298" s="30"/>
      <c r="G2298" s="30"/>
      <c r="H2298" s="30"/>
      <c r="I2298" s="30"/>
      <c r="J2298" s="30"/>
      <c r="K2298" s="30"/>
      <c r="L2298" s="29"/>
      <c r="M2298" s="29"/>
      <c r="N2298" s="29"/>
      <c r="O2298" s="29"/>
      <c r="P2298" s="29"/>
      <c r="Q2298" s="29"/>
      <c r="R2298" s="29"/>
      <c r="S2298" s="29"/>
      <c r="T2298" s="29"/>
      <c r="U2298" s="31"/>
      <c r="V2298" s="31"/>
      <c r="W2298" s="31"/>
      <c r="X2298" s="31"/>
      <c r="Y2298" s="31"/>
    </row>
    <row r="2299" spans="1:25" x14ac:dyDescent="0.2">
      <c r="A2299" s="29"/>
      <c r="B2299" s="29"/>
      <c r="C2299" s="29"/>
      <c r="D2299" s="29"/>
      <c r="E2299" s="29"/>
      <c r="F2299" s="30"/>
      <c r="G2299" s="30"/>
      <c r="H2299" s="30"/>
      <c r="I2299" s="30"/>
      <c r="J2299" s="30"/>
      <c r="K2299" s="30"/>
      <c r="L2299" s="29"/>
      <c r="M2299" s="29"/>
      <c r="N2299" s="29"/>
      <c r="O2299" s="29"/>
      <c r="P2299" s="29"/>
      <c r="Q2299" s="29"/>
      <c r="R2299" s="29"/>
      <c r="S2299" s="29"/>
      <c r="T2299" s="29"/>
      <c r="U2299" s="31"/>
      <c r="V2299" s="31"/>
      <c r="W2299" s="31"/>
      <c r="X2299" s="31"/>
      <c r="Y2299" s="31"/>
    </row>
    <row r="2300" spans="1:25" x14ac:dyDescent="0.2">
      <c r="A2300" s="29"/>
      <c r="B2300" s="29"/>
      <c r="C2300" s="29"/>
      <c r="D2300" s="29"/>
      <c r="E2300" s="29"/>
      <c r="F2300" s="30"/>
      <c r="G2300" s="30"/>
      <c r="H2300" s="30"/>
      <c r="I2300" s="30"/>
      <c r="J2300" s="30"/>
      <c r="K2300" s="30"/>
      <c r="L2300" s="29"/>
      <c r="M2300" s="29"/>
      <c r="N2300" s="29"/>
      <c r="O2300" s="29"/>
      <c r="P2300" s="29"/>
      <c r="Q2300" s="29"/>
      <c r="R2300" s="29"/>
      <c r="S2300" s="29"/>
      <c r="T2300" s="29"/>
      <c r="U2300" s="31"/>
      <c r="V2300" s="31"/>
      <c r="W2300" s="31"/>
      <c r="X2300" s="31"/>
      <c r="Y2300" s="31"/>
    </row>
    <row r="2301" spans="1:25" x14ac:dyDescent="0.2">
      <c r="A2301" s="29"/>
      <c r="B2301" s="29"/>
      <c r="C2301" s="29"/>
      <c r="D2301" s="29"/>
      <c r="E2301" s="29"/>
      <c r="F2301" s="30"/>
      <c r="G2301" s="30"/>
      <c r="H2301" s="30"/>
      <c r="I2301" s="30"/>
      <c r="J2301" s="30"/>
      <c r="K2301" s="30"/>
      <c r="L2301" s="29"/>
      <c r="M2301" s="29"/>
      <c r="N2301" s="29"/>
      <c r="O2301" s="29"/>
      <c r="P2301" s="29"/>
      <c r="Q2301" s="29"/>
      <c r="R2301" s="29"/>
      <c r="S2301" s="29"/>
      <c r="T2301" s="29"/>
      <c r="U2301" s="31"/>
      <c r="V2301" s="31"/>
      <c r="W2301" s="31"/>
      <c r="X2301" s="31"/>
      <c r="Y2301" s="31"/>
    </row>
    <row r="2302" spans="1:25" x14ac:dyDescent="0.2">
      <c r="A2302" s="29"/>
      <c r="B2302" s="29"/>
      <c r="C2302" s="29"/>
      <c r="D2302" s="29"/>
      <c r="E2302" s="29"/>
      <c r="F2302" s="30"/>
      <c r="G2302" s="30"/>
      <c r="H2302" s="30"/>
      <c r="I2302" s="30"/>
      <c r="J2302" s="30"/>
      <c r="K2302" s="30"/>
      <c r="L2302" s="29"/>
      <c r="M2302" s="29"/>
      <c r="N2302" s="29"/>
      <c r="O2302" s="29"/>
      <c r="P2302" s="29"/>
      <c r="Q2302" s="29"/>
      <c r="R2302" s="29"/>
      <c r="S2302" s="29"/>
      <c r="T2302" s="29"/>
      <c r="U2302" s="31"/>
      <c r="V2302" s="31"/>
      <c r="W2302" s="31"/>
      <c r="X2302" s="31"/>
      <c r="Y2302" s="31"/>
    </row>
    <row r="2303" spans="1:25" x14ac:dyDescent="0.2">
      <c r="A2303" s="29"/>
      <c r="B2303" s="29"/>
      <c r="C2303" s="29"/>
      <c r="D2303" s="29"/>
      <c r="E2303" s="29"/>
      <c r="F2303" s="30"/>
      <c r="G2303" s="30"/>
      <c r="H2303" s="30"/>
      <c r="I2303" s="30"/>
      <c r="J2303" s="30"/>
      <c r="K2303" s="30"/>
      <c r="L2303" s="29"/>
      <c r="M2303" s="29"/>
      <c r="N2303" s="29"/>
      <c r="O2303" s="29"/>
      <c r="P2303" s="29"/>
      <c r="Q2303" s="29"/>
      <c r="R2303" s="29"/>
      <c r="S2303" s="29"/>
      <c r="T2303" s="29"/>
      <c r="U2303" s="31"/>
      <c r="V2303" s="31"/>
      <c r="W2303" s="31"/>
      <c r="X2303" s="31"/>
      <c r="Y2303" s="31"/>
    </row>
    <row r="2304" spans="1:25" x14ac:dyDescent="0.2">
      <c r="A2304" s="29"/>
      <c r="B2304" s="29"/>
      <c r="C2304" s="29"/>
      <c r="D2304" s="29"/>
      <c r="E2304" s="29"/>
      <c r="F2304" s="30"/>
      <c r="G2304" s="30"/>
      <c r="H2304" s="30"/>
      <c r="I2304" s="30"/>
      <c r="J2304" s="30"/>
      <c r="K2304" s="30"/>
      <c r="L2304" s="29"/>
      <c r="M2304" s="29"/>
      <c r="N2304" s="29"/>
      <c r="O2304" s="29"/>
      <c r="P2304" s="29"/>
      <c r="Q2304" s="29"/>
      <c r="R2304" s="29"/>
      <c r="S2304" s="29"/>
      <c r="T2304" s="29"/>
      <c r="U2304" s="31"/>
      <c r="V2304" s="31"/>
      <c r="W2304" s="31"/>
      <c r="X2304" s="31"/>
      <c r="Y2304" s="31"/>
    </row>
    <row r="2305" spans="1:25" x14ac:dyDescent="0.2">
      <c r="A2305" s="29"/>
      <c r="B2305" s="29"/>
      <c r="C2305" s="29"/>
      <c r="D2305" s="29"/>
      <c r="E2305" s="29"/>
      <c r="F2305" s="30"/>
      <c r="G2305" s="30"/>
      <c r="H2305" s="30"/>
      <c r="I2305" s="30"/>
      <c r="J2305" s="30"/>
      <c r="K2305" s="30"/>
      <c r="L2305" s="29"/>
      <c r="M2305" s="29"/>
      <c r="N2305" s="29"/>
      <c r="O2305" s="29"/>
      <c r="P2305" s="29"/>
      <c r="Q2305" s="29"/>
      <c r="R2305" s="29"/>
      <c r="S2305" s="29"/>
      <c r="T2305" s="29"/>
      <c r="U2305" s="31"/>
      <c r="V2305" s="31"/>
      <c r="W2305" s="31"/>
      <c r="X2305" s="31"/>
      <c r="Y2305" s="31"/>
    </row>
    <row r="2306" spans="1:25" x14ac:dyDescent="0.2">
      <c r="A2306" s="29"/>
      <c r="B2306" s="29"/>
      <c r="C2306" s="29"/>
      <c r="D2306" s="29"/>
      <c r="E2306" s="29"/>
      <c r="F2306" s="30"/>
      <c r="G2306" s="30"/>
      <c r="H2306" s="30"/>
      <c r="I2306" s="30"/>
      <c r="J2306" s="30"/>
      <c r="K2306" s="30"/>
      <c r="L2306" s="29"/>
      <c r="M2306" s="29"/>
      <c r="N2306" s="29"/>
      <c r="O2306" s="29"/>
      <c r="P2306" s="29"/>
      <c r="Q2306" s="29"/>
      <c r="R2306" s="29"/>
      <c r="S2306" s="29"/>
      <c r="T2306" s="29"/>
      <c r="U2306" s="31"/>
      <c r="V2306" s="31"/>
      <c r="W2306" s="31"/>
      <c r="X2306" s="31"/>
      <c r="Y2306" s="31"/>
    </row>
    <row r="2307" spans="1:25" x14ac:dyDescent="0.2">
      <c r="A2307" s="29"/>
      <c r="B2307" s="29"/>
      <c r="C2307" s="29"/>
      <c r="D2307" s="29"/>
      <c r="E2307" s="29"/>
      <c r="F2307" s="30"/>
      <c r="G2307" s="30"/>
      <c r="H2307" s="30"/>
      <c r="I2307" s="30"/>
      <c r="J2307" s="30"/>
      <c r="K2307" s="30"/>
      <c r="L2307" s="29"/>
      <c r="M2307" s="29"/>
      <c r="N2307" s="29"/>
      <c r="O2307" s="29"/>
      <c r="P2307" s="29"/>
      <c r="Q2307" s="29"/>
      <c r="R2307" s="29"/>
      <c r="S2307" s="29"/>
      <c r="T2307" s="29"/>
      <c r="U2307" s="31"/>
      <c r="V2307" s="31"/>
      <c r="W2307" s="31"/>
      <c r="X2307" s="31"/>
      <c r="Y2307" s="31"/>
    </row>
    <row r="2308" spans="1:25" x14ac:dyDescent="0.2">
      <c r="A2308" s="29"/>
      <c r="B2308" s="29"/>
      <c r="C2308" s="29"/>
      <c r="D2308" s="29"/>
      <c r="E2308" s="29"/>
      <c r="F2308" s="30"/>
      <c r="G2308" s="30"/>
      <c r="H2308" s="30"/>
      <c r="I2308" s="30"/>
      <c r="J2308" s="30"/>
      <c r="K2308" s="30"/>
      <c r="L2308" s="29"/>
      <c r="M2308" s="29"/>
      <c r="N2308" s="29"/>
      <c r="O2308" s="29"/>
      <c r="P2308" s="29"/>
      <c r="Q2308" s="29"/>
      <c r="R2308" s="29"/>
      <c r="S2308" s="29"/>
      <c r="T2308" s="29"/>
      <c r="U2308" s="31"/>
      <c r="V2308" s="31"/>
      <c r="W2308" s="31"/>
      <c r="X2308" s="31"/>
      <c r="Y2308" s="31"/>
    </row>
    <row r="2309" spans="1:25" x14ac:dyDescent="0.2">
      <c r="A2309" s="29"/>
      <c r="B2309" s="29"/>
      <c r="C2309" s="29"/>
      <c r="D2309" s="29"/>
      <c r="E2309" s="29"/>
      <c r="F2309" s="30"/>
      <c r="G2309" s="30"/>
      <c r="H2309" s="30"/>
      <c r="I2309" s="30"/>
      <c r="J2309" s="30"/>
      <c r="K2309" s="30"/>
      <c r="L2309" s="29"/>
      <c r="M2309" s="29"/>
      <c r="N2309" s="29"/>
      <c r="O2309" s="29"/>
      <c r="P2309" s="29"/>
      <c r="Q2309" s="29"/>
      <c r="R2309" s="29"/>
      <c r="S2309" s="29"/>
      <c r="T2309" s="29"/>
      <c r="U2309" s="31"/>
      <c r="V2309" s="31"/>
      <c r="W2309" s="31"/>
      <c r="X2309" s="31"/>
      <c r="Y2309" s="31"/>
    </row>
    <row r="2310" spans="1:25" x14ac:dyDescent="0.2">
      <c r="A2310" s="29"/>
      <c r="B2310" s="29"/>
      <c r="C2310" s="29"/>
      <c r="D2310" s="29"/>
      <c r="E2310" s="29"/>
      <c r="F2310" s="30"/>
      <c r="G2310" s="30"/>
      <c r="H2310" s="30"/>
      <c r="I2310" s="30"/>
      <c r="J2310" s="30"/>
      <c r="K2310" s="30"/>
      <c r="L2310" s="29"/>
      <c r="M2310" s="29"/>
      <c r="N2310" s="29"/>
      <c r="O2310" s="29"/>
      <c r="P2310" s="29"/>
      <c r="Q2310" s="29"/>
      <c r="R2310" s="29"/>
      <c r="S2310" s="29"/>
      <c r="T2310" s="29"/>
      <c r="U2310" s="31"/>
      <c r="V2310" s="31"/>
      <c r="W2310" s="31"/>
      <c r="X2310" s="31"/>
      <c r="Y2310" s="31"/>
    </row>
    <row r="2311" spans="1:25" x14ac:dyDescent="0.2">
      <c r="A2311" s="29"/>
      <c r="B2311" s="29"/>
      <c r="C2311" s="29"/>
      <c r="D2311" s="29"/>
      <c r="E2311" s="29"/>
      <c r="F2311" s="30"/>
      <c r="G2311" s="30"/>
      <c r="H2311" s="30"/>
      <c r="I2311" s="30"/>
      <c r="J2311" s="30"/>
      <c r="K2311" s="30"/>
      <c r="L2311" s="29"/>
      <c r="M2311" s="29"/>
      <c r="N2311" s="29"/>
      <c r="O2311" s="29"/>
      <c r="P2311" s="29"/>
      <c r="Q2311" s="29"/>
      <c r="R2311" s="29"/>
      <c r="S2311" s="29"/>
      <c r="T2311" s="29"/>
      <c r="U2311" s="31"/>
      <c r="V2311" s="31"/>
      <c r="W2311" s="31"/>
      <c r="X2311" s="31"/>
      <c r="Y2311" s="31"/>
    </row>
    <row r="2312" spans="1:25" x14ac:dyDescent="0.2">
      <c r="A2312" s="29"/>
      <c r="B2312" s="29"/>
      <c r="C2312" s="29"/>
      <c r="D2312" s="29"/>
      <c r="E2312" s="29"/>
      <c r="F2312" s="30"/>
      <c r="G2312" s="30"/>
      <c r="H2312" s="30"/>
      <c r="I2312" s="30"/>
      <c r="J2312" s="30"/>
      <c r="K2312" s="30"/>
      <c r="L2312" s="29"/>
      <c r="M2312" s="29"/>
      <c r="N2312" s="29"/>
      <c r="O2312" s="29"/>
      <c r="P2312" s="29"/>
      <c r="Q2312" s="29"/>
      <c r="R2312" s="29"/>
      <c r="S2312" s="29"/>
      <c r="T2312" s="29"/>
      <c r="U2312" s="31"/>
      <c r="V2312" s="31"/>
      <c r="W2312" s="31"/>
      <c r="X2312" s="31"/>
      <c r="Y2312" s="31"/>
    </row>
    <row r="2313" spans="1:25" x14ac:dyDescent="0.2">
      <c r="A2313" s="29"/>
      <c r="B2313" s="29"/>
      <c r="C2313" s="29"/>
      <c r="D2313" s="29"/>
      <c r="E2313" s="29"/>
      <c r="F2313" s="30"/>
      <c r="G2313" s="30"/>
      <c r="H2313" s="30"/>
      <c r="I2313" s="30"/>
      <c r="J2313" s="30"/>
      <c r="K2313" s="30"/>
      <c r="L2313" s="29"/>
      <c r="M2313" s="29"/>
      <c r="N2313" s="29"/>
      <c r="O2313" s="29"/>
      <c r="P2313" s="29"/>
      <c r="Q2313" s="29"/>
      <c r="R2313" s="29"/>
      <c r="S2313" s="29"/>
      <c r="T2313" s="29"/>
      <c r="U2313" s="31"/>
      <c r="V2313" s="31"/>
      <c r="W2313" s="31"/>
      <c r="X2313" s="31"/>
      <c r="Y2313" s="31"/>
    </row>
    <row r="2314" spans="1:25" x14ac:dyDescent="0.2">
      <c r="A2314" s="29"/>
      <c r="B2314" s="29"/>
      <c r="C2314" s="29"/>
      <c r="D2314" s="29"/>
      <c r="E2314" s="29"/>
      <c r="F2314" s="30"/>
      <c r="G2314" s="30"/>
      <c r="H2314" s="30"/>
      <c r="I2314" s="30"/>
      <c r="J2314" s="30"/>
      <c r="K2314" s="30"/>
      <c r="L2314" s="29"/>
      <c r="M2314" s="29"/>
      <c r="N2314" s="29"/>
      <c r="O2314" s="29"/>
      <c r="P2314" s="29"/>
      <c r="Q2314" s="29"/>
      <c r="R2314" s="29"/>
      <c r="S2314" s="29"/>
      <c r="T2314" s="29"/>
      <c r="U2314" s="31"/>
      <c r="V2314" s="31"/>
      <c r="W2314" s="31"/>
      <c r="X2314" s="31"/>
      <c r="Y2314" s="31"/>
    </row>
    <row r="2315" spans="1:25" x14ac:dyDescent="0.2">
      <c r="A2315" s="29"/>
      <c r="B2315" s="29"/>
      <c r="C2315" s="29"/>
      <c r="D2315" s="29"/>
      <c r="E2315" s="29"/>
      <c r="F2315" s="30"/>
      <c r="G2315" s="30"/>
      <c r="H2315" s="30"/>
      <c r="I2315" s="30"/>
      <c r="J2315" s="30"/>
      <c r="K2315" s="30"/>
      <c r="L2315" s="29"/>
      <c r="M2315" s="29"/>
      <c r="N2315" s="29"/>
      <c r="O2315" s="29"/>
      <c r="P2315" s="29"/>
      <c r="Q2315" s="29"/>
      <c r="R2315" s="29"/>
      <c r="S2315" s="29"/>
      <c r="T2315" s="29"/>
      <c r="U2315" s="31"/>
      <c r="V2315" s="31"/>
      <c r="W2315" s="31"/>
      <c r="X2315" s="31"/>
      <c r="Y2315" s="31"/>
    </row>
    <row r="2316" spans="1:25" x14ac:dyDescent="0.2">
      <c r="A2316" s="29"/>
      <c r="B2316" s="29"/>
      <c r="C2316" s="29"/>
      <c r="D2316" s="29"/>
      <c r="E2316" s="29"/>
      <c r="F2316" s="30"/>
      <c r="G2316" s="30"/>
      <c r="H2316" s="30"/>
      <c r="I2316" s="30"/>
      <c r="J2316" s="30"/>
      <c r="K2316" s="30"/>
      <c r="L2316" s="29"/>
      <c r="M2316" s="29"/>
      <c r="N2316" s="29"/>
      <c r="O2316" s="29"/>
      <c r="P2316" s="29"/>
      <c r="Q2316" s="29"/>
      <c r="R2316" s="29"/>
      <c r="S2316" s="29"/>
      <c r="T2316" s="29"/>
      <c r="U2316" s="31"/>
      <c r="V2316" s="31"/>
      <c r="W2316" s="31"/>
      <c r="X2316" s="31"/>
      <c r="Y2316" s="31"/>
    </row>
    <row r="2317" spans="1:25" x14ac:dyDescent="0.2">
      <c r="A2317" s="29"/>
      <c r="B2317" s="29"/>
      <c r="C2317" s="29"/>
      <c r="D2317" s="29"/>
      <c r="E2317" s="29"/>
      <c r="F2317" s="30"/>
      <c r="G2317" s="30"/>
      <c r="H2317" s="30"/>
      <c r="I2317" s="30"/>
      <c r="J2317" s="30"/>
      <c r="K2317" s="30"/>
      <c r="L2317" s="29"/>
      <c r="M2317" s="29"/>
      <c r="N2317" s="29"/>
      <c r="O2317" s="29"/>
      <c r="P2317" s="29"/>
      <c r="Q2317" s="29"/>
      <c r="R2317" s="29"/>
      <c r="S2317" s="29"/>
      <c r="T2317" s="29"/>
      <c r="U2317" s="31"/>
      <c r="V2317" s="31"/>
      <c r="W2317" s="31"/>
      <c r="X2317" s="31"/>
      <c r="Y2317" s="31"/>
    </row>
    <row r="2318" spans="1:25" x14ac:dyDescent="0.2">
      <c r="A2318" s="29"/>
      <c r="B2318" s="29"/>
      <c r="C2318" s="29"/>
      <c r="D2318" s="29"/>
      <c r="E2318" s="29"/>
      <c r="F2318" s="30"/>
      <c r="G2318" s="30"/>
      <c r="H2318" s="30"/>
      <c r="I2318" s="30"/>
      <c r="J2318" s="30"/>
      <c r="K2318" s="30"/>
      <c r="L2318" s="29"/>
      <c r="M2318" s="29"/>
      <c r="N2318" s="29"/>
      <c r="O2318" s="29"/>
      <c r="P2318" s="29"/>
      <c r="Q2318" s="29"/>
      <c r="R2318" s="29"/>
      <c r="S2318" s="29"/>
      <c r="T2318" s="29"/>
      <c r="U2318" s="31"/>
      <c r="V2318" s="31"/>
      <c r="W2318" s="31"/>
      <c r="X2318" s="31"/>
      <c r="Y2318" s="31"/>
    </row>
    <row r="2319" spans="1:25" x14ac:dyDescent="0.2">
      <c r="A2319" s="29"/>
      <c r="B2319" s="29"/>
      <c r="C2319" s="29"/>
      <c r="D2319" s="29"/>
      <c r="E2319" s="29"/>
      <c r="F2319" s="30"/>
      <c r="G2319" s="30"/>
      <c r="H2319" s="30"/>
      <c r="I2319" s="30"/>
      <c r="J2319" s="30"/>
      <c r="K2319" s="30"/>
      <c r="L2319" s="29"/>
      <c r="M2319" s="29"/>
      <c r="N2319" s="29"/>
      <c r="O2319" s="29"/>
      <c r="P2319" s="29"/>
      <c r="Q2319" s="29"/>
      <c r="R2319" s="29"/>
      <c r="S2319" s="29"/>
      <c r="T2319" s="29"/>
      <c r="U2319" s="31"/>
      <c r="V2319" s="31"/>
      <c r="W2319" s="31"/>
      <c r="X2319" s="31"/>
      <c r="Y2319" s="31"/>
    </row>
    <row r="2320" spans="1:25" x14ac:dyDescent="0.2">
      <c r="A2320" s="29"/>
      <c r="B2320" s="29"/>
      <c r="C2320" s="29"/>
      <c r="D2320" s="29"/>
      <c r="E2320" s="29"/>
      <c r="F2320" s="30"/>
      <c r="G2320" s="30"/>
      <c r="H2320" s="30"/>
      <c r="I2320" s="30"/>
      <c r="J2320" s="30"/>
      <c r="K2320" s="30"/>
      <c r="L2320" s="29"/>
      <c r="M2320" s="29"/>
      <c r="N2320" s="29"/>
      <c r="O2320" s="29"/>
      <c r="P2320" s="29"/>
      <c r="Q2320" s="29"/>
      <c r="R2320" s="29"/>
      <c r="S2320" s="29"/>
      <c r="T2320" s="29"/>
      <c r="U2320" s="31"/>
      <c r="V2320" s="31"/>
      <c r="W2320" s="31"/>
      <c r="X2320" s="31"/>
      <c r="Y2320" s="31"/>
    </row>
    <row r="2321" spans="1:25" x14ac:dyDescent="0.2">
      <c r="A2321" s="29"/>
      <c r="B2321" s="29"/>
      <c r="C2321" s="29"/>
      <c r="D2321" s="29"/>
      <c r="E2321" s="29"/>
      <c r="F2321" s="30"/>
      <c r="G2321" s="30"/>
      <c r="H2321" s="30"/>
      <c r="I2321" s="30"/>
      <c r="J2321" s="30"/>
      <c r="K2321" s="30"/>
      <c r="L2321" s="29"/>
      <c r="M2321" s="29"/>
      <c r="N2321" s="29"/>
      <c r="O2321" s="29"/>
      <c r="P2321" s="29"/>
      <c r="Q2321" s="29"/>
      <c r="R2321" s="29"/>
      <c r="S2321" s="29"/>
      <c r="T2321" s="29"/>
      <c r="U2321" s="31"/>
      <c r="V2321" s="31"/>
      <c r="W2321" s="31"/>
      <c r="X2321" s="31"/>
      <c r="Y2321" s="31"/>
    </row>
    <row r="2322" spans="1:25" x14ac:dyDescent="0.2">
      <c r="A2322" s="29"/>
      <c r="B2322" s="29"/>
      <c r="C2322" s="29"/>
      <c r="D2322" s="29"/>
      <c r="E2322" s="29"/>
      <c r="F2322" s="30"/>
      <c r="G2322" s="30"/>
      <c r="H2322" s="30"/>
      <c r="I2322" s="30"/>
      <c r="J2322" s="30"/>
      <c r="K2322" s="30"/>
      <c r="L2322" s="29"/>
      <c r="M2322" s="29"/>
      <c r="N2322" s="29"/>
      <c r="O2322" s="29"/>
      <c r="P2322" s="29"/>
      <c r="Q2322" s="29"/>
      <c r="R2322" s="29"/>
      <c r="S2322" s="29"/>
      <c r="T2322" s="29"/>
      <c r="U2322" s="31"/>
      <c r="V2322" s="31"/>
      <c r="W2322" s="31"/>
      <c r="X2322" s="31"/>
      <c r="Y2322" s="31"/>
    </row>
    <row r="2323" spans="1:25" x14ac:dyDescent="0.2">
      <c r="A2323" s="29"/>
      <c r="B2323" s="29"/>
      <c r="C2323" s="29"/>
      <c r="D2323" s="29"/>
      <c r="E2323" s="29"/>
      <c r="F2323" s="30"/>
      <c r="G2323" s="30"/>
      <c r="H2323" s="30"/>
      <c r="I2323" s="30"/>
      <c r="J2323" s="30"/>
      <c r="K2323" s="30"/>
      <c r="L2323" s="29"/>
      <c r="M2323" s="29"/>
      <c r="N2323" s="29"/>
      <c r="O2323" s="29"/>
      <c r="P2323" s="29"/>
      <c r="Q2323" s="29"/>
      <c r="R2323" s="29"/>
      <c r="S2323" s="29"/>
      <c r="T2323" s="29"/>
      <c r="U2323" s="31"/>
      <c r="V2323" s="31"/>
      <c r="W2323" s="31"/>
      <c r="X2323" s="31"/>
      <c r="Y2323" s="31"/>
    </row>
    <row r="2324" spans="1:25" x14ac:dyDescent="0.2">
      <c r="A2324" s="29"/>
      <c r="B2324" s="29"/>
      <c r="C2324" s="29"/>
      <c r="D2324" s="29"/>
      <c r="E2324" s="29"/>
      <c r="F2324" s="30"/>
      <c r="G2324" s="30"/>
      <c r="H2324" s="30"/>
      <c r="I2324" s="30"/>
      <c r="J2324" s="30"/>
      <c r="K2324" s="30"/>
      <c r="L2324" s="29"/>
      <c r="M2324" s="29"/>
      <c r="N2324" s="29"/>
      <c r="O2324" s="29"/>
      <c r="P2324" s="29"/>
      <c r="Q2324" s="29"/>
      <c r="R2324" s="29"/>
      <c r="S2324" s="29"/>
      <c r="T2324" s="29"/>
      <c r="U2324" s="31"/>
      <c r="V2324" s="31"/>
      <c r="W2324" s="31"/>
      <c r="X2324" s="31"/>
      <c r="Y2324" s="31"/>
    </row>
    <row r="2325" spans="1:25" x14ac:dyDescent="0.2">
      <c r="A2325" s="29"/>
      <c r="B2325" s="29"/>
      <c r="C2325" s="29"/>
      <c r="D2325" s="29"/>
      <c r="E2325" s="29"/>
      <c r="F2325" s="30"/>
      <c r="G2325" s="30"/>
      <c r="H2325" s="30"/>
      <c r="I2325" s="30"/>
      <c r="J2325" s="30"/>
      <c r="K2325" s="30"/>
      <c r="L2325" s="29"/>
      <c r="M2325" s="29"/>
      <c r="N2325" s="29"/>
      <c r="O2325" s="29"/>
      <c r="P2325" s="29"/>
      <c r="Q2325" s="29"/>
      <c r="R2325" s="29"/>
      <c r="S2325" s="29"/>
      <c r="T2325" s="29"/>
      <c r="U2325" s="31"/>
      <c r="V2325" s="31"/>
      <c r="W2325" s="31"/>
      <c r="X2325" s="31"/>
      <c r="Y2325" s="31"/>
    </row>
    <row r="2326" spans="1:25" x14ac:dyDescent="0.2">
      <c r="A2326" s="29"/>
      <c r="B2326" s="29"/>
      <c r="C2326" s="29"/>
      <c r="D2326" s="29"/>
      <c r="E2326" s="29"/>
      <c r="F2326" s="30"/>
      <c r="G2326" s="30"/>
      <c r="H2326" s="30"/>
      <c r="I2326" s="30"/>
      <c r="J2326" s="30"/>
      <c r="K2326" s="30"/>
      <c r="L2326" s="29"/>
      <c r="M2326" s="29"/>
      <c r="N2326" s="29"/>
      <c r="O2326" s="29"/>
      <c r="P2326" s="29"/>
      <c r="Q2326" s="29"/>
      <c r="R2326" s="29"/>
      <c r="S2326" s="29"/>
      <c r="T2326" s="29"/>
      <c r="U2326" s="31"/>
      <c r="V2326" s="31"/>
      <c r="W2326" s="31"/>
      <c r="X2326" s="31"/>
      <c r="Y2326" s="31"/>
    </row>
    <row r="2327" spans="1:25" x14ac:dyDescent="0.2">
      <c r="A2327" s="29"/>
      <c r="B2327" s="29"/>
      <c r="C2327" s="29"/>
      <c r="D2327" s="29"/>
      <c r="E2327" s="29"/>
      <c r="F2327" s="30"/>
      <c r="G2327" s="30"/>
      <c r="H2327" s="30"/>
      <c r="I2327" s="30"/>
      <c r="J2327" s="30"/>
      <c r="K2327" s="30"/>
      <c r="L2327" s="29"/>
      <c r="M2327" s="29"/>
      <c r="N2327" s="29"/>
      <c r="O2327" s="29"/>
      <c r="P2327" s="29"/>
      <c r="Q2327" s="29"/>
      <c r="R2327" s="29"/>
      <c r="S2327" s="29"/>
      <c r="T2327" s="29"/>
      <c r="U2327" s="31"/>
      <c r="V2327" s="31"/>
      <c r="W2327" s="31"/>
      <c r="X2327" s="31"/>
      <c r="Y2327" s="31"/>
    </row>
    <row r="2328" spans="1:25" x14ac:dyDescent="0.2">
      <c r="A2328" s="29"/>
      <c r="B2328" s="29"/>
      <c r="C2328" s="29"/>
      <c r="D2328" s="29"/>
      <c r="E2328" s="29"/>
      <c r="F2328" s="30"/>
      <c r="G2328" s="30"/>
      <c r="H2328" s="30"/>
      <c r="I2328" s="30"/>
      <c r="J2328" s="30"/>
      <c r="K2328" s="30"/>
      <c r="L2328" s="29"/>
      <c r="M2328" s="29"/>
      <c r="N2328" s="29"/>
      <c r="O2328" s="29"/>
      <c r="P2328" s="29"/>
      <c r="Q2328" s="29"/>
      <c r="R2328" s="29"/>
      <c r="S2328" s="29"/>
      <c r="T2328" s="29"/>
      <c r="U2328" s="31"/>
      <c r="V2328" s="31"/>
      <c r="W2328" s="31"/>
      <c r="X2328" s="31"/>
      <c r="Y2328" s="31"/>
    </row>
    <row r="2329" spans="1:25" x14ac:dyDescent="0.2">
      <c r="A2329" s="29"/>
      <c r="B2329" s="29"/>
      <c r="C2329" s="29"/>
      <c r="D2329" s="29"/>
      <c r="E2329" s="29"/>
      <c r="F2329" s="30"/>
      <c r="G2329" s="30"/>
      <c r="H2329" s="30"/>
      <c r="I2329" s="30"/>
      <c r="J2329" s="30"/>
      <c r="K2329" s="30"/>
      <c r="L2329" s="29"/>
      <c r="M2329" s="29"/>
      <c r="N2329" s="29"/>
      <c r="O2329" s="29"/>
      <c r="P2329" s="29"/>
      <c r="Q2329" s="29"/>
      <c r="R2329" s="29"/>
      <c r="S2329" s="29"/>
      <c r="T2329" s="29"/>
      <c r="U2329" s="31"/>
      <c r="V2329" s="31"/>
      <c r="W2329" s="31"/>
      <c r="X2329" s="31"/>
      <c r="Y2329" s="31"/>
    </row>
    <row r="2330" spans="1:25" x14ac:dyDescent="0.2">
      <c r="A2330" s="29"/>
      <c r="B2330" s="29"/>
      <c r="C2330" s="29"/>
      <c r="D2330" s="29"/>
      <c r="E2330" s="29"/>
      <c r="F2330" s="30"/>
      <c r="G2330" s="30"/>
      <c r="H2330" s="30"/>
      <c r="I2330" s="30"/>
      <c r="J2330" s="30"/>
      <c r="K2330" s="30"/>
      <c r="L2330" s="29"/>
      <c r="M2330" s="29"/>
      <c r="N2330" s="29"/>
      <c r="O2330" s="29"/>
      <c r="P2330" s="29"/>
      <c r="Q2330" s="29"/>
      <c r="R2330" s="29"/>
      <c r="S2330" s="29"/>
      <c r="T2330" s="29"/>
      <c r="U2330" s="31"/>
      <c r="V2330" s="31"/>
      <c r="W2330" s="31"/>
      <c r="X2330" s="31"/>
      <c r="Y2330" s="31"/>
    </row>
    <row r="2331" spans="1:25" x14ac:dyDescent="0.2">
      <c r="A2331" s="29"/>
      <c r="B2331" s="29"/>
      <c r="C2331" s="29"/>
      <c r="D2331" s="29"/>
      <c r="E2331" s="29"/>
      <c r="F2331" s="30"/>
      <c r="G2331" s="30"/>
      <c r="H2331" s="30"/>
      <c r="I2331" s="30"/>
      <c r="J2331" s="30"/>
      <c r="K2331" s="30"/>
      <c r="L2331" s="29"/>
      <c r="M2331" s="29"/>
      <c r="N2331" s="29"/>
      <c r="O2331" s="29"/>
      <c r="P2331" s="29"/>
      <c r="Q2331" s="29"/>
      <c r="R2331" s="29"/>
      <c r="S2331" s="29"/>
      <c r="T2331" s="29"/>
      <c r="U2331" s="31"/>
      <c r="V2331" s="31"/>
      <c r="W2331" s="31"/>
      <c r="X2331" s="31"/>
      <c r="Y2331" s="31"/>
    </row>
    <row r="2332" spans="1:25" x14ac:dyDescent="0.2">
      <c r="A2332" s="29"/>
      <c r="B2332" s="29"/>
      <c r="C2332" s="29"/>
      <c r="D2332" s="29"/>
      <c r="E2332" s="29"/>
      <c r="F2332" s="30"/>
      <c r="G2332" s="30"/>
      <c r="H2332" s="30"/>
      <c r="I2332" s="30"/>
      <c r="J2332" s="30"/>
      <c r="K2332" s="30"/>
      <c r="L2332" s="29"/>
      <c r="M2332" s="29"/>
      <c r="N2332" s="29"/>
      <c r="O2332" s="29"/>
      <c r="P2332" s="29"/>
      <c r="Q2332" s="29"/>
      <c r="R2332" s="29"/>
      <c r="S2332" s="29"/>
      <c r="T2332" s="29"/>
      <c r="U2332" s="31"/>
      <c r="V2332" s="31"/>
      <c r="W2332" s="31"/>
      <c r="X2332" s="31"/>
      <c r="Y2332" s="31"/>
    </row>
    <row r="2333" spans="1:25" x14ac:dyDescent="0.2">
      <c r="A2333" s="29"/>
      <c r="B2333" s="29"/>
      <c r="C2333" s="29"/>
      <c r="D2333" s="29"/>
      <c r="E2333" s="29"/>
      <c r="F2333" s="30"/>
      <c r="G2333" s="30"/>
      <c r="H2333" s="30"/>
      <c r="I2333" s="30"/>
      <c r="J2333" s="30"/>
      <c r="K2333" s="30"/>
      <c r="L2333" s="29"/>
      <c r="M2333" s="29"/>
      <c r="N2333" s="29"/>
      <c r="O2333" s="29"/>
      <c r="P2333" s="29"/>
      <c r="Q2333" s="29"/>
      <c r="R2333" s="29"/>
      <c r="S2333" s="29"/>
      <c r="T2333" s="29"/>
      <c r="U2333" s="31"/>
      <c r="V2333" s="31"/>
      <c r="W2333" s="31"/>
      <c r="X2333" s="31"/>
      <c r="Y2333" s="31"/>
    </row>
    <row r="2334" spans="1:25" x14ac:dyDescent="0.2">
      <c r="A2334" s="29"/>
      <c r="B2334" s="29"/>
      <c r="C2334" s="29"/>
      <c r="D2334" s="29"/>
      <c r="E2334" s="29"/>
      <c r="F2334" s="30"/>
      <c r="G2334" s="30"/>
      <c r="H2334" s="30"/>
      <c r="I2334" s="30"/>
      <c r="J2334" s="30"/>
      <c r="K2334" s="30"/>
      <c r="L2334" s="29"/>
      <c r="M2334" s="29"/>
      <c r="N2334" s="29"/>
      <c r="O2334" s="29"/>
      <c r="P2334" s="29"/>
      <c r="Q2334" s="29"/>
      <c r="R2334" s="29"/>
      <c r="S2334" s="29"/>
      <c r="T2334" s="29"/>
      <c r="U2334" s="31"/>
      <c r="V2334" s="31"/>
      <c r="W2334" s="31"/>
      <c r="X2334" s="31"/>
      <c r="Y2334" s="31"/>
    </row>
    <row r="2335" spans="1:25" x14ac:dyDescent="0.2">
      <c r="A2335" s="29"/>
      <c r="B2335" s="29"/>
      <c r="C2335" s="29"/>
      <c r="D2335" s="29"/>
      <c r="E2335" s="29"/>
      <c r="F2335" s="30"/>
      <c r="G2335" s="30"/>
      <c r="H2335" s="30"/>
      <c r="I2335" s="30"/>
      <c r="J2335" s="30"/>
      <c r="K2335" s="30"/>
      <c r="L2335" s="29"/>
      <c r="M2335" s="29"/>
      <c r="N2335" s="29"/>
      <c r="O2335" s="29"/>
      <c r="P2335" s="29"/>
      <c r="Q2335" s="29"/>
      <c r="R2335" s="29"/>
      <c r="S2335" s="29"/>
      <c r="T2335" s="29"/>
      <c r="U2335" s="31"/>
      <c r="V2335" s="31"/>
      <c r="W2335" s="31"/>
      <c r="X2335" s="31"/>
      <c r="Y2335" s="31"/>
    </row>
    <row r="2336" spans="1:25" x14ac:dyDescent="0.2">
      <c r="A2336" s="29"/>
      <c r="B2336" s="29"/>
      <c r="C2336" s="29"/>
      <c r="D2336" s="29"/>
      <c r="E2336" s="29"/>
      <c r="F2336" s="30"/>
      <c r="G2336" s="30"/>
      <c r="H2336" s="30"/>
      <c r="I2336" s="30"/>
      <c r="J2336" s="30"/>
      <c r="K2336" s="30"/>
      <c r="L2336" s="29"/>
      <c r="M2336" s="29"/>
      <c r="N2336" s="29"/>
      <c r="O2336" s="29"/>
      <c r="P2336" s="29"/>
      <c r="Q2336" s="29"/>
      <c r="R2336" s="29"/>
      <c r="S2336" s="29"/>
      <c r="T2336" s="29"/>
      <c r="U2336" s="31"/>
      <c r="V2336" s="31"/>
      <c r="W2336" s="31"/>
      <c r="X2336" s="31"/>
      <c r="Y2336" s="31"/>
    </row>
    <row r="2337" spans="1:25" x14ac:dyDescent="0.2">
      <c r="A2337" s="29"/>
      <c r="B2337" s="29"/>
      <c r="C2337" s="29"/>
      <c r="D2337" s="29"/>
      <c r="E2337" s="29"/>
      <c r="F2337" s="30"/>
      <c r="G2337" s="30"/>
      <c r="H2337" s="30"/>
      <c r="I2337" s="30"/>
      <c r="J2337" s="30"/>
      <c r="K2337" s="30"/>
      <c r="L2337" s="29"/>
      <c r="M2337" s="29"/>
      <c r="N2337" s="29"/>
      <c r="O2337" s="29"/>
      <c r="P2337" s="29"/>
      <c r="Q2337" s="29"/>
      <c r="R2337" s="29"/>
      <c r="S2337" s="29"/>
      <c r="T2337" s="29"/>
      <c r="U2337" s="31"/>
      <c r="V2337" s="31"/>
      <c r="W2337" s="31"/>
      <c r="X2337" s="31"/>
      <c r="Y2337" s="31"/>
    </row>
    <row r="2338" spans="1:25" x14ac:dyDescent="0.2">
      <c r="A2338" s="29"/>
      <c r="B2338" s="29"/>
      <c r="C2338" s="29"/>
      <c r="D2338" s="29"/>
      <c r="E2338" s="29"/>
      <c r="F2338" s="30"/>
      <c r="G2338" s="30"/>
      <c r="H2338" s="30"/>
      <c r="I2338" s="30"/>
      <c r="J2338" s="30"/>
      <c r="K2338" s="30"/>
      <c r="L2338" s="29"/>
      <c r="M2338" s="29"/>
      <c r="N2338" s="29"/>
      <c r="O2338" s="29"/>
      <c r="P2338" s="29"/>
      <c r="Q2338" s="29"/>
      <c r="R2338" s="29"/>
      <c r="S2338" s="29"/>
      <c r="T2338" s="29"/>
      <c r="U2338" s="31"/>
      <c r="V2338" s="31"/>
      <c r="W2338" s="31"/>
      <c r="X2338" s="31"/>
      <c r="Y2338" s="31"/>
    </row>
    <row r="2339" spans="1:25" x14ac:dyDescent="0.2">
      <c r="A2339" s="29"/>
      <c r="B2339" s="29"/>
      <c r="C2339" s="29"/>
      <c r="D2339" s="29"/>
      <c r="E2339" s="29"/>
      <c r="F2339" s="30"/>
      <c r="G2339" s="30"/>
      <c r="H2339" s="30"/>
      <c r="I2339" s="30"/>
      <c r="J2339" s="30"/>
      <c r="K2339" s="30"/>
      <c r="L2339" s="29"/>
      <c r="M2339" s="29"/>
      <c r="N2339" s="29"/>
      <c r="O2339" s="29"/>
      <c r="P2339" s="29"/>
      <c r="Q2339" s="29"/>
      <c r="R2339" s="29"/>
      <c r="S2339" s="29"/>
      <c r="T2339" s="29"/>
      <c r="U2339" s="31"/>
      <c r="V2339" s="31"/>
      <c r="W2339" s="31"/>
      <c r="X2339" s="31"/>
      <c r="Y2339" s="31"/>
    </row>
    <row r="2340" spans="1:25" x14ac:dyDescent="0.2">
      <c r="A2340" s="29"/>
      <c r="B2340" s="29"/>
      <c r="C2340" s="29"/>
      <c r="D2340" s="29"/>
      <c r="E2340" s="29"/>
      <c r="F2340" s="30"/>
      <c r="G2340" s="30"/>
      <c r="H2340" s="30"/>
      <c r="I2340" s="30"/>
      <c r="J2340" s="30"/>
      <c r="K2340" s="30"/>
      <c r="L2340" s="29"/>
      <c r="M2340" s="29"/>
      <c r="N2340" s="29"/>
      <c r="O2340" s="29"/>
      <c r="P2340" s="29"/>
      <c r="Q2340" s="29"/>
      <c r="R2340" s="29"/>
      <c r="S2340" s="29"/>
      <c r="T2340" s="29"/>
      <c r="U2340" s="31"/>
      <c r="V2340" s="31"/>
      <c r="W2340" s="31"/>
      <c r="X2340" s="31"/>
      <c r="Y2340" s="31"/>
    </row>
    <row r="2341" spans="1:25" x14ac:dyDescent="0.2">
      <c r="A2341" s="29"/>
      <c r="B2341" s="29"/>
      <c r="C2341" s="29"/>
      <c r="D2341" s="29"/>
      <c r="E2341" s="29"/>
      <c r="F2341" s="30"/>
      <c r="G2341" s="30"/>
      <c r="H2341" s="30"/>
      <c r="I2341" s="30"/>
      <c r="J2341" s="30"/>
      <c r="K2341" s="30"/>
      <c r="L2341" s="29"/>
      <c r="M2341" s="29"/>
      <c r="N2341" s="29"/>
      <c r="O2341" s="29"/>
      <c r="P2341" s="29"/>
      <c r="Q2341" s="29"/>
      <c r="R2341" s="29"/>
      <c r="S2341" s="29"/>
      <c r="T2341" s="29"/>
      <c r="U2341" s="31"/>
      <c r="V2341" s="31"/>
      <c r="W2341" s="31"/>
      <c r="X2341" s="31"/>
      <c r="Y2341" s="31"/>
    </row>
    <row r="2342" spans="1:25" x14ac:dyDescent="0.2">
      <c r="A2342" s="29"/>
      <c r="B2342" s="29"/>
      <c r="C2342" s="29"/>
      <c r="D2342" s="29"/>
      <c r="E2342" s="29"/>
      <c r="F2342" s="30"/>
      <c r="G2342" s="30"/>
      <c r="H2342" s="30"/>
      <c r="I2342" s="30"/>
      <c r="J2342" s="30"/>
      <c r="K2342" s="30"/>
      <c r="L2342" s="29"/>
      <c r="M2342" s="29"/>
      <c r="N2342" s="29"/>
      <c r="O2342" s="29"/>
      <c r="P2342" s="29"/>
      <c r="Q2342" s="29"/>
      <c r="R2342" s="29"/>
      <c r="S2342" s="29"/>
      <c r="T2342" s="29"/>
      <c r="U2342" s="31"/>
      <c r="V2342" s="31"/>
      <c r="W2342" s="31"/>
      <c r="X2342" s="31"/>
      <c r="Y2342" s="31"/>
    </row>
    <row r="2343" spans="1:25" x14ac:dyDescent="0.2">
      <c r="A2343" s="29"/>
      <c r="B2343" s="29"/>
      <c r="C2343" s="29"/>
      <c r="D2343" s="29"/>
      <c r="E2343" s="29"/>
      <c r="F2343" s="30"/>
      <c r="G2343" s="30"/>
      <c r="H2343" s="30"/>
      <c r="I2343" s="30"/>
      <c r="J2343" s="30"/>
      <c r="K2343" s="30"/>
      <c r="L2343" s="29"/>
      <c r="M2343" s="29"/>
      <c r="N2343" s="29"/>
      <c r="O2343" s="29"/>
      <c r="P2343" s="29"/>
      <c r="Q2343" s="29"/>
      <c r="R2343" s="29"/>
      <c r="S2343" s="29"/>
      <c r="T2343" s="29"/>
      <c r="U2343" s="31"/>
      <c r="V2343" s="31"/>
      <c r="W2343" s="31"/>
      <c r="X2343" s="31"/>
      <c r="Y2343" s="31"/>
    </row>
    <row r="2344" spans="1:25" x14ac:dyDescent="0.2">
      <c r="A2344" s="29"/>
      <c r="B2344" s="29"/>
      <c r="C2344" s="29"/>
      <c r="D2344" s="29"/>
      <c r="E2344" s="29"/>
      <c r="F2344" s="30"/>
      <c r="G2344" s="30"/>
      <c r="H2344" s="30"/>
      <c r="I2344" s="30"/>
      <c r="J2344" s="30"/>
      <c r="K2344" s="30"/>
      <c r="L2344" s="29"/>
      <c r="M2344" s="29"/>
      <c r="N2344" s="29"/>
      <c r="O2344" s="29"/>
      <c r="P2344" s="29"/>
      <c r="Q2344" s="29"/>
      <c r="R2344" s="29"/>
      <c r="S2344" s="29"/>
      <c r="T2344" s="29"/>
      <c r="U2344" s="31"/>
      <c r="V2344" s="31"/>
      <c r="W2344" s="31"/>
      <c r="X2344" s="31"/>
      <c r="Y2344" s="31"/>
    </row>
    <row r="2345" spans="1:25" x14ac:dyDescent="0.2">
      <c r="A2345" s="29"/>
      <c r="B2345" s="29"/>
      <c r="C2345" s="29"/>
      <c r="D2345" s="29"/>
      <c r="E2345" s="29"/>
      <c r="F2345" s="30"/>
      <c r="G2345" s="30"/>
      <c r="H2345" s="30"/>
      <c r="I2345" s="30"/>
      <c r="J2345" s="30"/>
      <c r="K2345" s="30"/>
      <c r="L2345" s="29"/>
      <c r="M2345" s="29"/>
      <c r="N2345" s="29"/>
      <c r="O2345" s="29"/>
      <c r="P2345" s="29"/>
      <c r="Q2345" s="29"/>
      <c r="R2345" s="29"/>
      <c r="S2345" s="29"/>
      <c r="T2345" s="29"/>
      <c r="U2345" s="31"/>
      <c r="V2345" s="31"/>
      <c r="W2345" s="31"/>
      <c r="X2345" s="31"/>
      <c r="Y2345" s="31"/>
    </row>
    <row r="2346" spans="1:25" x14ac:dyDescent="0.2">
      <c r="A2346" s="29"/>
      <c r="B2346" s="29"/>
      <c r="C2346" s="29"/>
      <c r="D2346" s="29"/>
      <c r="E2346" s="29"/>
      <c r="F2346" s="30"/>
      <c r="G2346" s="30"/>
      <c r="H2346" s="30"/>
      <c r="I2346" s="30"/>
      <c r="J2346" s="30"/>
      <c r="K2346" s="30"/>
      <c r="L2346" s="29"/>
      <c r="M2346" s="29"/>
      <c r="N2346" s="29"/>
      <c r="O2346" s="29"/>
      <c r="P2346" s="29"/>
      <c r="Q2346" s="29"/>
      <c r="R2346" s="29"/>
      <c r="S2346" s="29"/>
      <c r="T2346" s="29"/>
      <c r="U2346" s="31"/>
      <c r="V2346" s="31"/>
      <c r="W2346" s="31"/>
      <c r="X2346" s="31"/>
      <c r="Y2346" s="31"/>
    </row>
    <row r="2347" spans="1:25" x14ac:dyDescent="0.2">
      <c r="A2347" s="29"/>
      <c r="B2347" s="29"/>
      <c r="C2347" s="29"/>
      <c r="D2347" s="29"/>
      <c r="E2347" s="29"/>
      <c r="F2347" s="30"/>
      <c r="G2347" s="30"/>
      <c r="H2347" s="30"/>
      <c r="I2347" s="30"/>
      <c r="J2347" s="30"/>
      <c r="K2347" s="30"/>
      <c r="L2347" s="29"/>
      <c r="M2347" s="29"/>
      <c r="N2347" s="29"/>
      <c r="O2347" s="29"/>
      <c r="P2347" s="29"/>
      <c r="Q2347" s="29"/>
      <c r="R2347" s="29"/>
      <c r="S2347" s="29"/>
      <c r="T2347" s="29"/>
      <c r="U2347" s="31"/>
      <c r="V2347" s="31"/>
      <c r="W2347" s="31"/>
      <c r="X2347" s="31"/>
      <c r="Y2347" s="31"/>
    </row>
    <row r="2348" spans="1:25" x14ac:dyDescent="0.2">
      <c r="A2348" s="29"/>
      <c r="B2348" s="29"/>
      <c r="C2348" s="29"/>
      <c r="D2348" s="29"/>
      <c r="E2348" s="29"/>
      <c r="F2348" s="30"/>
      <c r="G2348" s="30"/>
      <c r="H2348" s="30"/>
      <c r="I2348" s="30"/>
      <c r="J2348" s="30"/>
      <c r="K2348" s="30"/>
      <c r="L2348" s="29"/>
      <c r="M2348" s="29"/>
      <c r="N2348" s="29"/>
      <c r="O2348" s="29"/>
      <c r="P2348" s="29"/>
      <c r="Q2348" s="29"/>
      <c r="R2348" s="29"/>
      <c r="S2348" s="29"/>
      <c r="T2348" s="29"/>
      <c r="U2348" s="31"/>
      <c r="V2348" s="31"/>
      <c r="W2348" s="31"/>
      <c r="X2348" s="31"/>
      <c r="Y2348" s="31"/>
    </row>
    <row r="2349" spans="1:25" x14ac:dyDescent="0.2">
      <c r="A2349" s="29"/>
      <c r="B2349" s="29"/>
      <c r="C2349" s="29"/>
      <c r="D2349" s="29"/>
      <c r="E2349" s="29"/>
      <c r="F2349" s="30"/>
      <c r="G2349" s="30"/>
      <c r="H2349" s="30"/>
      <c r="I2349" s="30"/>
      <c r="J2349" s="30"/>
      <c r="K2349" s="30"/>
      <c r="L2349" s="29"/>
      <c r="M2349" s="29"/>
      <c r="N2349" s="29"/>
      <c r="O2349" s="29"/>
      <c r="P2349" s="29"/>
      <c r="Q2349" s="29"/>
      <c r="R2349" s="29"/>
      <c r="S2349" s="29"/>
      <c r="T2349" s="29"/>
      <c r="U2349" s="31"/>
      <c r="V2349" s="31"/>
      <c r="W2349" s="31"/>
      <c r="X2349" s="31"/>
      <c r="Y2349" s="31"/>
    </row>
    <row r="2350" spans="1:25" x14ac:dyDescent="0.2">
      <c r="A2350" s="29"/>
      <c r="B2350" s="29"/>
      <c r="C2350" s="29"/>
      <c r="D2350" s="29"/>
      <c r="E2350" s="29"/>
      <c r="F2350" s="30"/>
      <c r="G2350" s="30"/>
      <c r="H2350" s="30"/>
      <c r="I2350" s="30"/>
      <c r="J2350" s="30"/>
      <c r="K2350" s="30"/>
      <c r="L2350" s="29"/>
      <c r="M2350" s="29"/>
      <c r="N2350" s="29"/>
      <c r="O2350" s="29"/>
      <c r="P2350" s="29"/>
      <c r="Q2350" s="29"/>
      <c r="R2350" s="29"/>
      <c r="S2350" s="29"/>
      <c r="T2350" s="29"/>
      <c r="U2350" s="31"/>
      <c r="V2350" s="31"/>
      <c r="W2350" s="31"/>
      <c r="X2350" s="31"/>
      <c r="Y2350" s="31"/>
    </row>
    <row r="2351" spans="1:25" x14ac:dyDescent="0.2">
      <c r="A2351" s="29"/>
      <c r="B2351" s="29"/>
      <c r="C2351" s="29"/>
      <c r="D2351" s="29"/>
      <c r="E2351" s="29"/>
      <c r="F2351" s="30"/>
      <c r="G2351" s="30"/>
      <c r="H2351" s="30"/>
      <c r="I2351" s="30"/>
      <c r="J2351" s="30"/>
      <c r="K2351" s="30"/>
      <c r="L2351" s="29"/>
      <c r="M2351" s="29"/>
      <c r="N2351" s="29"/>
      <c r="O2351" s="29"/>
      <c r="P2351" s="29"/>
      <c r="Q2351" s="29"/>
      <c r="R2351" s="29"/>
      <c r="S2351" s="29"/>
      <c r="T2351" s="29"/>
      <c r="U2351" s="31"/>
      <c r="V2351" s="31"/>
      <c r="W2351" s="31"/>
      <c r="X2351" s="31"/>
      <c r="Y2351" s="31"/>
    </row>
    <row r="2352" spans="1:25" x14ac:dyDescent="0.2">
      <c r="A2352" s="29"/>
      <c r="B2352" s="29"/>
      <c r="C2352" s="29"/>
      <c r="D2352" s="29"/>
      <c r="E2352" s="29"/>
      <c r="F2352" s="30"/>
      <c r="G2352" s="30"/>
      <c r="H2352" s="30"/>
      <c r="I2352" s="30"/>
      <c r="J2352" s="30"/>
      <c r="K2352" s="30"/>
      <c r="L2352" s="29"/>
      <c r="M2352" s="29"/>
      <c r="N2352" s="29"/>
      <c r="O2352" s="29"/>
      <c r="P2352" s="29"/>
      <c r="Q2352" s="29"/>
      <c r="R2352" s="29"/>
      <c r="S2352" s="29"/>
      <c r="T2352" s="29"/>
      <c r="U2352" s="31"/>
      <c r="V2352" s="31"/>
      <c r="W2352" s="31"/>
      <c r="X2352" s="31"/>
      <c r="Y2352" s="31"/>
    </row>
    <row r="2353" spans="1:25" x14ac:dyDescent="0.2">
      <c r="A2353" s="29"/>
      <c r="B2353" s="29"/>
      <c r="C2353" s="29"/>
      <c r="D2353" s="29"/>
      <c r="E2353" s="29"/>
      <c r="F2353" s="30"/>
      <c r="G2353" s="30"/>
      <c r="H2353" s="30"/>
      <c r="I2353" s="30"/>
      <c r="J2353" s="30"/>
      <c r="K2353" s="30"/>
      <c r="L2353" s="29"/>
      <c r="M2353" s="29"/>
      <c r="N2353" s="29"/>
      <c r="O2353" s="29"/>
      <c r="P2353" s="29"/>
      <c r="Q2353" s="29"/>
      <c r="R2353" s="29"/>
      <c r="S2353" s="29"/>
      <c r="T2353" s="29"/>
      <c r="U2353" s="31"/>
      <c r="V2353" s="31"/>
      <c r="W2353" s="31"/>
      <c r="X2353" s="31"/>
      <c r="Y2353" s="31"/>
    </row>
    <row r="2354" spans="1:25" x14ac:dyDescent="0.2">
      <c r="A2354" s="29"/>
      <c r="B2354" s="29"/>
      <c r="C2354" s="29"/>
      <c r="D2354" s="29"/>
      <c r="E2354" s="29"/>
      <c r="F2354" s="30"/>
      <c r="G2354" s="30"/>
      <c r="H2354" s="30"/>
      <c r="I2354" s="30"/>
      <c r="J2354" s="30"/>
      <c r="K2354" s="30"/>
      <c r="L2354" s="29"/>
      <c r="M2354" s="29"/>
      <c r="N2354" s="29"/>
      <c r="O2354" s="29"/>
      <c r="P2354" s="29"/>
      <c r="Q2354" s="29"/>
      <c r="R2354" s="29"/>
      <c r="S2354" s="29"/>
      <c r="T2354" s="29"/>
      <c r="U2354" s="31"/>
      <c r="V2354" s="31"/>
      <c r="W2354" s="31"/>
      <c r="X2354" s="31"/>
      <c r="Y2354" s="31"/>
    </row>
    <row r="2355" spans="1:25" x14ac:dyDescent="0.2">
      <c r="A2355" s="29"/>
      <c r="B2355" s="29"/>
      <c r="C2355" s="29"/>
      <c r="D2355" s="29"/>
      <c r="E2355" s="29"/>
      <c r="F2355" s="30"/>
      <c r="G2355" s="30"/>
      <c r="H2355" s="30"/>
      <c r="I2355" s="30"/>
      <c r="J2355" s="30"/>
      <c r="K2355" s="30"/>
      <c r="L2355" s="29"/>
      <c r="M2355" s="29"/>
      <c r="N2355" s="29"/>
      <c r="O2355" s="29"/>
      <c r="P2355" s="29"/>
      <c r="Q2355" s="29"/>
      <c r="R2355" s="29"/>
      <c r="S2355" s="29"/>
      <c r="T2355" s="29"/>
      <c r="U2355" s="31"/>
      <c r="V2355" s="31"/>
      <c r="W2355" s="31"/>
      <c r="X2355" s="31"/>
      <c r="Y2355" s="31"/>
    </row>
    <row r="2356" spans="1:25" x14ac:dyDescent="0.2">
      <c r="A2356" s="29"/>
      <c r="B2356" s="29"/>
      <c r="C2356" s="29"/>
      <c r="D2356" s="29"/>
      <c r="E2356" s="29"/>
      <c r="F2356" s="30"/>
      <c r="G2356" s="30"/>
      <c r="H2356" s="30"/>
      <c r="I2356" s="30"/>
      <c r="J2356" s="30"/>
      <c r="K2356" s="30"/>
      <c r="L2356" s="29"/>
      <c r="M2356" s="29"/>
      <c r="N2356" s="29"/>
      <c r="O2356" s="29"/>
      <c r="P2356" s="29"/>
      <c r="Q2356" s="29"/>
      <c r="R2356" s="29"/>
      <c r="S2356" s="29"/>
      <c r="T2356" s="29"/>
      <c r="U2356" s="31"/>
      <c r="V2356" s="31"/>
      <c r="W2356" s="31"/>
      <c r="X2356" s="31"/>
      <c r="Y2356" s="31"/>
    </row>
    <row r="2357" spans="1:25" x14ac:dyDescent="0.2">
      <c r="A2357" s="29"/>
      <c r="B2357" s="29"/>
      <c r="C2357" s="29"/>
      <c r="D2357" s="29"/>
      <c r="E2357" s="29"/>
      <c r="F2357" s="30"/>
      <c r="G2357" s="30"/>
      <c r="H2357" s="30"/>
      <c r="I2357" s="30"/>
      <c r="J2357" s="30"/>
      <c r="K2357" s="30"/>
      <c r="L2357" s="29"/>
      <c r="M2357" s="29"/>
      <c r="N2357" s="29"/>
      <c r="O2357" s="29"/>
      <c r="P2357" s="29"/>
      <c r="Q2357" s="29"/>
      <c r="R2357" s="29"/>
      <c r="S2357" s="29"/>
      <c r="T2357" s="29"/>
      <c r="U2357" s="31"/>
      <c r="V2357" s="31"/>
      <c r="W2357" s="31"/>
      <c r="X2357" s="31"/>
      <c r="Y2357" s="31"/>
    </row>
    <row r="2358" spans="1:25" x14ac:dyDescent="0.2">
      <c r="A2358" s="29"/>
      <c r="B2358" s="29"/>
      <c r="C2358" s="29"/>
      <c r="D2358" s="29"/>
      <c r="E2358" s="29"/>
      <c r="F2358" s="30"/>
      <c r="G2358" s="30"/>
      <c r="H2358" s="30"/>
      <c r="I2358" s="30"/>
      <c r="J2358" s="30"/>
      <c r="K2358" s="30"/>
      <c r="L2358" s="29"/>
      <c r="M2358" s="29"/>
      <c r="N2358" s="29"/>
      <c r="O2358" s="29"/>
      <c r="P2358" s="29"/>
      <c r="Q2358" s="29"/>
      <c r="R2358" s="29"/>
      <c r="S2358" s="29"/>
      <c r="T2358" s="29"/>
      <c r="U2358" s="31"/>
      <c r="V2358" s="31"/>
      <c r="W2358" s="31"/>
      <c r="X2358" s="31"/>
      <c r="Y2358" s="31"/>
    </row>
    <row r="2359" spans="1:25" x14ac:dyDescent="0.2">
      <c r="A2359" s="29"/>
      <c r="B2359" s="29"/>
      <c r="C2359" s="29"/>
      <c r="D2359" s="29"/>
      <c r="E2359" s="29"/>
      <c r="F2359" s="30"/>
      <c r="G2359" s="30"/>
      <c r="H2359" s="30"/>
      <c r="I2359" s="30"/>
      <c r="J2359" s="30"/>
      <c r="K2359" s="30"/>
      <c r="L2359" s="29"/>
      <c r="M2359" s="29"/>
      <c r="N2359" s="29"/>
      <c r="O2359" s="29"/>
      <c r="P2359" s="29"/>
      <c r="Q2359" s="29"/>
      <c r="R2359" s="29"/>
      <c r="S2359" s="29"/>
      <c r="T2359" s="29"/>
      <c r="U2359" s="31"/>
      <c r="V2359" s="31"/>
      <c r="W2359" s="31"/>
      <c r="X2359" s="31"/>
      <c r="Y2359" s="31"/>
    </row>
    <row r="2360" spans="1:25" x14ac:dyDescent="0.2">
      <c r="A2360" s="29"/>
      <c r="B2360" s="29"/>
      <c r="C2360" s="29"/>
      <c r="D2360" s="29"/>
      <c r="E2360" s="29"/>
      <c r="F2360" s="30"/>
      <c r="G2360" s="30"/>
      <c r="H2360" s="30"/>
      <c r="I2360" s="30"/>
      <c r="J2360" s="30"/>
      <c r="K2360" s="30"/>
      <c r="L2360" s="29"/>
      <c r="M2360" s="29"/>
      <c r="N2360" s="29"/>
      <c r="O2360" s="29"/>
      <c r="P2360" s="29"/>
      <c r="Q2360" s="29"/>
      <c r="R2360" s="29"/>
      <c r="S2360" s="29"/>
      <c r="T2360" s="29"/>
      <c r="U2360" s="31"/>
      <c r="V2360" s="31"/>
      <c r="W2360" s="31"/>
      <c r="X2360" s="31"/>
      <c r="Y2360" s="31"/>
    </row>
    <row r="2361" spans="1:25" x14ac:dyDescent="0.2">
      <c r="A2361" s="29"/>
      <c r="B2361" s="29"/>
      <c r="C2361" s="29"/>
      <c r="D2361" s="29"/>
      <c r="E2361" s="29"/>
      <c r="F2361" s="30"/>
      <c r="G2361" s="30"/>
      <c r="H2361" s="30"/>
      <c r="I2361" s="30"/>
      <c r="J2361" s="30"/>
      <c r="K2361" s="30"/>
      <c r="L2361" s="29"/>
      <c r="M2361" s="29"/>
      <c r="N2361" s="29"/>
      <c r="O2361" s="29"/>
      <c r="P2361" s="29"/>
      <c r="Q2361" s="29"/>
      <c r="R2361" s="29"/>
      <c r="S2361" s="29"/>
      <c r="T2361" s="29"/>
      <c r="U2361" s="31"/>
      <c r="V2361" s="31"/>
      <c r="W2361" s="31"/>
      <c r="X2361" s="31"/>
      <c r="Y2361" s="31"/>
    </row>
    <row r="2362" spans="1:25" x14ac:dyDescent="0.2">
      <c r="A2362" s="29"/>
      <c r="B2362" s="29"/>
      <c r="C2362" s="29"/>
      <c r="D2362" s="29"/>
      <c r="E2362" s="29"/>
      <c r="F2362" s="30"/>
      <c r="G2362" s="30"/>
      <c r="H2362" s="30"/>
      <c r="I2362" s="30"/>
      <c r="J2362" s="30"/>
      <c r="K2362" s="30"/>
      <c r="L2362" s="29"/>
      <c r="M2362" s="29"/>
      <c r="N2362" s="29"/>
      <c r="O2362" s="29"/>
      <c r="P2362" s="29"/>
      <c r="Q2362" s="29"/>
      <c r="R2362" s="29"/>
      <c r="S2362" s="29"/>
      <c r="T2362" s="29"/>
      <c r="U2362" s="31"/>
      <c r="V2362" s="31"/>
      <c r="W2362" s="31"/>
      <c r="X2362" s="31"/>
      <c r="Y2362" s="31"/>
    </row>
    <row r="2363" spans="1:25" x14ac:dyDescent="0.2">
      <c r="A2363" s="29"/>
      <c r="B2363" s="29"/>
      <c r="C2363" s="29"/>
      <c r="D2363" s="29"/>
      <c r="E2363" s="29"/>
      <c r="F2363" s="30"/>
      <c r="G2363" s="30"/>
      <c r="H2363" s="30"/>
      <c r="I2363" s="30"/>
      <c r="J2363" s="30"/>
      <c r="K2363" s="30"/>
      <c r="L2363" s="29"/>
      <c r="M2363" s="29"/>
      <c r="N2363" s="29"/>
      <c r="O2363" s="29"/>
      <c r="P2363" s="29"/>
      <c r="Q2363" s="29"/>
      <c r="R2363" s="29"/>
      <c r="S2363" s="29"/>
      <c r="T2363" s="29"/>
      <c r="U2363" s="31"/>
      <c r="V2363" s="31"/>
      <c r="W2363" s="31"/>
      <c r="X2363" s="31"/>
      <c r="Y2363" s="31"/>
    </row>
    <row r="2364" spans="1:25" x14ac:dyDescent="0.2">
      <c r="A2364" s="29"/>
      <c r="B2364" s="29"/>
      <c r="C2364" s="29"/>
      <c r="D2364" s="29"/>
      <c r="E2364" s="29"/>
      <c r="F2364" s="30"/>
      <c r="G2364" s="30"/>
      <c r="H2364" s="30"/>
      <c r="I2364" s="30"/>
      <c r="J2364" s="30"/>
      <c r="K2364" s="30"/>
      <c r="L2364" s="29"/>
      <c r="M2364" s="29"/>
      <c r="N2364" s="29"/>
      <c r="O2364" s="29"/>
      <c r="P2364" s="29"/>
      <c r="Q2364" s="29"/>
      <c r="R2364" s="29"/>
      <c r="S2364" s="29"/>
      <c r="T2364" s="29"/>
      <c r="U2364" s="31"/>
      <c r="V2364" s="31"/>
      <c r="W2364" s="31"/>
      <c r="X2364" s="31"/>
      <c r="Y2364" s="31"/>
    </row>
    <row r="2365" spans="1:25" x14ac:dyDescent="0.2">
      <c r="A2365" s="29"/>
      <c r="B2365" s="29"/>
      <c r="C2365" s="29"/>
      <c r="D2365" s="29"/>
      <c r="E2365" s="29"/>
      <c r="F2365" s="30"/>
      <c r="G2365" s="30"/>
      <c r="H2365" s="30"/>
      <c r="I2365" s="30"/>
      <c r="J2365" s="30"/>
      <c r="K2365" s="30"/>
      <c r="L2365" s="29"/>
      <c r="M2365" s="29"/>
      <c r="N2365" s="29"/>
      <c r="O2365" s="29"/>
      <c r="P2365" s="29"/>
      <c r="Q2365" s="29"/>
      <c r="R2365" s="29"/>
      <c r="S2365" s="29"/>
      <c r="T2365" s="29"/>
      <c r="U2365" s="31"/>
      <c r="V2365" s="31"/>
      <c r="W2365" s="31"/>
      <c r="X2365" s="31"/>
      <c r="Y2365" s="31"/>
    </row>
    <row r="2366" spans="1:25" x14ac:dyDescent="0.2">
      <c r="A2366" s="29"/>
      <c r="B2366" s="29"/>
      <c r="C2366" s="29"/>
      <c r="D2366" s="29"/>
      <c r="E2366" s="29"/>
      <c r="F2366" s="30"/>
      <c r="G2366" s="30"/>
      <c r="H2366" s="30"/>
      <c r="I2366" s="30"/>
      <c r="J2366" s="30"/>
      <c r="K2366" s="30"/>
      <c r="L2366" s="29"/>
      <c r="M2366" s="29"/>
      <c r="N2366" s="29"/>
      <c r="O2366" s="29"/>
      <c r="P2366" s="29"/>
      <c r="Q2366" s="29"/>
      <c r="R2366" s="29"/>
      <c r="S2366" s="29"/>
      <c r="T2366" s="29"/>
      <c r="U2366" s="31"/>
      <c r="V2366" s="31"/>
      <c r="W2366" s="31"/>
      <c r="X2366" s="31"/>
      <c r="Y2366" s="31"/>
    </row>
    <row r="2367" spans="1:25" x14ac:dyDescent="0.2">
      <c r="A2367" s="29"/>
      <c r="B2367" s="29"/>
      <c r="C2367" s="29"/>
      <c r="D2367" s="29"/>
      <c r="E2367" s="29"/>
      <c r="F2367" s="30"/>
      <c r="G2367" s="30"/>
      <c r="H2367" s="30"/>
      <c r="I2367" s="30"/>
      <c r="J2367" s="30"/>
      <c r="K2367" s="30"/>
      <c r="L2367" s="29"/>
      <c r="M2367" s="29"/>
      <c r="N2367" s="29"/>
      <c r="O2367" s="29"/>
      <c r="P2367" s="29"/>
      <c r="Q2367" s="29"/>
      <c r="R2367" s="29"/>
      <c r="S2367" s="29"/>
      <c r="T2367" s="29"/>
      <c r="U2367" s="31"/>
      <c r="V2367" s="31"/>
      <c r="W2367" s="31"/>
      <c r="X2367" s="31"/>
      <c r="Y2367" s="31"/>
    </row>
    <row r="2368" spans="1:25" x14ac:dyDescent="0.2">
      <c r="A2368" s="29"/>
      <c r="B2368" s="29"/>
      <c r="C2368" s="29"/>
      <c r="D2368" s="29"/>
      <c r="E2368" s="29"/>
      <c r="F2368" s="30"/>
      <c r="G2368" s="30"/>
      <c r="H2368" s="30"/>
      <c r="I2368" s="30"/>
      <c r="J2368" s="30"/>
      <c r="K2368" s="30"/>
      <c r="L2368" s="29"/>
      <c r="M2368" s="29"/>
      <c r="N2368" s="29"/>
      <c r="O2368" s="29"/>
      <c r="P2368" s="29"/>
      <c r="Q2368" s="29"/>
      <c r="R2368" s="29"/>
      <c r="S2368" s="29"/>
      <c r="T2368" s="29"/>
      <c r="U2368" s="31"/>
      <c r="V2368" s="31"/>
      <c r="W2368" s="31"/>
      <c r="X2368" s="31"/>
      <c r="Y2368" s="31"/>
    </row>
    <row r="2369" spans="1:25" x14ac:dyDescent="0.2">
      <c r="A2369" s="29"/>
      <c r="B2369" s="29"/>
      <c r="C2369" s="29"/>
      <c r="D2369" s="29"/>
      <c r="E2369" s="29"/>
      <c r="F2369" s="30"/>
      <c r="G2369" s="30"/>
      <c r="H2369" s="30"/>
      <c r="I2369" s="30"/>
      <c r="J2369" s="30"/>
      <c r="K2369" s="30"/>
      <c r="L2369" s="29"/>
      <c r="M2369" s="29"/>
      <c r="N2369" s="29"/>
      <c r="O2369" s="29"/>
      <c r="P2369" s="29"/>
      <c r="Q2369" s="29"/>
      <c r="R2369" s="29"/>
      <c r="S2369" s="29"/>
      <c r="T2369" s="29"/>
      <c r="U2369" s="31"/>
      <c r="V2369" s="31"/>
      <c r="W2369" s="31"/>
      <c r="X2369" s="31"/>
      <c r="Y2369" s="31"/>
    </row>
    <row r="2370" spans="1:25" x14ac:dyDescent="0.2">
      <c r="A2370" s="29"/>
      <c r="B2370" s="29"/>
      <c r="C2370" s="29"/>
      <c r="D2370" s="29"/>
      <c r="E2370" s="29"/>
      <c r="F2370" s="30"/>
      <c r="G2370" s="30"/>
      <c r="H2370" s="30"/>
      <c r="I2370" s="30"/>
      <c r="J2370" s="30"/>
      <c r="K2370" s="30"/>
      <c r="L2370" s="29"/>
      <c r="M2370" s="29"/>
      <c r="N2370" s="29"/>
      <c r="O2370" s="29"/>
      <c r="P2370" s="29"/>
      <c r="Q2370" s="29"/>
      <c r="R2370" s="29"/>
      <c r="S2370" s="29"/>
      <c r="T2370" s="29"/>
      <c r="U2370" s="31"/>
      <c r="V2370" s="31"/>
      <c r="W2370" s="31"/>
      <c r="X2370" s="31"/>
      <c r="Y2370" s="31"/>
    </row>
    <row r="2371" spans="1:25" x14ac:dyDescent="0.2">
      <c r="A2371" s="29"/>
      <c r="B2371" s="29"/>
      <c r="C2371" s="29"/>
      <c r="D2371" s="29"/>
      <c r="E2371" s="29"/>
      <c r="F2371" s="30"/>
      <c r="G2371" s="30"/>
      <c r="H2371" s="30"/>
      <c r="I2371" s="30"/>
      <c r="J2371" s="30"/>
      <c r="K2371" s="30"/>
      <c r="L2371" s="29"/>
      <c r="M2371" s="29"/>
      <c r="N2371" s="29"/>
      <c r="O2371" s="29"/>
      <c r="P2371" s="29"/>
      <c r="Q2371" s="29"/>
      <c r="R2371" s="29"/>
      <c r="S2371" s="29"/>
      <c r="T2371" s="29"/>
      <c r="U2371" s="31"/>
      <c r="V2371" s="31"/>
      <c r="W2371" s="31"/>
      <c r="X2371" s="31"/>
      <c r="Y2371" s="31"/>
    </row>
    <row r="2372" spans="1:25" x14ac:dyDescent="0.2">
      <c r="A2372" s="29"/>
      <c r="B2372" s="29"/>
      <c r="C2372" s="29"/>
      <c r="D2372" s="29"/>
      <c r="E2372" s="29"/>
      <c r="F2372" s="30"/>
      <c r="G2372" s="30"/>
      <c r="H2372" s="30"/>
      <c r="I2372" s="30"/>
      <c r="J2372" s="30"/>
      <c r="K2372" s="30"/>
      <c r="L2372" s="29"/>
      <c r="M2372" s="29"/>
      <c r="N2372" s="29"/>
      <c r="O2372" s="29"/>
      <c r="P2372" s="29"/>
      <c r="Q2372" s="29"/>
      <c r="R2372" s="29"/>
      <c r="S2372" s="29"/>
      <c r="T2372" s="29"/>
      <c r="U2372" s="31"/>
      <c r="V2372" s="31"/>
      <c r="W2372" s="31"/>
      <c r="X2372" s="31"/>
      <c r="Y2372" s="31"/>
    </row>
    <row r="2373" spans="1:25" x14ac:dyDescent="0.2">
      <c r="A2373" s="29"/>
      <c r="B2373" s="29"/>
      <c r="C2373" s="29"/>
      <c r="D2373" s="29"/>
      <c r="E2373" s="29"/>
      <c r="F2373" s="30"/>
      <c r="G2373" s="30"/>
      <c r="H2373" s="30"/>
      <c r="I2373" s="30"/>
      <c r="J2373" s="30"/>
      <c r="K2373" s="30"/>
      <c r="L2373" s="29"/>
      <c r="M2373" s="29"/>
      <c r="N2373" s="29"/>
      <c r="O2373" s="29"/>
      <c r="P2373" s="29"/>
      <c r="Q2373" s="29"/>
      <c r="R2373" s="29"/>
      <c r="S2373" s="29"/>
      <c r="T2373" s="29"/>
      <c r="U2373" s="31"/>
      <c r="V2373" s="31"/>
      <c r="W2373" s="31"/>
      <c r="X2373" s="31"/>
      <c r="Y2373" s="31"/>
    </row>
    <row r="2374" spans="1:25" x14ac:dyDescent="0.2">
      <c r="A2374" s="29"/>
      <c r="B2374" s="29"/>
      <c r="C2374" s="29"/>
      <c r="D2374" s="29"/>
      <c r="E2374" s="29"/>
      <c r="F2374" s="30"/>
      <c r="G2374" s="30"/>
      <c r="H2374" s="30"/>
      <c r="I2374" s="30"/>
      <c r="J2374" s="30"/>
      <c r="K2374" s="30"/>
      <c r="L2374" s="29"/>
      <c r="M2374" s="29"/>
      <c r="N2374" s="29"/>
      <c r="O2374" s="29"/>
      <c r="P2374" s="29"/>
      <c r="Q2374" s="29"/>
      <c r="R2374" s="29"/>
      <c r="S2374" s="29"/>
      <c r="T2374" s="29"/>
      <c r="U2374" s="31"/>
      <c r="V2374" s="31"/>
      <c r="W2374" s="31"/>
      <c r="X2374" s="31"/>
      <c r="Y2374" s="31"/>
    </row>
    <row r="2375" spans="1:25" x14ac:dyDescent="0.2">
      <c r="A2375" s="29"/>
      <c r="B2375" s="29"/>
      <c r="C2375" s="29"/>
      <c r="D2375" s="29"/>
      <c r="E2375" s="29"/>
      <c r="F2375" s="30"/>
      <c r="G2375" s="30"/>
      <c r="H2375" s="30"/>
      <c r="I2375" s="30"/>
      <c r="J2375" s="30"/>
      <c r="K2375" s="30"/>
      <c r="L2375" s="29"/>
      <c r="M2375" s="29"/>
      <c r="N2375" s="29"/>
      <c r="O2375" s="29"/>
      <c r="P2375" s="29"/>
      <c r="Q2375" s="29"/>
      <c r="R2375" s="29"/>
      <c r="S2375" s="29"/>
      <c r="T2375" s="29"/>
      <c r="U2375" s="31"/>
      <c r="V2375" s="31"/>
      <c r="W2375" s="31"/>
      <c r="X2375" s="31"/>
      <c r="Y2375" s="31"/>
    </row>
    <row r="2376" spans="1:25" x14ac:dyDescent="0.2">
      <c r="A2376" s="29"/>
      <c r="B2376" s="29"/>
      <c r="C2376" s="29"/>
      <c r="D2376" s="29"/>
      <c r="E2376" s="29"/>
      <c r="F2376" s="30"/>
      <c r="G2376" s="30"/>
      <c r="H2376" s="30"/>
      <c r="I2376" s="30"/>
      <c r="J2376" s="30"/>
      <c r="K2376" s="30"/>
      <c r="L2376" s="29"/>
      <c r="M2376" s="29"/>
      <c r="N2376" s="29"/>
      <c r="O2376" s="29"/>
      <c r="P2376" s="29"/>
      <c r="Q2376" s="29"/>
      <c r="R2376" s="29"/>
      <c r="S2376" s="29"/>
      <c r="T2376" s="29"/>
      <c r="U2376" s="31"/>
      <c r="V2376" s="31"/>
      <c r="W2376" s="31"/>
      <c r="X2376" s="31"/>
      <c r="Y2376" s="31"/>
    </row>
    <row r="2377" spans="1:25" x14ac:dyDescent="0.2">
      <c r="A2377" s="29"/>
      <c r="B2377" s="29"/>
      <c r="C2377" s="29"/>
      <c r="D2377" s="29"/>
      <c r="E2377" s="29"/>
      <c r="F2377" s="30"/>
      <c r="G2377" s="30"/>
      <c r="H2377" s="30"/>
      <c r="I2377" s="30"/>
      <c r="J2377" s="30"/>
      <c r="K2377" s="30"/>
      <c r="L2377" s="29"/>
      <c r="M2377" s="29"/>
      <c r="N2377" s="29"/>
      <c r="O2377" s="29"/>
      <c r="P2377" s="29"/>
      <c r="Q2377" s="29"/>
      <c r="R2377" s="29"/>
      <c r="S2377" s="29"/>
      <c r="T2377" s="29"/>
      <c r="U2377" s="31"/>
      <c r="V2377" s="31"/>
      <c r="W2377" s="31"/>
      <c r="X2377" s="31"/>
      <c r="Y2377" s="31"/>
    </row>
    <row r="2378" spans="1:25" x14ac:dyDescent="0.2">
      <c r="A2378" s="29"/>
      <c r="B2378" s="29"/>
      <c r="C2378" s="29"/>
      <c r="D2378" s="29"/>
      <c r="E2378" s="29"/>
      <c r="F2378" s="30"/>
      <c r="G2378" s="30"/>
      <c r="H2378" s="30"/>
      <c r="I2378" s="30"/>
      <c r="J2378" s="30"/>
      <c r="K2378" s="30"/>
      <c r="L2378" s="29"/>
      <c r="M2378" s="29"/>
      <c r="N2378" s="29"/>
      <c r="O2378" s="29"/>
      <c r="P2378" s="29"/>
      <c r="Q2378" s="29"/>
      <c r="R2378" s="29"/>
      <c r="S2378" s="29"/>
      <c r="T2378" s="29"/>
      <c r="U2378" s="31"/>
      <c r="V2378" s="31"/>
      <c r="W2378" s="31"/>
      <c r="X2378" s="31"/>
      <c r="Y2378" s="31"/>
    </row>
    <row r="2379" spans="1:25" x14ac:dyDescent="0.2">
      <c r="A2379" s="29"/>
      <c r="B2379" s="29"/>
      <c r="C2379" s="29"/>
      <c r="D2379" s="29"/>
      <c r="E2379" s="29"/>
      <c r="F2379" s="30"/>
      <c r="G2379" s="30"/>
      <c r="H2379" s="30"/>
      <c r="I2379" s="30"/>
      <c r="J2379" s="30"/>
      <c r="K2379" s="30"/>
      <c r="L2379" s="29"/>
      <c r="M2379" s="29"/>
      <c r="N2379" s="29"/>
      <c r="O2379" s="29"/>
      <c r="P2379" s="29"/>
      <c r="Q2379" s="29"/>
      <c r="R2379" s="29"/>
      <c r="S2379" s="29"/>
      <c r="T2379" s="29"/>
      <c r="U2379" s="31"/>
      <c r="V2379" s="31"/>
      <c r="W2379" s="31"/>
      <c r="X2379" s="31"/>
      <c r="Y2379" s="31"/>
    </row>
    <row r="2380" spans="1:25" x14ac:dyDescent="0.2">
      <c r="A2380" s="29"/>
      <c r="B2380" s="29"/>
      <c r="C2380" s="29"/>
      <c r="D2380" s="29"/>
      <c r="E2380" s="29"/>
      <c r="F2380" s="30"/>
      <c r="G2380" s="30"/>
      <c r="H2380" s="30"/>
      <c r="I2380" s="30"/>
      <c r="J2380" s="30"/>
      <c r="K2380" s="30"/>
      <c r="L2380" s="29"/>
      <c r="M2380" s="29"/>
      <c r="N2380" s="29"/>
      <c r="O2380" s="29"/>
      <c r="P2380" s="29"/>
      <c r="Q2380" s="29"/>
      <c r="R2380" s="29"/>
      <c r="S2380" s="29"/>
      <c r="T2380" s="29"/>
      <c r="U2380" s="31"/>
      <c r="V2380" s="31"/>
      <c r="W2380" s="31"/>
      <c r="X2380" s="31"/>
      <c r="Y2380" s="31"/>
    </row>
    <row r="2381" spans="1:25" x14ac:dyDescent="0.2">
      <c r="A2381" s="29"/>
      <c r="B2381" s="29"/>
      <c r="C2381" s="29"/>
      <c r="D2381" s="29"/>
      <c r="E2381" s="29"/>
      <c r="F2381" s="30"/>
      <c r="G2381" s="30"/>
      <c r="H2381" s="30"/>
      <c r="I2381" s="30"/>
      <c r="J2381" s="30"/>
      <c r="K2381" s="30"/>
      <c r="L2381" s="29"/>
      <c r="M2381" s="29"/>
      <c r="N2381" s="29"/>
      <c r="O2381" s="29"/>
      <c r="P2381" s="29"/>
      <c r="Q2381" s="29"/>
      <c r="R2381" s="29"/>
      <c r="S2381" s="29"/>
      <c r="T2381" s="29"/>
      <c r="U2381" s="31"/>
      <c r="V2381" s="31"/>
      <c r="W2381" s="31"/>
      <c r="X2381" s="31"/>
      <c r="Y2381" s="31"/>
    </row>
    <row r="2382" spans="1:25" x14ac:dyDescent="0.2">
      <c r="A2382" s="29"/>
      <c r="B2382" s="29"/>
      <c r="C2382" s="29"/>
      <c r="D2382" s="29"/>
      <c r="E2382" s="29"/>
      <c r="F2382" s="30"/>
      <c r="G2382" s="30"/>
      <c r="H2382" s="30"/>
      <c r="I2382" s="30"/>
      <c r="J2382" s="30"/>
      <c r="K2382" s="30"/>
      <c r="L2382" s="29"/>
      <c r="M2382" s="29"/>
      <c r="N2382" s="29"/>
      <c r="O2382" s="29"/>
      <c r="P2382" s="29"/>
      <c r="Q2382" s="29"/>
      <c r="R2382" s="29"/>
      <c r="S2382" s="29"/>
      <c r="T2382" s="29"/>
      <c r="U2382" s="31"/>
      <c r="V2382" s="31"/>
      <c r="W2382" s="31"/>
      <c r="X2382" s="31"/>
      <c r="Y2382" s="31"/>
    </row>
    <row r="2383" spans="1:25" x14ac:dyDescent="0.2">
      <c r="A2383" s="29"/>
      <c r="B2383" s="29"/>
      <c r="C2383" s="29"/>
      <c r="D2383" s="29"/>
      <c r="E2383" s="29"/>
      <c r="F2383" s="30"/>
      <c r="G2383" s="30"/>
      <c r="H2383" s="30"/>
      <c r="I2383" s="30"/>
      <c r="J2383" s="30"/>
      <c r="K2383" s="30"/>
      <c r="L2383" s="29"/>
      <c r="M2383" s="29"/>
      <c r="N2383" s="29"/>
      <c r="O2383" s="29"/>
      <c r="P2383" s="29"/>
      <c r="Q2383" s="29"/>
      <c r="R2383" s="29"/>
      <c r="S2383" s="29"/>
      <c r="T2383" s="29"/>
      <c r="U2383" s="31"/>
      <c r="V2383" s="31"/>
      <c r="W2383" s="31"/>
      <c r="X2383" s="31"/>
      <c r="Y2383" s="31"/>
    </row>
    <row r="2384" spans="1:25" x14ac:dyDescent="0.2">
      <c r="A2384" s="29"/>
      <c r="B2384" s="29"/>
      <c r="C2384" s="29"/>
      <c r="D2384" s="29"/>
      <c r="E2384" s="29"/>
      <c r="F2384" s="30"/>
      <c r="G2384" s="30"/>
      <c r="H2384" s="30"/>
      <c r="I2384" s="30"/>
      <c r="J2384" s="30"/>
      <c r="K2384" s="30"/>
      <c r="L2384" s="29"/>
      <c r="M2384" s="29"/>
      <c r="N2384" s="29"/>
      <c r="O2384" s="29"/>
      <c r="P2384" s="29"/>
      <c r="Q2384" s="29"/>
      <c r="R2384" s="29"/>
      <c r="S2384" s="29"/>
      <c r="T2384" s="29"/>
      <c r="U2384" s="31"/>
      <c r="V2384" s="31"/>
      <c r="W2384" s="31"/>
      <c r="X2384" s="31"/>
      <c r="Y2384" s="31"/>
    </row>
    <row r="2385" spans="1:25" x14ac:dyDescent="0.2">
      <c r="A2385" s="29"/>
      <c r="B2385" s="29"/>
      <c r="C2385" s="29"/>
      <c r="D2385" s="29"/>
      <c r="E2385" s="29"/>
      <c r="F2385" s="30"/>
      <c r="G2385" s="30"/>
      <c r="H2385" s="30"/>
      <c r="I2385" s="30"/>
      <c r="J2385" s="30"/>
      <c r="K2385" s="30"/>
      <c r="L2385" s="29"/>
      <c r="M2385" s="29"/>
      <c r="N2385" s="29"/>
      <c r="O2385" s="29"/>
      <c r="P2385" s="29"/>
      <c r="Q2385" s="29"/>
      <c r="R2385" s="29"/>
      <c r="S2385" s="29"/>
      <c r="T2385" s="29"/>
      <c r="U2385" s="31"/>
      <c r="V2385" s="31"/>
      <c r="W2385" s="31"/>
      <c r="X2385" s="31"/>
      <c r="Y2385" s="31"/>
    </row>
    <row r="2386" spans="1:25" x14ac:dyDescent="0.2">
      <c r="A2386" s="29"/>
      <c r="B2386" s="29"/>
      <c r="C2386" s="29"/>
      <c r="D2386" s="29"/>
      <c r="E2386" s="29"/>
      <c r="F2386" s="30"/>
      <c r="G2386" s="30"/>
      <c r="H2386" s="30"/>
      <c r="I2386" s="30"/>
      <c r="J2386" s="30"/>
      <c r="K2386" s="30"/>
      <c r="L2386" s="29"/>
      <c r="M2386" s="29"/>
      <c r="N2386" s="29"/>
      <c r="O2386" s="29"/>
      <c r="P2386" s="29"/>
      <c r="Q2386" s="29"/>
      <c r="R2386" s="29"/>
      <c r="S2386" s="29"/>
      <c r="T2386" s="29"/>
      <c r="U2386" s="31"/>
      <c r="V2386" s="31"/>
      <c r="W2386" s="31"/>
      <c r="X2386" s="31"/>
      <c r="Y2386" s="31"/>
    </row>
    <row r="2387" spans="1:25" x14ac:dyDescent="0.2">
      <c r="A2387" s="29"/>
      <c r="B2387" s="29"/>
      <c r="C2387" s="29"/>
      <c r="D2387" s="29"/>
      <c r="E2387" s="29"/>
      <c r="F2387" s="30"/>
      <c r="G2387" s="30"/>
      <c r="H2387" s="30"/>
      <c r="I2387" s="30"/>
      <c r="J2387" s="30"/>
      <c r="K2387" s="30"/>
      <c r="L2387" s="29"/>
      <c r="M2387" s="29"/>
      <c r="N2387" s="29"/>
      <c r="O2387" s="29"/>
      <c r="P2387" s="29"/>
      <c r="Q2387" s="29"/>
      <c r="R2387" s="29"/>
      <c r="S2387" s="29"/>
      <c r="T2387" s="29"/>
      <c r="U2387" s="31"/>
      <c r="V2387" s="31"/>
      <c r="W2387" s="31"/>
      <c r="X2387" s="31"/>
      <c r="Y2387" s="31"/>
    </row>
    <row r="2388" spans="1:25" x14ac:dyDescent="0.2">
      <c r="A2388" s="29"/>
      <c r="B2388" s="29"/>
      <c r="C2388" s="29"/>
      <c r="D2388" s="29"/>
      <c r="E2388" s="29"/>
      <c r="F2388" s="30"/>
      <c r="G2388" s="30"/>
      <c r="H2388" s="30"/>
      <c r="I2388" s="30"/>
      <c r="J2388" s="30"/>
      <c r="K2388" s="30"/>
      <c r="L2388" s="29"/>
      <c r="M2388" s="29"/>
      <c r="N2388" s="29"/>
      <c r="O2388" s="29"/>
      <c r="P2388" s="29"/>
      <c r="Q2388" s="29"/>
      <c r="R2388" s="29"/>
      <c r="S2388" s="29"/>
      <c r="T2388" s="29"/>
      <c r="U2388" s="31"/>
      <c r="V2388" s="31"/>
      <c r="W2388" s="31"/>
      <c r="X2388" s="31"/>
      <c r="Y2388" s="31"/>
    </row>
    <row r="2389" spans="1:25" x14ac:dyDescent="0.2">
      <c r="A2389" s="29"/>
      <c r="B2389" s="29"/>
      <c r="C2389" s="29"/>
      <c r="D2389" s="29"/>
      <c r="E2389" s="29"/>
      <c r="F2389" s="30"/>
      <c r="G2389" s="30"/>
      <c r="H2389" s="30"/>
      <c r="I2389" s="30"/>
      <c r="J2389" s="30"/>
      <c r="K2389" s="30"/>
      <c r="L2389" s="29"/>
      <c r="M2389" s="29"/>
      <c r="N2389" s="29"/>
      <c r="O2389" s="29"/>
      <c r="P2389" s="29"/>
      <c r="Q2389" s="29"/>
      <c r="R2389" s="29"/>
      <c r="S2389" s="29"/>
      <c r="T2389" s="29"/>
      <c r="U2389" s="31"/>
      <c r="V2389" s="31"/>
      <c r="W2389" s="31"/>
      <c r="X2389" s="31"/>
      <c r="Y2389" s="31"/>
    </row>
    <row r="2390" spans="1:25" x14ac:dyDescent="0.2">
      <c r="A2390" s="29"/>
      <c r="B2390" s="29"/>
      <c r="C2390" s="29"/>
      <c r="D2390" s="29"/>
      <c r="E2390" s="29"/>
      <c r="F2390" s="30"/>
      <c r="G2390" s="30"/>
      <c r="H2390" s="30"/>
      <c r="I2390" s="30"/>
      <c r="J2390" s="30"/>
      <c r="K2390" s="30"/>
      <c r="L2390" s="29"/>
      <c r="M2390" s="29"/>
      <c r="N2390" s="29"/>
      <c r="O2390" s="29"/>
      <c r="P2390" s="29"/>
      <c r="Q2390" s="29"/>
      <c r="R2390" s="29"/>
      <c r="S2390" s="29"/>
      <c r="T2390" s="29"/>
      <c r="U2390" s="31"/>
      <c r="V2390" s="31"/>
      <c r="W2390" s="31"/>
      <c r="X2390" s="31"/>
      <c r="Y2390" s="31"/>
    </row>
    <row r="2391" spans="1:25" x14ac:dyDescent="0.2">
      <c r="A2391" s="29"/>
      <c r="B2391" s="29"/>
      <c r="C2391" s="29"/>
      <c r="D2391" s="29"/>
      <c r="E2391" s="29"/>
      <c r="F2391" s="30"/>
      <c r="G2391" s="30"/>
      <c r="H2391" s="30"/>
      <c r="I2391" s="30"/>
      <c r="J2391" s="30"/>
      <c r="K2391" s="30"/>
      <c r="L2391" s="29"/>
      <c r="M2391" s="29"/>
      <c r="N2391" s="29"/>
      <c r="O2391" s="29"/>
      <c r="P2391" s="29"/>
      <c r="Q2391" s="29"/>
      <c r="R2391" s="29"/>
      <c r="S2391" s="29"/>
      <c r="T2391" s="29"/>
      <c r="U2391" s="31"/>
      <c r="V2391" s="31"/>
      <c r="W2391" s="31"/>
      <c r="X2391" s="31"/>
      <c r="Y2391" s="31"/>
    </row>
    <row r="2392" spans="1:25" x14ac:dyDescent="0.2">
      <c r="A2392" s="29"/>
      <c r="B2392" s="29"/>
      <c r="C2392" s="29"/>
      <c r="D2392" s="29"/>
      <c r="E2392" s="29"/>
      <c r="F2392" s="30"/>
      <c r="G2392" s="30"/>
      <c r="H2392" s="30"/>
      <c r="I2392" s="30"/>
      <c r="J2392" s="30"/>
      <c r="K2392" s="30"/>
      <c r="L2392" s="29"/>
      <c r="M2392" s="29"/>
      <c r="N2392" s="29"/>
      <c r="O2392" s="29"/>
      <c r="P2392" s="29"/>
      <c r="Q2392" s="29"/>
      <c r="R2392" s="29"/>
      <c r="S2392" s="29"/>
      <c r="T2392" s="29"/>
      <c r="U2392" s="31"/>
      <c r="V2392" s="31"/>
      <c r="W2392" s="31"/>
      <c r="X2392" s="31"/>
      <c r="Y2392" s="31"/>
    </row>
    <row r="2393" spans="1:25" x14ac:dyDescent="0.2">
      <c r="A2393" s="29"/>
      <c r="B2393" s="29"/>
      <c r="C2393" s="29"/>
      <c r="D2393" s="29"/>
      <c r="E2393" s="29"/>
      <c r="F2393" s="30"/>
      <c r="G2393" s="30"/>
      <c r="H2393" s="30"/>
      <c r="I2393" s="30"/>
      <c r="J2393" s="30"/>
      <c r="K2393" s="30"/>
      <c r="L2393" s="29"/>
      <c r="M2393" s="29"/>
      <c r="N2393" s="29"/>
      <c r="O2393" s="29"/>
      <c r="P2393" s="29"/>
      <c r="Q2393" s="29"/>
      <c r="R2393" s="29"/>
      <c r="S2393" s="29"/>
      <c r="T2393" s="29"/>
      <c r="U2393" s="31"/>
      <c r="V2393" s="31"/>
      <c r="W2393" s="31"/>
      <c r="X2393" s="31"/>
      <c r="Y2393" s="31"/>
    </row>
    <row r="2394" spans="1:25" x14ac:dyDescent="0.2">
      <c r="A2394" s="29"/>
      <c r="B2394" s="29"/>
      <c r="C2394" s="29"/>
      <c r="D2394" s="29"/>
      <c r="E2394" s="29"/>
      <c r="F2394" s="30"/>
      <c r="G2394" s="30"/>
      <c r="H2394" s="30"/>
      <c r="I2394" s="30"/>
      <c r="J2394" s="30"/>
      <c r="K2394" s="30"/>
      <c r="L2394" s="29"/>
      <c r="M2394" s="29"/>
      <c r="N2394" s="29"/>
      <c r="O2394" s="29"/>
      <c r="P2394" s="29"/>
      <c r="Q2394" s="29"/>
      <c r="R2394" s="29"/>
      <c r="S2394" s="29"/>
      <c r="T2394" s="29"/>
      <c r="U2394" s="31"/>
      <c r="V2394" s="31"/>
      <c r="W2394" s="31"/>
      <c r="X2394" s="31"/>
      <c r="Y2394" s="31"/>
    </row>
    <row r="2395" spans="1:25" x14ac:dyDescent="0.2">
      <c r="A2395" s="29"/>
      <c r="B2395" s="29"/>
      <c r="C2395" s="29"/>
      <c r="D2395" s="29"/>
      <c r="E2395" s="29"/>
      <c r="F2395" s="30"/>
      <c r="G2395" s="30"/>
      <c r="H2395" s="30"/>
      <c r="I2395" s="30"/>
      <c r="J2395" s="30"/>
      <c r="K2395" s="30"/>
      <c r="L2395" s="29"/>
      <c r="M2395" s="29"/>
      <c r="N2395" s="29"/>
      <c r="O2395" s="29"/>
      <c r="P2395" s="29"/>
      <c r="Q2395" s="29"/>
      <c r="R2395" s="29"/>
      <c r="S2395" s="29"/>
      <c r="T2395" s="29"/>
      <c r="U2395" s="31"/>
      <c r="V2395" s="31"/>
      <c r="W2395" s="31"/>
      <c r="X2395" s="31"/>
      <c r="Y2395" s="31"/>
    </row>
    <row r="2396" spans="1:25" x14ac:dyDescent="0.2">
      <c r="A2396" s="29"/>
      <c r="B2396" s="29"/>
      <c r="C2396" s="29"/>
      <c r="D2396" s="29"/>
      <c r="E2396" s="29"/>
      <c r="F2396" s="30"/>
      <c r="G2396" s="30"/>
      <c r="H2396" s="30"/>
      <c r="I2396" s="30"/>
      <c r="J2396" s="30"/>
      <c r="K2396" s="30"/>
      <c r="L2396" s="29"/>
      <c r="M2396" s="29"/>
      <c r="N2396" s="29"/>
      <c r="O2396" s="29"/>
      <c r="P2396" s="29"/>
      <c r="Q2396" s="29"/>
      <c r="R2396" s="29"/>
      <c r="S2396" s="29"/>
      <c r="T2396" s="29"/>
      <c r="U2396" s="31"/>
      <c r="V2396" s="31"/>
      <c r="W2396" s="31"/>
      <c r="X2396" s="31"/>
      <c r="Y2396" s="31"/>
    </row>
    <row r="2397" spans="1:25" x14ac:dyDescent="0.2">
      <c r="A2397" s="29"/>
      <c r="B2397" s="29"/>
      <c r="C2397" s="29"/>
      <c r="D2397" s="29"/>
      <c r="E2397" s="29"/>
      <c r="F2397" s="30"/>
      <c r="G2397" s="30"/>
      <c r="H2397" s="30"/>
      <c r="I2397" s="30"/>
      <c r="J2397" s="30"/>
      <c r="K2397" s="30"/>
      <c r="L2397" s="29"/>
      <c r="M2397" s="29"/>
      <c r="N2397" s="29"/>
      <c r="O2397" s="29"/>
      <c r="P2397" s="29"/>
      <c r="Q2397" s="29"/>
      <c r="R2397" s="29"/>
      <c r="S2397" s="29"/>
      <c r="T2397" s="29"/>
      <c r="U2397" s="31"/>
      <c r="V2397" s="31"/>
      <c r="W2397" s="31"/>
      <c r="X2397" s="31"/>
      <c r="Y2397" s="31"/>
    </row>
    <row r="2398" spans="1:25" x14ac:dyDescent="0.2">
      <c r="A2398" s="29"/>
      <c r="B2398" s="29"/>
      <c r="C2398" s="29"/>
      <c r="D2398" s="29"/>
      <c r="E2398" s="29"/>
      <c r="F2398" s="30"/>
      <c r="G2398" s="30"/>
      <c r="H2398" s="30"/>
      <c r="I2398" s="30"/>
      <c r="J2398" s="30"/>
      <c r="K2398" s="30"/>
      <c r="L2398" s="29"/>
      <c r="M2398" s="29"/>
      <c r="N2398" s="29"/>
      <c r="O2398" s="29"/>
      <c r="P2398" s="29"/>
      <c r="Q2398" s="29"/>
      <c r="R2398" s="29"/>
      <c r="S2398" s="29"/>
      <c r="T2398" s="29"/>
      <c r="U2398" s="31"/>
      <c r="V2398" s="31"/>
      <c r="W2398" s="31"/>
      <c r="X2398" s="31"/>
      <c r="Y2398" s="31"/>
    </row>
    <row r="2399" spans="1:25" x14ac:dyDescent="0.2">
      <c r="A2399" s="29"/>
      <c r="B2399" s="29"/>
      <c r="C2399" s="29"/>
      <c r="D2399" s="29"/>
      <c r="E2399" s="29"/>
      <c r="F2399" s="30"/>
      <c r="G2399" s="30"/>
      <c r="H2399" s="30"/>
      <c r="I2399" s="30"/>
      <c r="J2399" s="30"/>
      <c r="K2399" s="30"/>
      <c r="L2399" s="29"/>
      <c r="M2399" s="29"/>
      <c r="N2399" s="29"/>
      <c r="O2399" s="29"/>
      <c r="P2399" s="29"/>
      <c r="Q2399" s="29"/>
      <c r="R2399" s="29"/>
      <c r="S2399" s="29"/>
      <c r="T2399" s="29"/>
      <c r="U2399" s="31"/>
      <c r="V2399" s="31"/>
      <c r="W2399" s="31"/>
      <c r="X2399" s="31"/>
      <c r="Y2399" s="31"/>
    </row>
    <row r="2400" spans="1:25" x14ac:dyDescent="0.2">
      <c r="A2400" s="29"/>
      <c r="B2400" s="29"/>
      <c r="C2400" s="29"/>
      <c r="D2400" s="29"/>
      <c r="E2400" s="29"/>
      <c r="F2400" s="30"/>
      <c r="G2400" s="30"/>
      <c r="H2400" s="30"/>
      <c r="I2400" s="30"/>
      <c r="J2400" s="30"/>
      <c r="K2400" s="30"/>
      <c r="L2400" s="29"/>
      <c r="M2400" s="29"/>
      <c r="N2400" s="29"/>
      <c r="O2400" s="29"/>
      <c r="P2400" s="29"/>
      <c r="Q2400" s="29"/>
      <c r="R2400" s="29"/>
      <c r="S2400" s="29"/>
      <c r="T2400" s="29"/>
      <c r="U2400" s="31"/>
      <c r="V2400" s="31"/>
      <c r="W2400" s="31"/>
      <c r="X2400" s="31"/>
      <c r="Y2400" s="31"/>
    </row>
    <row r="2401" spans="1:25" x14ac:dyDescent="0.2">
      <c r="A2401" s="29"/>
      <c r="B2401" s="29"/>
      <c r="C2401" s="29"/>
      <c r="D2401" s="29"/>
      <c r="E2401" s="29"/>
      <c r="F2401" s="30"/>
      <c r="G2401" s="30"/>
      <c r="H2401" s="30"/>
      <c r="I2401" s="30"/>
      <c r="J2401" s="30"/>
      <c r="K2401" s="30"/>
      <c r="L2401" s="29"/>
      <c r="M2401" s="29"/>
      <c r="N2401" s="29"/>
      <c r="O2401" s="29"/>
      <c r="P2401" s="29"/>
      <c r="Q2401" s="29"/>
      <c r="R2401" s="29"/>
      <c r="S2401" s="29"/>
      <c r="T2401" s="29"/>
      <c r="U2401" s="31"/>
      <c r="V2401" s="31"/>
      <c r="W2401" s="31"/>
      <c r="X2401" s="31"/>
      <c r="Y2401" s="31"/>
    </row>
    <row r="2402" spans="1:25" x14ac:dyDescent="0.2">
      <c r="A2402" s="29"/>
      <c r="B2402" s="29"/>
      <c r="C2402" s="29"/>
      <c r="D2402" s="29"/>
      <c r="E2402" s="29"/>
      <c r="F2402" s="30"/>
      <c r="G2402" s="30"/>
      <c r="H2402" s="30"/>
      <c r="I2402" s="30"/>
      <c r="J2402" s="30"/>
      <c r="K2402" s="30"/>
      <c r="L2402" s="29"/>
      <c r="M2402" s="29"/>
      <c r="N2402" s="29"/>
      <c r="O2402" s="29"/>
      <c r="P2402" s="29"/>
      <c r="Q2402" s="29"/>
      <c r="R2402" s="29"/>
      <c r="S2402" s="29"/>
      <c r="T2402" s="29"/>
      <c r="U2402" s="31"/>
      <c r="V2402" s="31"/>
      <c r="W2402" s="31"/>
      <c r="X2402" s="31"/>
      <c r="Y2402" s="31"/>
    </row>
    <row r="2403" spans="1:25" x14ac:dyDescent="0.2">
      <c r="A2403" s="29"/>
      <c r="B2403" s="29"/>
      <c r="C2403" s="29"/>
      <c r="D2403" s="29"/>
      <c r="E2403" s="29"/>
      <c r="F2403" s="30"/>
      <c r="G2403" s="30"/>
      <c r="H2403" s="30"/>
      <c r="I2403" s="30"/>
      <c r="J2403" s="30"/>
      <c r="K2403" s="30"/>
      <c r="L2403" s="29"/>
      <c r="M2403" s="29"/>
      <c r="N2403" s="29"/>
      <c r="O2403" s="29"/>
      <c r="P2403" s="29"/>
      <c r="Q2403" s="29"/>
      <c r="R2403" s="29"/>
      <c r="S2403" s="29"/>
      <c r="T2403" s="29"/>
      <c r="U2403" s="31"/>
      <c r="V2403" s="31"/>
      <c r="W2403" s="31"/>
      <c r="X2403" s="31"/>
      <c r="Y2403" s="31"/>
    </row>
    <row r="2404" spans="1:25" x14ac:dyDescent="0.2">
      <c r="A2404" s="29"/>
      <c r="B2404" s="29"/>
      <c r="C2404" s="29"/>
      <c r="D2404" s="29"/>
      <c r="E2404" s="29"/>
      <c r="F2404" s="30"/>
      <c r="G2404" s="30"/>
      <c r="H2404" s="30"/>
      <c r="I2404" s="30"/>
      <c r="J2404" s="30"/>
      <c r="K2404" s="30"/>
      <c r="L2404" s="29"/>
      <c r="M2404" s="29"/>
      <c r="N2404" s="29"/>
      <c r="O2404" s="29"/>
      <c r="P2404" s="29"/>
      <c r="Q2404" s="29"/>
      <c r="R2404" s="29"/>
      <c r="S2404" s="29"/>
      <c r="T2404" s="29"/>
      <c r="U2404" s="31"/>
      <c r="V2404" s="31"/>
      <c r="W2404" s="31"/>
      <c r="X2404" s="31"/>
      <c r="Y2404" s="31"/>
    </row>
    <row r="2405" spans="1:25" x14ac:dyDescent="0.2">
      <c r="A2405" s="29"/>
      <c r="B2405" s="29"/>
      <c r="C2405" s="29"/>
      <c r="D2405" s="29"/>
      <c r="E2405" s="29"/>
      <c r="F2405" s="30"/>
      <c r="G2405" s="30"/>
      <c r="H2405" s="30"/>
      <c r="I2405" s="30"/>
      <c r="J2405" s="30"/>
      <c r="K2405" s="30"/>
      <c r="L2405" s="29"/>
      <c r="M2405" s="29"/>
      <c r="N2405" s="29"/>
      <c r="O2405" s="29"/>
      <c r="P2405" s="29"/>
      <c r="Q2405" s="29"/>
      <c r="R2405" s="29"/>
      <c r="S2405" s="29"/>
      <c r="T2405" s="29"/>
      <c r="U2405" s="31"/>
      <c r="V2405" s="31"/>
      <c r="W2405" s="31"/>
      <c r="X2405" s="31"/>
      <c r="Y2405" s="31"/>
    </row>
    <row r="2406" spans="1:25" x14ac:dyDescent="0.2">
      <c r="A2406" s="29"/>
      <c r="B2406" s="29"/>
      <c r="C2406" s="29"/>
      <c r="D2406" s="29"/>
      <c r="E2406" s="29"/>
      <c r="F2406" s="30"/>
      <c r="G2406" s="30"/>
      <c r="H2406" s="30"/>
      <c r="I2406" s="30"/>
      <c r="J2406" s="30"/>
      <c r="K2406" s="30"/>
      <c r="L2406" s="29"/>
      <c r="M2406" s="29"/>
      <c r="N2406" s="29"/>
      <c r="O2406" s="29"/>
      <c r="P2406" s="29"/>
      <c r="Q2406" s="29"/>
      <c r="R2406" s="29"/>
      <c r="S2406" s="29"/>
      <c r="T2406" s="29"/>
      <c r="U2406" s="31"/>
      <c r="V2406" s="31"/>
      <c r="W2406" s="31"/>
      <c r="X2406" s="31"/>
      <c r="Y2406" s="31"/>
    </row>
    <row r="2407" spans="1:25" x14ac:dyDescent="0.2">
      <c r="A2407" s="29"/>
      <c r="B2407" s="29"/>
      <c r="C2407" s="29"/>
      <c r="D2407" s="29"/>
      <c r="E2407" s="29"/>
      <c r="F2407" s="30"/>
      <c r="G2407" s="30"/>
      <c r="H2407" s="30"/>
      <c r="I2407" s="30"/>
      <c r="J2407" s="30"/>
      <c r="K2407" s="30"/>
      <c r="L2407" s="29"/>
      <c r="M2407" s="29"/>
      <c r="N2407" s="29"/>
      <c r="O2407" s="29"/>
      <c r="P2407" s="29"/>
      <c r="Q2407" s="29"/>
      <c r="R2407" s="29"/>
      <c r="S2407" s="29"/>
      <c r="T2407" s="29"/>
      <c r="U2407" s="31"/>
      <c r="V2407" s="31"/>
      <c r="W2407" s="31"/>
      <c r="X2407" s="31"/>
      <c r="Y2407" s="31"/>
    </row>
    <row r="2408" spans="1:25" x14ac:dyDescent="0.2">
      <c r="A2408" s="29"/>
      <c r="B2408" s="29"/>
      <c r="C2408" s="29"/>
      <c r="D2408" s="29"/>
      <c r="E2408" s="29"/>
      <c r="F2408" s="30"/>
      <c r="G2408" s="30"/>
      <c r="H2408" s="30"/>
      <c r="I2408" s="30"/>
      <c r="J2408" s="30"/>
      <c r="K2408" s="30"/>
      <c r="L2408" s="29"/>
      <c r="M2408" s="29"/>
      <c r="N2408" s="29"/>
      <c r="O2408" s="29"/>
      <c r="P2408" s="29"/>
      <c r="Q2408" s="29"/>
      <c r="R2408" s="29"/>
      <c r="S2408" s="29"/>
      <c r="T2408" s="29"/>
      <c r="U2408" s="31"/>
      <c r="V2408" s="31"/>
      <c r="W2408" s="31"/>
      <c r="X2408" s="31"/>
      <c r="Y2408" s="31"/>
    </row>
    <row r="2409" spans="1:25" x14ac:dyDescent="0.2">
      <c r="A2409" s="29"/>
      <c r="B2409" s="29"/>
      <c r="C2409" s="29"/>
      <c r="D2409" s="29"/>
      <c r="E2409" s="29"/>
      <c r="F2409" s="30"/>
      <c r="G2409" s="30"/>
      <c r="H2409" s="30"/>
      <c r="I2409" s="30"/>
      <c r="J2409" s="30"/>
      <c r="K2409" s="30"/>
      <c r="L2409" s="29"/>
      <c r="M2409" s="29"/>
      <c r="N2409" s="29"/>
      <c r="O2409" s="29"/>
      <c r="P2409" s="29"/>
      <c r="Q2409" s="29"/>
      <c r="R2409" s="29"/>
      <c r="S2409" s="29"/>
      <c r="T2409" s="29"/>
      <c r="U2409" s="31"/>
      <c r="V2409" s="31"/>
      <c r="W2409" s="31"/>
      <c r="X2409" s="31"/>
      <c r="Y2409" s="31"/>
    </row>
    <row r="2410" spans="1:25" x14ac:dyDescent="0.2">
      <c r="A2410" s="29"/>
      <c r="B2410" s="29"/>
      <c r="C2410" s="29"/>
      <c r="D2410" s="29"/>
      <c r="E2410" s="29"/>
      <c r="F2410" s="30"/>
      <c r="G2410" s="30"/>
      <c r="H2410" s="30"/>
      <c r="I2410" s="30"/>
      <c r="J2410" s="30"/>
      <c r="K2410" s="30"/>
      <c r="L2410" s="29"/>
      <c r="M2410" s="29"/>
      <c r="N2410" s="29"/>
      <c r="O2410" s="29"/>
      <c r="P2410" s="29"/>
      <c r="Q2410" s="29"/>
      <c r="R2410" s="29"/>
      <c r="S2410" s="29"/>
      <c r="T2410" s="29"/>
      <c r="U2410" s="31"/>
      <c r="V2410" s="31"/>
      <c r="W2410" s="31"/>
      <c r="X2410" s="31"/>
      <c r="Y2410" s="31"/>
    </row>
    <row r="2411" spans="1:25" x14ac:dyDescent="0.2">
      <c r="A2411" s="29"/>
      <c r="B2411" s="29"/>
      <c r="C2411" s="29"/>
      <c r="D2411" s="29"/>
      <c r="E2411" s="29"/>
      <c r="F2411" s="30"/>
      <c r="G2411" s="30"/>
      <c r="H2411" s="30"/>
      <c r="I2411" s="30"/>
      <c r="J2411" s="30"/>
      <c r="K2411" s="30"/>
      <c r="L2411" s="29"/>
      <c r="M2411" s="29"/>
      <c r="N2411" s="29"/>
      <c r="O2411" s="29"/>
      <c r="P2411" s="29"/>
      <c r="Q2411" s="29"/>
      <c r="R2411" s="29"/>
      <c r="S2411" s="29"/>
      <c r="T2411" s="29"/>
      <c r="U2411" s="31"/>
      <c r="V2411" s="31"/>
      <c r="W2411" s="31"/>
      <c r="X2411" s="31"/>
      <c r="Y2411" s="31"/>
    </row>
    <row r="2412" spans="1:25" x14ac:dyDescent="0.2">
      <c r="A2412" s="29"/>
      <c r="B2412" s="29"/>
      <c r="C2412" s="29"/>
      <c r="D2412" s="29"/>
      <c r="E2412" s="29"/>
      <c r="F2412" s="30"/>
      <c r="G2412" s="30"/>
      <c r="H2412" s="30"/>
      <c r="I2412" s="30"/>
      <c r="J2412" s="30"/>
      <c r="K2412" s="30"/>
      <c r="L2412" s="29"/>
      <c r="M2412" s="29"/>
      <c r="N2412" s="29"/>
      <c r="O2412" s="29"/>
      <c r="P2412" s="29"/>
      <c r="Q2412" s="29"/>
      <c r="R2412" s="29"/>
      <c r="S2412" s="29"/>
      <c r="T2412" s="29"/>
      <c r="U2412" s="31"/>
      <c r="V2412" s="31"/>
      <c r="W2412" s="31"/>
      <c r="X2412" s="31"/>
      <c r="Y2412" s="31"/>
    </row>
    <row r="2413" spans="1:25" x14ac:dyDescent="0.2">
      <c r="A2413" s="29"/>
      <c r="B2413" s="29"/>
      <c r="C2413" s="29"/>
      <c r="D2413" s="29"/>
      <c r="E2413" s="29"/>
      <c r="F2413" s="30"/>
      <c r="G2413" s="30"/>
      <c r="H2413" s="30"/>
      <c r="I2413" s="30"/>
      <c r="J2413" s="30"/>
      <c r="K2413" s="30"/>
      <c r="L2413" s="29"/>
      <c r="M2413" s="29"/>
      <c r="N2413" s="29"/>
      <c r="O2413" s="29"/>
      <c r="P2413" s="29"/>
      <c r="Q2413" s="29"/>
      <c r="R2413" s="29"/>
      <c r="S2413" s="29"/>
      <c r="T2413" s="29"/>
      <c r="U2413" s="31"/>
      <c r="V2413" s="31"/>
      <c r="W2413" s="31"/>
      <c r="X2413" s="31"/>
      <c r="Y2413" s="31"/>
    </row>
    <row r="2414" spans="1:25" x14ac:dyDescent="0.2">
      <c r="A2414" s="29"/>
      <c r="B2414" s="29"/>
      <c r="C2414" s="29"/>
      <c r="D2414" s="29"/>
      <c r="E2414" s="29"/>
      <c r="F2414" s="30"/>
      <c r="G2414" s="30"/>
      <c r="H2414" s="30"/>
      <c r="I2414" s="30"/>
      <c r="J2414" s="30"/>
      <c r="K2414" s="30"/>
      <c r="L2414" s="29"/>
      <c r="M2414" s="29"/>
      <c r="N2414" s="29"/>
      <c r="O2414" s="29"/>
      <c r="P2414" s="29"/>
      <c r="Q2414" s="29"/>
      <c r="R2414" s="29"/>
      <c r="S2414" s="29"/>
      <c r="T2414" s="29"/>
      <c r="U2414" s="31"/>
      <c r="V2414" s="31"/>
      <c r="W2414" s="31"/>
      <c r="X2414" s="31"/>
      <c r="Y2414" s="31"/>
    </row>
    <row r="2415" spans="1:25" x14ac:dyDescent="0.2">
      <c r="A2415" s="29"/>
      <c r="B2415" s="29"/>
      <c r="C2415" s="29"/>
      <c r="D2415" s="29"/>
      <c r="E2415" s="29"/>
      <c r="F2415" s="30"/>
      <c r="G2415" s="30"/>
      <c r="H2415" s="30"/>
      <c r="I2415" s="30"/>
      <c r="J2415" s="30"/>
      <c r="K2415" s="30"/>
      <c r="L2415" s="29"/>
      <c r="M2415" s="29"/>
      <c r="N2415" s="29"/>
      <c r="O2415" s="29"/>
      <c r="P2415" s="29"/>
      <c r="Q2415" s="29"/>
      <c r="R2415" s="29"/>
      <c r="S2415" s="29"/>
      <c r="T2415" s="29"/>
      <c r="U2415" s="31"/>
      <c r="V2415" s="31"/>
      <c r="W2415" s="31"/>
      <c r="X2415" s="31"/>
      <c r="Y2415" s="31"/>
    </row>
    <row r="2416" spans="1:25" x14ac:dyDescent="0.2">
      <c r="A2416" s="29"/>
      <c r="B2416" s="29"/>
      <c r="C2416" s="29"/>
      <c r="D2416" s="29"/>
      <c r="E2416" s="29"/>
      <c r="F2416" s="30"/>
      <c r="G2416" s="30"/>
      <c r="H2416" s="30"/>
      <c r="I2416" s="30"/>
      <c r="J2416" s="30"/>
      <c r="K2416" s="30"/>
      <c r="L2416" s="29"/>
      <c r="M2416" s="29"/>
      <c r="N2416" s="29"/>
      <c r="O2416" s="29"/>
      <c r="P2416" s="29"/>
      <c r="Q2416" s="29"/>
      <c r="R2416" s="29"/>
      <c r="S2416" s="29"/>
      <c r="T2416" s="29"/>
      <c r="U2416" s="31"/>
      <c r="V2416" s="31"/>
      <c r="W2416" s="31"/>
      <c r="X2416" s="31"/>
      <c r="Y2416" s="31"/>
    </row>
    <row r="2417" spans="1:25" x14ac:dyDescent="0.2">
      <c r="A2417" s="29"/>
      <c r="B2417" s="29"/>
      <c r="C2417" s="29"/>
      <c r="D2417" s="29"/>
      <c r="E2417" s="29"/>
      <c r="F2417" s="30"/>
      <c r="G2417" s="30"/>
      <c r="H2417" s="30"/>
      <c r="I2417" s="30"/>
      <c r="J2417" s="30"/>
      <c r="K2417" s="30"/>
      <c r="L2417" s="29"/>
      <c r="M2417" s="29"/>
      <c r="N2417" s="29"/>
      <c r="O2417" s="29"/>
      <c r="P2417" s="29"/>
      <c r="Q2417" s="29"/>
      <c r="R2417" s="29"/>
      <c r="S2417" s="29"/>
      <c r="T2417" s="29"/>
      <c r="U2417" s="31"/>
      <c r="V2417" s="31"/>
      <c r="W2417" s="31"/>
      <c r="X2417" s="31"/>
      <c r="Y2417" s="31"/>
    </row>
    <row r="2418" spans="1:25" x14ac:dyDescent="0.2">
      <c r="A2418" s="29"/>
      <c r="B2418" s="29"/>
      <c r="C2418" s="29"/>
      <c r="D2418" s="29"/>
      <c r="E2418" s="29"/>
      <c r="F2418" s="30"/>
      <c r="G2418" s="30"/>
      <c r="H2418" s="30"/>
      <c r="I2418" s="30"/>
      <c r="J2418" s="30"/>
      <c r="K2418" s="30"/>
      <c r="L2418" s="29"/>
      <c r="M2418" s="29"/>
      <c r="N2418" s="29"/>
      <c r="O2418" s="29"/>
      <c r="P2418" s="29"/>
      <c r="Q2418" s="29"/>
      <c r="R2418" s="29"/>
      <c r="S2418" s="29"/>
      <c r="T2418" s="29"/>
      <c r="U2418" s="31"/>
      <c r="V2418" s="31"/>
      <c r="W2418" s="31"/>
      <c r="X2418" s="31"/>
      <c r="Y2418" s="31"/>
    </row>
    <row r="2419" spans="1:25" x14ac:dyDescent="0.2">
      <c r="A2419" s="29"/>
      <c r="B2419" s="29"/>
      <c r="C2419" s="29"/>
      <c r="D2419" s="29"/>
      <c r="E2419" s="29"/>
      <c r="F2419" s="30"/>
      <c r="G2419" s="30"/>
      <c r="H2419" s="30"/>
      <c r="I2419" s="30"/>
      <c r="J2419" s="30"/>
      <c r="K2419" s="30"/>
      <c r="L2419" s="29"/>
      <c r="M2419" s="29"/>
      <c r="N2419" s="29"/>
      <c r="O2419" s="29"/>
      <c r="P2419" s="29"/>
      <c r="Q2419" s="29"/>
      <c r="R2419" s="29"/>
      <c r="S2419" s="29"/>
      <c r="T2419" s="29"/>
      <c r="U2419" s="31"/>
      <c r="V2419" s="31"/>
      <c r="W2419" s="31"/>
      <c r="X2419" s="31"/>
      <c r="Y2419" s="31"/>
    </row>
    <row r="2420" spans="1:25" x14ac:dyDescent="0.2">
      <c r="A2420" s="29"/>
      <c r="B2420" s="29"/>
      <c r="C2420" s="29"/>
      <c r="D2420" s="29"/>
      <c r="E2420" s="29"/>
      <c r="F2420" s="30"/>
      <c r="G2420" s="30"/>
      <c r="H2420" s="30"/>
      <c r="I2420" s="30"/>
      <c r="J2420" s="30"/>
      <c r="K2420" s="30"/>
      <c r="L2420" s="29"/>
      <c r="M2420" s="29"/>
      <c r="N2420" s="29"/>
      <c r="O2420" s="29"/>
      <c r="P2420" s="29"/>
      <c r="Q2420" s="29"/>
      <c r="R2420" s="29"/>
      <c r="S2420" s="29"/>
      <c r="T2420" s="29"/>
      <c r="U2420" s="31"/>
      <c r="V2420" s="31"/>
      <c r="W2420" s="31"/>
      <c r="X2420" s="31"/>
      <c r="Y2420" s="31"/>
    </row>
    <row r="2421" spans="1:25" x14ac:dyDescent="0.2">
      <c r="A2421" s="29"/>
      <c r="B2421" s="29"/>
      <c r="C2421" s="29"/>
      <c r="D2421" s="29"/>
      <c r="E2421" s="29"/>
      <c r="F2421" s="30"/>
      <c r="G2421" s="30"/>
      <c r="H2421" s="30"/>
      <c r="I2421" s="30"/>
      <c r="J2421" s="30"/>
      <c r="K2421" s="30"/>
      <c r="L2421" s="29"/>
      <c r="M2421" s="29"/>
      <c r="N2421" s="29"/>
      <c r="O2421" s="29"/>
      <c r="P2421" s="29"/>
      <c r="Q2421" s="29"/>
      <c r="R2421" s="29"/>
      <c r="S2421" s="29"/>
      <c r="T2421" s="29"/>
      <c r="U2421" s="31"/>
      <c r="V2421" s="31"/>
      <c r="W2421" s="31"/>
      <c r="X2421" s="31"/>
      <c r="Y2421" s="31"/>
    </row>
    <row r="2422" spans="1:25" x14ac:dyDescent="0.2">
      <c r="A2422" s="29"/>
      <c r="B2422" s="29"/>
      <c r="C2422" s="29"/>
      <c r="D2422" s="29"/>
      <c r="E2422" s="29"/>
      <c r="F2422" s="30"/>
      <c r="G2422" s="30"/>
      <c r="H2422" s="30"/>
      <c r="I2422" s="30"/>
      <c r="J2422" s="30"/>
      <c r="K2422" s="30"/>
      <c r="L2422" s="29"/>
      <c r="M2422" s="29"/>
      <c r="N2422" s="29"/>
      <c r="O2422" s="29"/>
      <c r="P2422" s="29"/>
      <c r="Q2422" s="29"/>
      <c r="R2422" s="29"/>
      <c r="S2422" s="29"/>
      <c r="T2422" s="29"/>
      <c r="U2422" s="31"/>
      <c r="V2422" s="31"/>
      <c r="W2422" s="31"/>
      <c r="X2422" s="31"/>
      <c r="Y2422" s="31"/>
    </row>
    <row r="2423" spans="1:25" x14ac:dyDescent="0.2">
      <c r="A2423" s="29"/>
      <c r="B2423" s="29"/>
      <c r="C2423" s="29"/>
      <c r="D2423" s="29"/>
      <c r="E2423" s="29"/>
      <c r="F2423" s="30"/>
      <c r="G2423" s="30"/>
      <c r="H2423" s="30"/>
      <c r="I2423" s="30"/>
      <c r="J2423" s="30"/>
      <c r="K2423" s="30"/>
      <c r="L2423" s="29"/>
      <c r="M2423" s="29"/>
      <c r="N2423" s="29"/>
      <c r="O2423" s="29"/>
      <c r="P2423" s="29"/>
      <c r="Q2423" s="29"/>
      <c r="R2423" s="29"/>
      <c r="S2423" s="29"/>
      <c r="T2423" s="29"/>
      <c r="U2423" s="31"/>
      <c r="V2423" s="31"/>
      <c r="W2423" s="31"/>
      <c r="X2423" s="31"/>
      <c r="Y2423" s="31"/>
    </row>
    <row r="2424" spans="1:25" x14ac:dyDescent="0.2">
      <c r="A2424" s="29"/>
      <c r="B2424" s="29"/>
      <c r="C2424" s="29"/>
      <c r="D2424" s="29"/>
      <c r="E2424" s="29"/>
      <c r="F2424" s="30"/>
      <c r="G2424" s="30"/>
      <c r="H2424" s="30"/>
      <c r="I2424" s="30"/>
      <c r="J2424" s="30"/>
      <c r="K2424" s="30"/>
      <c r="L2424" s="29"/>
      <c r="M2424" s="29"/>
      <c r="N2424" s="29"/>
      <c r="O2424" s="29"/>
      <c r="P2424" s="29"/>
      <c r="Q2424" s="29"/>
      <c r="R2424" s="29"/>
      <c r="S2424" s="29"/>
      <c r="T2424" s="29"/>
      <c r="U2424" s="31"/>
      <c r="V2424" s="31"/>
      <c r="W2424" s="31"/>
      <c r="X2424" s="31"/>
      <c r="Y2424" s="31"/>
    </row>
    <row r="2425" spans="1:25" x14ac:dyDescent="0.2">
      <c r="A2425" s="29"/>
      <c r="B2425" s="29"/>
      <c r="C2425" s="29"/>
      <c r="D2425" s="29"/>
      <c r="E2425" s="29"/>
      <c r="F2425" s="30"/>
      <c r="G2425" s="30"/>
      <c r="H2425" s="30"/>
      <c r="I2425" s="30"/>
      <c r="J2425" s="30"/>
      <c r="K2425" s="30"/>
      <c r="L2425" s="29"/>
      <c r="M2425" s="29"/>
      <c r="N2425" s="29"/>
      <c r="O2425" s="29"/>
      <c r="P2425" s="29"/>
      <c r="Q2425" s="29"/>
      <c r="R2425" s="29"/>
      <c r="S2425" s="29"/>
      <c r="T2425" s="29"/>
      <c r="U2425" s="31"/>
      <c r="V2425" s="31"/>
      <c r="W2425" s="31"/>
      <c r="X2425" s="31"/>
      <c r="Y2425" s="31"/>
    </row>
    <row r="2426" spans="1:25" x14ac:dyDescent="0.2">
      <c r="A2426" s="29"/>
      <c r="B2426" s="29"/>
      <c r="C2426" s="29"/>
      <c r="D2426" s="29"/>
      <c r="E2426" s="29"/>
      <c r="F2426" s="30"/>
      <c r="G2426" s="30"/>
      <c r="H2426" s="30"/>
      <c r="I2426" s="30"/>
      <c r="J2426" s="30"/>
      <c r="K2426" s="30"/>
      <c r="L2426" s="29"/>
      <c r="M2426" s="29"/>
      <c r="N2426" s="29"/>
      <c r="O2426" s="29"/>
      <c r="P2426" s="29"/>
      <c r="Q2426" s="29"/>
      <c r="R2426" s="29"/>
      <c r="S2426" s="29"/>
      <c r="T2426" s="29"/>
      <c r="U2426" s="31"/>
      <c r="V2426" s="31"/>
      <c r="W2426" s="31"/>
      <c r="X2426" s="31"/>
      <c r="Y2426" s="31"/>
    </row>
    <row r="2427" spans="1:25" x14ac:dyDescent="0.2">
      <c r="A2427" s="29"/>
      <c r="B2427" s="29"/>
      <c r="C2427" s="29"/>
      <c r="D2427" s="29"/>
      <c r="E2427" s="29"/>
      <c r="F2427" s="30"/>
      <c r="G2427" s="30"/>
      <c r="H2427" s="30"/>
      <c r="I2427" s="30"/>
      <c r="J2427" s="30"/>
      <c r="K2427" s="30"/>
      <c r="L2427" s="29"/>
      <c r="M2427" s="29"/>
      <c r="N2427" s="29"/>
      <c r="O2427" s="29"/>
      <c r="P2427" s="29"/>
      <c r="Q2427" s="29"/>
      <c r="R2427" s="29"/>
      <c r="S2427" s="29"/>
      <c r="T2427" s="29"/>
      <c r="U2427" s="31"/>
      <c r="V2427" s="31"/>
      <c r="W2427" s="31"/>
      <c r="X2427" s="31"/>
      <c r="Y2427" s="31"/>
    </row>
    <row r="2428" spans="1:25" x14ac:dyDescent="0.2">
      <c r="A2428" s="29"/>
      <c r="B2428" s="29"/>
      <c r="C2428" s="29"/>
      <c r="D2428" s="29"/>
      <c r="E2428" s="29"/>
      <c r="F2428" s="30"/>
      <c r="G2428" s="30"/>
      <c r="H2428" s="30"/>
      <c r="I2428" s="30"/>
      <c r="J2428" s="30"/>
      <c r="K2428" s="30"/>
      <c r="L2428" s="29"/>
      <c r="M2428" s="29"/>
      <c r="N2428" s="29"/>
      <c r="O2428" s="29"/>
      <c r="P2428" s="29"/>
      <c r="Q2428" s="29"/>
      <c r="R2428" s="29"/>
      <c r="S2428" s="29"/>
      <c r="T2428" s="29"/>
      <c r="U2428" s="31"/>
      <c r="V2428" s="31"/>
      <c r="W2428" s="31"/>
      <c r="X2428" s="31"/>
      <c r="Y2428" s="31"/>
    </row>
    <row r="2429" spans="1:25" x14ac:dyDescent="0.2">
      <c r="A2429" s="29"/>
      <c r="B2429" s="29"/>
      <c r="C2429" s="29"/>
      <c r="D2429" s="29"/>
      <c r="E2429" s="29"/>
      <c r="F2429" s="30"/>
      <c r="G2429" s="30"/>
      <c r="H2429" s="30"/>
      <c r="I2429" s="30"/>
      <c r="J2429" s="30"/>
      <c r="K2429" s="30"/>
      <c r="L2429" s="29"/>
      <c r="M2429" s="29"/>
      <c r="N2429" s="29"/>
      <c r="O2429" s="29"/>
      <c r="P2429" s="29"/>
      <c r="Q2429" s="29"/>
      <c r="R2429" s="29"/>
      <c r="S2429" s="29"/>
      <c r="T2429" s="29"/>
      <c r="U2429" s="31"/>
      <c r="V2429" s="31"/>
      <c r="W2429" s="31"/>
      <c r="X2429" s="31"/>
      <c r="Y2429" s="31"/>
    </row>
    <row r="2430" spans="1:25" x14ac:dyDescent="0.2">
      <c r="A2430" s="29"/>
      <c r="B2430" s="29"/>
      <c r="C2430" s="29"/>
      <c r="D2430" s="29"/>
      <c r="E2430" s="29"/>
      <c r="F2430" s="30"/>
      <c r="G2430" s="30"/>
      <c r="H2430" s="30"/>
      <c r="I2430" s="30"/>
      <c r="J2430" s="30"/>
      <c r="K2430" s="30"/>
      <c r="L2430" s="29"/>
      <c r="M2430" s="29"/>
      <c r="N2430" s="29"/>
      <c r="O2430" s="29"/>
      <c r="P2430" s="29"/>
      <c r="Q2430" s="29"/>
      <c r="R2430" s="29"/>
      <c r="S2430" s="29"/>
      <c r="T2430" s="29"/>
      <c r="U2430" s="31"/>
      <c r="V2430" s="31"/>
      <c r="W2430" s="31"/>
      <c r="X2430" s="31"/>
      <c r="Y2430" s="31"/>
    </row>
    <row r="2431" spans="1:25" x14ac:dyDescent="0.2">
      <c r="A2431" s="29"/>
      <c r="B2431" s="29"/>
      <c r="C2431" s="29"/>
      <c r="D2431" s="29"/>
      <c r="E2431" s="29"/>
      <c r="F2431" s="30"/>
      <c r="G2431" s="30"/>
      <c r="H2431" s="30"/>
      <c r="I2431" s="30"/>
      <c r="J2431" s="30"/>
      <c r="K2431" s="30"/>
      <c r="L2431" s="29"/>
      <c r="M2431" s="29"/>
      <c r="N2431" s="29"/>
      <c r="O2431" s="29"/>
      <c r="P2431" s="29"/>
      <c r="Q2431" s="29"/>
      <c r="R2431" s="29"/>
      <c r="S2431" s="29"/>
      <c r="T2431" s="29"/>
      <c r="U2431" s="31"/>
      <c r="V2431" s="31"/>
      <c r="W2431" s="31"/>
      <c r="X2431" s="31"/>
      <c r="Y2431" s="31"/>
    </row>
    <row r="2432" spans="1:25" x14ac:dyDescent="0.2">
      <c r="A2432" s="29"/>
      <c r="B2432" s="29"/>
      <c r="C2432" s="29"/>
      <c r="D2432" s="29"/>
      <c r="E2432" s="29"/>
      <c r="F2432" s="30"/>
      <c r="G2432" s="30"/>
      <c r="H2432" s="30"/>
      <c r="I2432" s="30"/>
      <c r="J2432" s="30"/>
      <c r="K2432" s="30"/>
      <c r="L2432" s="29"/>
      <c r="M2432" s="29"/>
      <c r="N2432" s="29"/>
      <c r="O2432" s="29"/>
      <c r="P2432" s="29"/>
      <c r="Q2432" s="29"/>
      <c r="R2432" s="29"/>
      <c r="S2432" s="29"/>
      <c r="T2432" s="29"/>
      <c r="U2432" s="31"/>
      <c r="V2432" s="31"/>
      <c r="W2432" s="31"/>
      <c r="X2432" s="31"/>
      <c r="Y2432" s="31"/>
    </row>
    <row r="2433" spans="1:25" x14ac:dyDescent="0.2">
      <c r="A2433" s="29"/>
      <c r="B2433" s="29"/>
      <c r="C2433" s="29"/>
      <c r="D2433" s="29"/>
      <c r="E2433" s="29"/>
      <c r="F2433" s="30"/>
      <c r="G2433" s="30"/>
      <c r="H2433" s="30"/>
      <c r="I2433" s="30"/>
      <c r="J2433" s="30"/>
      <c r="K2433" s="30"/>
      <c r="L2433" s="29"/>
      <c r="M2433" s="29"/>
      <c r="N2433" s="29"/>
      <c r="O2433" s="29"/>
      <c r="P2433" s="29"/>
      <c r="Q2433" s="29"/>
      <c r="R2433" s="29"/>
      <c r="S2433" s="29"/>
      <c r="T2433" s="29"/>
      <c r="U2433" s="31"/>
      <c r="V2433" s="31"/>
      <c r="W2433" s="31"/>
      <c r="X2433" s="31"/>
      <c r="Y2433" s="31"/>
    </row>
    <row r="2434" spans="1:25" x14ac:dyDescent="0.2">
      <c r="A2434" s="29"/>
      <c r="B2434" s="29"/>
      <c r="C2434" s="29"/>
      <c r="D2434" s="29"/>
      <c r="E2434" s="29"/>
      <c r="F2434" s="30"/>
      <c r="G2434" s="30"/>
      <c r="H2434" s="30"/>
      <c r="I2434" s="30"/>
      <c r="J2434" s="30"/>
      <c r="K2434" s="30"/>
      <c r="L2434" s="29"/>
      <c r="M2434" s="29"/>
      <c r="N2434" s="29"/>
      <c r="O2434" s="29"/>
      <c r="P2434" s="29"/>
      <c r="Q2434" s="29"/>
      <c r="R2434" s="29"/>
      <c r="S2434" s="29"/>
      <c r="T2434" s="29"/>
      <c r="U2434" s="31"/>
      <c r="V2434" s="31"/>
      <c r="W2434" s="31"/>
      <c r="X2434" s="31"/>
      <c r="Y2434" s="31"/>
    </row>
    <row r="2435" spans="1:25" x14ac:dyDescent="0.2">
      <c r="A2435" s="29"/>
      <c r="B2435" s="29"/>
      <c r="C2435" s="29"/>
      <c r="D2435" s="29"/>
      <c r="E2435" s="29"/>
      <c r="F2435" s="30"/>
      <c r="G2435" s="30"/>
      <c r="H2435" s="30"/>
      <c r="I2435" s="30"/>
      <c r="J2435" s="30"/>
      <c r="K2435" s="30"/>
      <c r="L2435" s="29"/>
      <c r="M2435" s="29"/>
      <c r="N2435" s="29"/>
      <c r="O2435" s="29"/>
      <c r="P2435" s="29"/>
      <c r="Q2435" s="29"/>
      <c r="R2435" s="29"/>
      <c r="S2435" s="29"/>
      <c r="T2435" s="29"/>
      <c r="U2435" s="31"/>
      <c r="V2435" s="31"/>
      <c r="W2435" s="31"/>
      <c r="X2435" s="31"/>
      <c r="Y2435" s="31"/>
    </row>
    <row r="2436" spans="1:25" x14ac:dyDescent="0.2">
      <c r="A2436" s="29"/>
      <c r="B2436" s="29"/>
      <c r="C2436" s="29"/>
      <c r="D2436" s="29"/>
      <c r="E2436" s="29"/>
      <c r="F2436" s="30"/>
      <c r="G2436" s="30"/>
      <c r="H2436" s="30"/>
      <c r="I2436" s="30"/>
      <c r="J2436" s="30"/>
      <c r="K2436" s="30"/>
      <c r="L2436" s="29"/>
      <c r="M2436" s="29"/>
      <c r="N2436" s="29"/>
      <c r="O2436" s="29"/>
      <c r="P2436" s="29"/>
      <c r="Q2436" s="29"/>
      <c r="R2436" s="29"/>
      <c r="S2436" s="29"/>
      <c r="T2436" s="29"/>
      <c r="U2436" s="31"/>
      <c r="V2436" s="31"/>
      <c r="W2436" s="31"/>
      <c r="X2436" s="31"/>
      <c r="Y2436" s="31"/>
    </row>
    <row r="2437" spans="1:25" x14ac:dyDescent="0.2">
      <c r="A2437" s="29"/>
      <c r="B2437" s="29"/>
      <c r="C2437" s="29"/>
      <c r="D2437" s="29"/>
      <c r="E2437" s="29"/>
      <c r="F2437" s="30"/>
      <c r="G2437" s="30"/>
      <c r="H2437" s="30"/>
      <c r="I2437" s="30"/>
      <c r="J2437" s="30"/>
      <c r="K2437" s="30"/>
      <c r="L2437" s="29"/>
      <c r="M2437" s="29"/>
      <c r="N2437" s="29"/>
      <c r="O2437" s="29"/>
      <c r="P2437" s="29"/>
      <c r="Q2437" s="29"/>
      <c r="R2437" s="29"/>
      <c r="S2437" s="29"/>
      <c r="T2437" s="29"/>
      <c r="U2437" s="31"/>
      <c r="V2437" s="31"/>
      <c r="W2437" s="31"/>
      <c r="X2437" s="31"/>
      <c r="Y2437" s="31"/>
    </row>
    <row r="2438" spans="1:25" x14ac:dyDescent="0.2">
      <c r="A2438" s="29"/>
      <c r="B2438" s="29"/>
      <c r="C2438" s="29"/>
      <c r="D2438" s="29"/>
      <c r="E2438" s="29"/>
      <c r="F2438" s="30"/>
      <c r="G2438" s="30"/>
      <c r="H2438" s="30"/>
      <c r="I2438" s="30"/>
      <c r="J2438" s="30"/>
      <c r="K2438" s="30"/>
      <c r="L2438" s="29"/>
      <c r="M2438" s="29"/>
      <c r="N2438" s="29"/>
      <c r="O2438" s="29"/>
      <c r="P2438" s="29"/>
      <c r="Q2438" s="29"/>
      <c r="R2438" s="29"/>
      <c r="S2438" s="29"/>
      <c r="T2438" s="29"/>
      <c r="U2438" s="31"/>
      <c r="V2438" s="31"/>
      <c r="W2438" s="31"/>
      <c r="X2438" s="31"/>
      <c r="Y2438" s="31"/>
    </row>
    <row r="2439" spans="1:25" x14ac:dyDescent="0.2">
      <c r="A2439" s="29"/>
      <c r="B2439" s="29"/>
      <c r="C2439" s="29"/>
      <c r="D2439" s="29"/>
      <c r="E2439" s="29"/>
      <c r="F2439" s="30"/>
      <c r="G2439" s="30"/>
      <c r="H2439" s="30"/>
      <c r="I2439" s="30"/>
      <c r="J2439" s="30"/>
      <c r="K2439" s="30"/>
      <c r="L2439" s="29"/>
      <c r="M2439" s="29"/>
      <c r="N2439" s="29"/>
      <c r="O2439" s="29"/>
      <c r="P2439" s="29"/>
      <c r="Q2439" s="29"/>
      <c r="R2439" s="29"/>
      <c r="S2439" s="29"/>
      <c r="T2439" s="29"/>
      <c r="U2439" s="31"/>
      <c r="V2439" s="31"/>
      <c r="W2439" s="31"/>
      <c r="X2439" s="31"/>
      <c r="Y2439" s="31"/>
    </row>
    <row r="2440" spans="1:25" x14ac:dyDescent="0.2">
      <c r="A2440" s="29"/>
      <c r="B2440" s="29"/>
      <c r="C2440" s="29"/>
      <c r="D2440" s="29"/>
      <c r="E2440" s="29"/>
      <c r="F2440" s="30"/>
      <c r="G2440" s="30"/>
      <c r="H2440" s="30"/>
      <c r="I2440" s="30"/>
      <c r="J2440" s="30"/>
      <c r="K2440" s="30"/>
      <c r="L2440" s="29"/>
      <c r="M2440" s="29"/>
      <c r="N2440" s="29"/>
      <c r="O2440" s="29"/>
      <c r="P2440" s="29"/>
      <c r="Q2440" s="29"/>
      <c r="R2440" s="29"/>
      <c r="S2440" s="29"/>
      <c r="T2440" s="29"/>
      <c r="U2440" s="31"/>
      <c r="V2440" s="31"/>
      <c r="W2440" s="31"/>
      <c r="X2440" s="31"/>
      <c r="Y2440" s="31"/>
    </row>
    <row r="2441" spans="1:25" x14ac:dyDescent="0.2">
      <c r="A2441" s="29"/>
      <c r="B2441" s="29"/>
      <c r="C2441" s="29"/>
      <c r="D2441" s="29"/>
      <c r="E2441" s="29"/>
      <c r="F2441" s="30"/>
      <c r="G2441" s="30"/>
      <c r="H2441" s="30"/>
      <c r="I2441" s="30"/>
      <c r="J2441" s="30"/>
      <c r="K2441" s="30"/>
      <c r="L2441" s="29"/>
      <c r="M2441" s="29"/>
      <c r="N2441" s="29"/>
      <c r="O2441" s="29"/>
      <c r="P2441" s="29"/>
      <c r="Q2441" s="29"/>
      <c r="R2441" s="29"/>
      <c r="S2441" s="29"/>
      <c r="T2441" s="29"/>
      <c r="U2441" s="31"/>
      <c r="V2441" s="31"/>
      <c r="W2441" s="31"/>
      <c r="X2441" s="31"/>
      <c r="Y2441" s="31"/>
    </row>
    <row r="2442" spans="1:25" x14ac:dyDescent="0.2">
      <c r="A2442" s="29"/>
      <c r="B2442" s="29"/>
      <c r="C2442" s="29"/>
      <c r="D2442" s="29"/>
      <c r="E2442" s="29"/>
      <c r="F2442" s="30"/>
      <c r="G2442" s="30"/>
      <c r="H2442" s="30"/>
      <c r="I2442" s="30"/>
      <c r="J2442" s="30"/>
      <c r="K2442" s="30"/>
      <c r="L2442" s="29"/>
      <c r="M2442" s="29"/>
      <c r="N2442" s="29"/>
      <c r="O2442" s="29"/>
      <c r="P2442" s="29"/>
      <c r="Q2442" s="29"/>
      <c r="R2442" s="29"/>
      <c r="S2442" s="29"/>
      <c r="T2442" s="29"/>
      <c r="U2442" s="31"/>
      <c r="V2442" s="31"/>
      <c r="W2442" s="31"/>
      <c r="X2442" s="31"/>
      <c r="Y2442" s="31"/>
    </row>
    <row r="2443" spans="1:25" x14ac:dyDescent="0.2">
      <c r="A2443" s="29"/>
      <c r="B2443" s="29"/>
      <c r="C2443" s="29"/>
      <c r="D2443" s="29"/>
      <c r="E2443" s="29"/>
      <c r="F2443" s="30"/>
      <c r="G2443" s="30"/>
      <c r="H2443" s="30"/>
      <c r="I2443" s="30"/>
      <c r="J2443" s="30"/>
      <c r="K2443" s="30"/>
      <c r="L2443" s="29"/>
      <c r="M2443" s="29"/>
      <c r="N2443" s="29"/>
      <c r="O2443" s="29"/>
      <c r="P2443" s="29"/>
      <c r="Q2443" s="29"/>
      <c r="R2443" s="29"/>
      <c r="S2443" s="29"/>
      <c r="T2443" s="29"/>
      <c r="U2443" s="31"/>
      <c r="V2443" s="31"/>
      <c r="W2443" s="31"/>
      <c r="X2443" s="31"/>
      <c r="Y2443" s="31"/>
    </row>
    <row r="2444" spans="1:25" x14ac:dyDescent="0.2">
      <c r="A2444" s="29"/>
      <c r="B2444" s="29"/>
      <c r="C2444" s="29"/>
      <c r="D2444" s="29"/>
      <c r="E2444" s="29"/>
      <c r="F2444" s="30"/>
      <c r="G2444" s="30"/>
      <c r="H2444" s="30"/>
      <c r="I2444" s="30"/>
      <c r="J2444" s="30"/>
      <c r="K2444" s="30"/>
      <c r="L2444" s="29"/>
      <c r="M2444" s="29"/>
      <c r="N2444" s="29"/>
      <c r="O2444" s="29"/>
      <c r="P2444" s="29"/>
      <c r="Q2444" s="29"/>
      <c r="R2444" s="29"/>
      <c r="S2444" s="29"/>
      <c r="T2444" s="29"/>
      <c r="U2444" s="31"/>
      <c r="V2444" s="31"/>
      <c r="W2444" s="31"/>
      <c r="X2444" s="31"/>
      <c r="Y2444" s="31"/>
    </row>
    <row r="2445" spans="1:25" x14ac:dyDescent="0.2">
      <c r="A2445" s="29"/>
      <c r="B2445" s="29"/>
      <c r="C2445" s="29"/>
      <c r="D2445" s="29"/>
      <c r="E2445" s="29"/>
      <c r="F2445" s="30"/>
      <c r="G2445" s="30"/>
      <c r="H2445" s="30"/>
      <c r="I2445" s="30"/>
      <c r="J2445" s="30"/>
      <c r="K2445" s="30"/>
      <c r="L2445" s="29"/>
      <c r="M2445" s="29"/>
      <c r="N2445" s="29"/>
      <c r="O2445" s="29"/>
      <c r="P2445" s="29"/>
      <c r="Q2445" s="29"/>
      <c r="R2445" s="29"/>
      <c r="S2445" s="29"/>
      <c r="T2445" s="29"/>
      <c r="U2445" s="31"/>
      <c r="V2445" s="31"/>
      <c r="W2445" s="31"/>
      <c r="X2445" s="31"/>
      <c r="Y2445" s="31"/>
    </row>
    <row r="2446" spans="1:25" x14ac:dyDescent="0.2">
      <c r="A2446" s="29"/>
      <c r="B2446" s="29"/>
      <c r="C2446" s="29"/>
      <c r="D2446" s="29"/>
      <c r="E2446" s="29"/>
      <c r="F2446" s="30"/>
      <c r="G2446" s="30"/>
      <c r="H2446" s="30"/>
      <c r="I2446" s="30"/>
      <c r="J2446" s="30"/>
      <c r="K2446" s="30"/>
      <c r="L2446" s="29"/>
      <c r="M2446" s="29"/>
      <c r="N2446" s="29"/>
      <c r="O2446" s="29"/>
      <c r="P2446" s="29"/>
      <c r="Q2446" s="29"/>
      <c r="R2446" s="29"/>
      <c r="S2446" s="29"/>
      <c r="T2446" s="29"/>
      <c r="U2446" s="31"/>
      <c r="V2446" s="31"/>
      <c r="W2446" s="31"/>
      <c r="X2446" s="31"/>
      <c r="Y2446" s="31"/>
    </row>
    <row r="2447" spans="1:25" x14ac:dyDescent="0.2">
      <c r="A2447" s="29"/>
      <c r="B2447" s="29"/>
      <c r="C2447" s="29"/>
      <c r="D2447" s="29"/>
      <c r="E2447" s="29"/>
      <c r="F2447" s="30"/>
      <c r="G2447" s="30"/>
      <c r="H2447" s="30"/>
      <c r="I2447" s="30"/>
      <c r="J2447" s="30"/>
      <c r="K2447" s="30"/>
      <c r="L2447" s="29"/>
      <c r="M2447" s="29"/>
      <c r="N2447" s="29"/>
      <c r="O2447" s="29"/>
      <c r="P2447" s="29"/>
      <c r="Q2447" s="29"/>
      <c r="R2447" s="29"/>
      <c r="S2447" s="29"/>
      <c r="T2447" s="29"/>
      <c r="U2447" s="31"/>
      <c r="V2447" s="31"/>
      <c r="W2447" s="31"/>
      <c r="X2447" s="31"/>
      <c r="Y2447" s="31"/>
    </row>
    <row r="2448" spans="1:25" x14ac:dyDescent="0.2">
      <c r="A2448" s="29"/>
      <c r="B2448" s="29"/>
      <c r="C2448" s="29"/>
      <c r="D2448" s="29"/>
      <c r="E2448" s="29"/>
      <c r="F2448" s="30"/>
      <c r="G2448" s="30"/>
      <c r="H2448" s="30"/>
      <c r="I2448" s="30"/>
      <c r="J2448" s="30"/>
      <c r="K2448" s="30"/>
      <c r="L2448" s="29"/>
      <c r="M2448" s="29"/>
      <c r="N2448" s="29"/>
      <c r="O2448" s="29"/>
      <c r="P2448" s="29"/>
      <c r="Q2448" s="29"/>
      <c r="R2448" s="29"/>
      <c r="S2448" s="29"/>
      <c r="T2448" s="29"/>
      <c r="U2448" s="31"/>
      <c r="V2448" s="31"/>
      <c r="W2448" s="31"/>
      <c r="X2448" s="31"/>
      <c r="Y2448" s="31"/>
    </row>
    <row r="2449" spans="1:25" x14ac:dyDescent="0.2">
      <c r="A2449" s="29"/>
      <c r="B2449" s="29"/>
      <c r="C2449" s="29"/>
      <c r="D2449" s="29"/>
      <c r="E2449" s="29"/>
      <c r="F2449" s="30"/>
      <c r="G2449" s="30"/>
      <c r="H2449" s="30"/>
      <c r="I2449" s="30"/>
      <c r="J2449" s="30"/>
      <c r="K2449" s="30"/>
      <c r="L2449" s="29"/>
      <c r="M2449" s="29"/>
      <c r="N2449" s="29"/>
      <c r="O2449" s="29"/>
      <c r="P2449" s="29"/>
      <c r="Q2449" s="29"/>
      <c r="R2449" s="29"/>
      <c r="S2449" s="29"/>
      <c r="T2449" s="29"/>
      <c r="U2449" s="31"/>
      <c r="V2449" s="31"/>
      <c r="W2449" s="31"/>
      <c r="X2449" s="31"/>
      <c r="Y2449" s="31"/>
    </row>
    <row r="2450" spans="1:25" x14ac:dyDescent="0.2">
      <c r="A2450" s="29"/>
      <c r="B2450" s="29"/>
      <c r="C2450" s="29"/>
      <c r="D2450" s="29"/>
      <c r="E2450" s="29"/>
      <c r="F2450" s="30"/>
      <c r="G2450" s="30"/>
      <c r="H2450" s="30"/>
      <c r="I2450" s="30"/>
      <c r="J2450" s="30"/>
      <c r="K2450" s="30"/>
      <c r="L2450" s="29"/>
      <c r="M2450" s="29"/>
      <c r="N2450" s="29"/>
      <c r="O2450" s="29"/>
      <c r="P2450" s="29"/>
      <c r="Q2450" s="29"/>
      <c r="R2450" s="29"/>
      <c r="S2450" s="29"/>
      <c r="T2450" s="29"/>
      <c r="U2450" s="31"/>
      <c r="V2450" s="31"/>
      <c r="W2450" s="31"/>
      <c r="X2450" s="31"/>
      <c r="Y2450" s="31"/>
    </row>
    <row r="2451" spans="1:25" x14ac:dyDescent="0.2">
      <c r="A2451" s="29"/>
      <c r="B2451" s="29"/>
      <c r="C2451" s="29"/>
      <c r="D2451" s="29"/>
      <c r="E2451" s="29"/>
      <c r="F2451" s="30"/>
      <c r="G2451" s="30"/>
      <c r="H2451" s="30"/>
      <c r="I2451" s="30"/>
      <c r="J2451" s="30"/>
      <c r="K2451" s="30"/>
      <c r="L2451" s="29"/>
      <c r="M2451" s="29"/>
      <c r="N2451" s="29"/>
      <c r="O2451" s="29"/>
      <c r="P2451" s="29"/>
      <c r="Q2451" s="29"/>
      <c r="R2451" s="29"/>
      <c r="S2451" s="29"/>
      <c r="T2451" s="29"/>
      <c r="U2451" s="31"/>
      <c r="V2451" s="31"/>
      <c r="W2451" s="31"/>
      <c r="X2451" s="31"/>
      <c r="Y2451" s="31"/>
    </row>
    <row r="2452" spans="1:25" x14ac:dyDescent="0.2">
      <c r="A2452" s="29"/>
      <c r="B2452" s="29"/>
      <c r="C2452" s="29"/>
      <c r="D2452" s="29"/>
      <c r="E2452" s="29"/>
      <c r="F2452" s="30"/>
      <c r="G2452" s="30"/>
      <c r="H2452" s="30"/>
      <c r="I2452" s="30"/>
      <c r="J2452" s="30"/>
      <c r="K2452" s="30"/>
      <c r="L2452" s="29"/>
      <c r="M2452" s="29"/>
      <c r="N2452" s="29"/>
      <c r="O2452" s="29"/>
      <c r="P2452" s="29"/>
      <c r="Q2452" s="29"/>
      <c r="R2452" s="29"/>
      <c r="S2452" s="29"/>
      <c r="T2452" s="29"/>
      <c r="U2452" s="31"/>
      <c r="V2452" s="31"/>
      <c r="W2452" s="31"/>
      <c r="X2452" s="31"/>
      <c r="Y2452" s="31"/>
    </row>
    <row r="2453" spans="1:25" x14ac:dyDescent="0.2">
      <c r="A2453" s="29"/>
      <c r="B2453" s="29"/>
      <c r="C2453" s="29"/>
      <c r="D2453" s="29"/>
      <c r="E2453" s="29"/>
      <c r="F2453" s="30"/>
      <c r="G2453" s="30"/>
      <c r="H2453" s="30"/>
      <c r="I2453" s="30"/>
      <c r="J2453" s="30"/>
      <c r="K2453" s="30"/>
      <c r="L2453" s="29"/>
      <c r="M2453" s="29"/>
      <c r="N2453" s="29"/>
      <c r="O2453" s="29"/>
      <c r="P2453" s="29"/>
      <c r="Q2453" s="29"/>
      <c r="R2453" s="29"/>
      <c r="S2453" s="29"/>
      <c r="T2453" s="29"/>
      <c r="U2453" s="31"/>
      <c r="V2453" s="31"/>
      <c r="W2453" s="31"/>
      <c r="X2453" s="31"/>
      <c r="Y2453" s="31"/>
    </row>
    <row r="2454" spans="1:25" x14ac:dyDescent="0.2">
      <c r="A2454" s="29"/>
      <c r="B2454" s="29"/>
      <c r="C2454" s="29"/>
      <c r="D2454" s="29"/>
      <c r="E2454" s="29"/>
      <c r="F2454" s="30"/>
      <c r="G2454" s="30"/>
      <c r="H2454" s="30"/>
      <c r="I2454" s="30"/>
      <c r="J2454" s="30"/>
      <c r="K2454" s="30"/>
      <c r="L2454" s="29"/>
      <c r="M2454" s="29"/>
      <c r="N2454" s="29"/>
      <c r="O2454" s="29"/>
      <c r="P2454" s="29"/>
      <c r="Q2454" s="29"/>
      <c r="R2454" s="29"/>
      <c r="S2454" s="29"/>
      <c r="T2454" s="29"/>
      <c r="U2454" s="31"/>
      <c r="V2454" s="31"/>
      <c r="W2454" s="31"/>
      <c r="X2454" s="31"/>
      <c r="Y2454" s="31"/>
    </row>
    <row r="2455" spans="1:25" x14ac:dyDescent="0.2">
      <c r="A2455" s="29"/>
      <c r="B2455" s="29"/>
      <c r="C2455" s="29"/>
      <c r="D2455" s="29"/>
      <c r="E2455" s="29"/>
      <c r="F2455" s="30"/>
      <c r="G2455" s="30"/>
      <c r="H2455" s="30"/>
      <c r="I2455" s="30"/>
      <c r="J2455" s="30"/>
      <c r="K2455" s="30"/>
      <c r="L2455" s="29"/>
      <c r="M2455" s="29"/>
      <c r="N2455" s="29"/>
      <c r="O2455" s="29"/>
      <c r="P2455" s="29"/>
      <c r="Q2455" s="29"/>
      <c r="R2455" s="29"/>
      <c r="S2455" s="29"/>
      <c r="T2455" s="29"/>
      <c r="U2455" s="31"/>
      <c r="V2455" s="31"/>
      <c r="W2455" s="31"/>
      <c r="X2455" s="31"/>
      <c r="Y2455" s="31"/>
    </row>
    <row r="2456" spans="1:25" x14ac:dyDescent="0.2">
      <c r="A2456" s="29"/>
      <c r="B2456" s="29"/>
      <c r="C2456" s="29"/>
      <c r="D2456" s="29"/>
      <c r="E2456" s="29"/>
      <c r="F2456" s="30"/>
      <c r="G2456" s="30"/>
      <c r="H2456" s="30"/>
      <c r="I2456" s="30"/>
      <c r="J2456" s="30"/>
      <c r="K2456" s="30"/>
      <c r="L2456" s="29"/>
      <c r="M2456" s="29"/>
      <c r="N2456" s="29"/>
      <c r="O2456" s="29"/>
      <c r="P2456" s="29"/>
      <c r="Q2456" s="29"/>
      <c r="R2456" s="29"/>
      <c r="S2456" s="29"/>
      <c r="T2456" s="29"/>
      <c r="U2456" s="31"/>
      <c r="V2456" s="31"/>
      <c r="W2456" s="31"/>
      <c r="X2456" s="31"/>
      <c r="Y2456" s="31"/>
    </row>
    <row r="2457" spans="1:25" x14ac:dyDescent="0.2">
      <c r="A2457" s="29"/>
      <c r="B2457" s="29"/>
      <c r="C2457" s="29"/>
      <c r="D2457" s="29"/>
      <c r="E2457" s="29"/>
      <c r="F2457" s="30"/>
      <c r="G2457" s="30"/>
      <c r="H2457" s="30"/>
      <c r="I2457" s="30"/>
      <c r="J2457" s="30"/>
      <c r="K2457" s="30"/>
      <c r="L2457" s="29"/>
      <c r="M2457" s="29"/>
      <c r="N2457" s="29"/>
      <c r="O2457" s="29"/>
      <c r="P2457" s="29"/>
      <c r="Q2457" s="29"/>
      <c r="R2457" s="29"/>
      <c r="S2457" s="29"/>
      <c r="T2457" s="29"/>
      <c r="U2457" s="31"/>
      <c r="V2457" s="31"/>
      <c r="W2457" s="31"/>
      <c r="X2457" s="31"/>
      <c r="Y2457" s="31"/>
    </row>
    <row r="2458" spans="1:25" x14ac:dyDescent="0.2">
      <c r="A2458" s="29"/>
      <c r="B2458" s="29"/>
      <c r="C2458" s="29"/>
      <c r="D2458" s="29"/>
      <c r="E2458" s="29"/>
      <c r="F2458" s="30"/>
      <c r="G2458" s="30"/>
      <c r="H2458" s="30"/>
      <c r="I2458" s="30"/>
      <c r="J2458" s="30"/>
      <c r="K2458" s="30"/>
      <c r="L2458" s="29"/>
      <c r="M2458" s="29"/>
      <c r="N2458" s="29"/>
      <c r="O2458" s="29"/>
      <c r="P2458" s="29"/>
      <c r="Q2458" s="29"/>
      <c r="R2458" s="29"/>
      <c r="S2458" s="29"/>
      <c r="T2458" s="29"/>
      <c r="U2458" s="31"/>
      <c r="V2458" s="31"/>
      <c r="W2458" s="31"/>
      <c r="X2458" s="31"/>
      <c r="Y2458" s="31"/>
    </row>
    <row r="2459" spans="1:25" x14ac:dyDescent="0.2">
      <c r="A2459" s="29"/>
      <c r="B2459" s="29"/>
      <c r="C2459" s="29"/>
      <c r="D2459" s="29"/>
      <c r="E2459" s="29"/>
      <c r="F2459" s="30"/>
      <c r="G2459" s="30"/>
      <c r="H2459" s="30"/>
      <c r="I2459" s="30"/>
      <c r="J2459" s="30"/>
      <c r="K2459" s="30"/>
      <c r="L2459" s="29"/>
      <c r="M2459" s="29"/>
      <c r="N2459" s="29"/>
      <c r="O2459" s="29"/>
      <c r="P2459" s="29"/>
      <c r="Q2459" s="29"/>
      <c r="R2459" s="29"/>
      <c r="S2459" s="29"/>
      <c r="T2459" s="29"/>
      <c r="U2459" s="31"/>
      <c r="V2459" s="31"/>
      <c r="W2459" s="31"/>
      <c r="X2459" s="31"/>
      <c r="Y2459" s="31"/>
    </row>
    <row r="2460" spans="1:25" x14ac:dyDescent="0.2">
      <c r="A2460" s="29"/>
      <c r="B2460" s="29"/>
      <c r="C2460" s="29"/>
      <c r="D2460" s="29"/>
      <c r="E2460" s="29"/>
      <c r="F2460" s="30"/>
      <c r="G2460" s="30"/>
      <c r="H2460" s="30"/>
      <c r="I2460" s="30"/>
      <c r="J2460" s="30"/>
      <c r="K2460" s="30"/>
      <c r="L2460" s="29"/>
      <c r="M2460" s="29"/>
      <c r="N2460" s="29"/>
      <c r="O2460" s="29"/>
      <c r="P2460" s="29"/>
      <c r="Q2460" s="29"/>
      <c r="R2460" s="29"/>
      <c r="S2460" s="29"/>
      <c r="T2460" s="29"/>
      <c r="U2460" s="31"/>
      <c r="V2460" s="31"/>
      <c r="W2460" s="31"/>
      <c r="X2460" s="31"/>
      <c r="Y2460" s="31"/>
    </row>
    <row r="2461" spans="1:25" x14ac:dyDescent="0.2">
      <c r="A2461" s="29"/>
      <c r="B2461" s="29"/>
      <c r="C2461" s="29"/>
      <c r="D2461" s="29"/>
      <c r="E2461" s="29"/>
      <c r="F2461" s="30"/>
      <c r="G2461" s="30"/>
      <c r="H2461" s="30"/>
      <c r="I2461" s="30"/>
      <c r="J2461" s="30"/>
      <c r="K2461" s="30"/>
      <c r="L2461" s="29"/>
      <c r="M2461" s="29"/>
      <c r="N2461" s="29"/>
      <c r="O2461" s="29"/>
      <c r="P2461" s="29"/>
      <c r="Q2461" s="29"/>
      <c r="R2461" s="29"/>
      <c r="S2461" s="29"/>
      <c r="T2461" s="29"/>
      <c r="U2461" s="31"/>
      <c r="V2461" s="31"/>
      <c r="W2461" s="31"/>
      <c r="X2461" s="31"/>
      <c r="Y2461" s="31"/>
    </row>
    <row r="2462" spans="1:25" x14ac:dyDescent="0.2">
      <c r="A2462" s="29"/>
      <c r="B2462" s="29"/>
      <c r="C2462" s="29"/>
      <c r="D2462" s="29"/>
      <c r="E2462" s="29"/>
      <c r="F2462" s="30"/>
      <c r="G2462" s="30"/>
      <c r="H2462" s="30"/>
      <c r="I2462" s="30"/>
      <c r="J2462" s="30"/>
      <c r="K2462" s="30"/>
      <c r="L2462" s="29"/>
      <c r="M2462" s="29"/>
      <c r="N2462" s="29"/>
      <c r="O2462" s="29"/>
      <c r="P2462" s="29"/>
      <c r="Q2462" s="29"/>
      <c r="R2462" s="29"/>
      <c r="S2462" s="29"/>
      <c r="T2462" s="29"/>
      <c r="U2462" s="31"/>
      <c r="V2462" s="31"/>
      <c r="W2462" s="31"/>
      <c r="X2462" s="31"/>
      <c r="Y2462" s="31"/>
    </row>
    <row r="2463" spans="1:25" x14ac:dyDescent="0.2">
      <c r="A2463" s="29"/>
      <c r="B2463" s="29"/>
      <c r="C2463" s="29"/>
      <c r="D2463" s="29"/>
      <c r="E2463" s="29"/>
      <c r="F2463" s="30"/>
      <c r="G2463" s="30"/>
      <c r="H2463" s="30"/>
      <c r="I2463" s="30"/>
      <c r="J2463" s="30"/>
      <c r="K2463" s="30"/>
      <c r="L2463" s="29"/>
      <c r="M2463" s="29"/>
      <c r="N2463" s="29"/>
      <c r="O2463" s="29"/>
      <c r="P2463" s="29"/>
      <c r="Q2463" s="29"/>
      <c r="R2463" s="29"/>
      <c r="S2463" s="29"/>
      <c r="T2463" s="29"/>
      <c r="U2463" s="31"/>
      <c r="V2463" s="31"/>
      <c r="W2463" s="31"/>
      <c r="X2463" s="31"/>
      <c r="Y2463" s="31"/>
    </row>
    <row r="2464" spans="1:25" x14ac:dyDescent="0.2">
      <c r="A2464" s="29"/>
      <c r="B2464" s="29"/>
      <c r="C2464" s="29"/>
      <c r="D2464" s="29"/>
      <c r="E2464" s="29"/>
      <c r="F2464" s="30"/>
      <c r="G2464" s="30"/>
      <c r="H2464" s="30"/>
      <c r="I2464" s="30"/>
      <c r="J2464" s="30"/>
      <c r="K2464" s="30"/>
      <c r="L2464" s="29"/>
      <c r="M2464" s="29"/>
      <c r="N2464" s="29"/>
      <c r="O2464" s="29"/>
      <c r="P2464" s="29"/>
      <c r="Q2464" s="29"/>
      <c r="R2464" s="29"/>
      <c r="S2464" s="29"/>
      <c r="T2464" s="29"/>
      <c r="U2464" s="31"/>
      <c r="V2464" s="31"/>
      <c r="W2464" s="31"/>
      <c r="X2464" s="31"/>
      <c r="Y2464" s="31"/>
    </row>
    <row r="2465" spans="1:25" x14ac:dyDescent="0.2">
      <c r="A2465" s="29"/>
      <c r="B2465" s="29"/>
      <c r="C2465" s="29"/>
      <c r="D2465" s="29"/>
      <c r="E2465" s="29"/>
      <c r="F2465" s="30"/>
      <c r="G2465" s="30"/>
      <c r="H2465" s="30"/>
      <c r="I2465" s="30"/>
      <c r="J2465" s="30"/>
      <c r="K2465" s="30"/>
      <c r="L2465" s="29"/>
      <c r="M2465" s="29"/>
      <c r="N2465" s="29"/>
      <c r="O2465" s="29"/>
      <c r="P2465" s="29"/>
      <c r="Q2465" s="29"/>
      <c r="R2465" s="29"/>
      <c r="S2465" s="29"/>
      <c r="T2465" s="29"/>
      <c r="U2465" s="31"/>
      <c r="V2465" s="31"/>
      <c r="W2465" s="31"/>
      <c r="X2465" s="31"/>
      <c r="Y2465" s="31"/>
    </row>
    <row r="2466" spans="1:25" x14ac:dyDescent="0.2">
      <c r="A2466" s="29"/>
      <c r="B2466" s="29"/>
      <c r="C2466" s="29"/>
      <c r="D2466" s="29"/>
      <c r="E2466" s="29"/>
      <c r="F2466" s="30"/>
      <c r="G2466" s="30"/>
      <c r="H2466" s="30"/>
      <c r="I2466" s="30"/>
      <c r="J2466" s="30"/>
      <c r="K2466" s="30"/>
      <c r="L2466" s="29"/>
      <c r="M2466" s="29"/>
      <c r="N2466" s="29"/>
      <c r="O2466" s="29"/>
      <c r="P2466" s="29"/>
      <c r="Q2466" s="29"/>
      <c r="R2466" s="29"/>
      <c r="S2466" s="29"/>
      <c r="T2466" s="29"/>
      <c r="U2466" s="31"/>
      <c r="V2466" s="31"/>
      <c r="W2466" s="31"/>
      <c r="X2466" s="31"/>
      <c r="Y2466" s="31"/>
    </row>
    <row r="2467" spans="1:25" x14ac:dyDescent="0.2">
      <c r="A2467" s="29"/>
      <c r="B2467" s="29"/>
      <c r="C2467" s="29"/>
      <c r="D2467" s="29"/>
      <c r="E2467" s="29"/>
      <c r="F2467" s="30"/>
      <c r="G2467" s="30"/>
      <c r="H2467" s="30"/>
      <c r="I2467" s="30"/>
      <c r="J2467" s="30"/>
      <c r="K2467" s="30"/>
      <c r="L2467" s="29"/>
      <c r="M2467" s="29"/>
      <c r="N2467" s="29"/>
      <c r="O2467" s="29"/>
      <c r="P2467" s="29"/>
      <c r="Q2467" s="29"/>
      <c r="R2467" s="29"/>
      <c r="S2467" s="29"/>
      <c r="T2467" s="29"/>
      <c r="U2467" s="31"/>
      <c r="V2467" s="31"/>
      <c r="W2467" s="31"/>
      <c r="X2467" s="31"/>
      <c r="Y2467" s="31"/>
    </row>
    <row r="2468" spans="1:25" x14ac:dyDescent="0.2">
      <c r="A2468" s="29"/>
      <c r="B2468" s="29"/>
      <c r="C2468" s="29"/>
      <c r="D2468" s="29"/>
      <c r="E2468" s="29"/>
      <c r="F2468" s="30"/>
      <c r="G2468" s="30"/>
      <c r="H2468" s="30"/>
      <c r="I2468" s="30"/>
      <c r="J2468" s="30"/>
      <c r="K2468" s="30"/>
      <c r="L2468" s="29"/>
      <c r="M2468" s="29"/>
      <c r="N2468" s="29"/>
      <c r="O2468" s="29"/>
      <c r="P2468" s="29"/>
      <c r="Q2468" s="29"/>
      <c r="R2468" s="29"/>
      <c r="S2468" s="29"/>
      <c r="T2468" s="29"/>
      <c r="U2468" s="31"/>
      <c r="V2468" s="31"/>
      <c r="W2468" s="31"/>
      <c r="X2468" s="31"/>
      <c r="Y2468" s="31"/>
    </row>
    <row r="2469" spans="1:25" x14ac:dyDescent="0.2">
      <c r="A2469" s="29"/>
      <c r="B2469" s="29"/>
      <c r="C2469" s="29"/>
      <c r="D2469" s="29"/>
      <c r="E2469" s="29"/>
      <c r="F2469" s="30"/>
      <c r="G2469" s="30"/>
      <c r="H2469" s="30"/>
      <c r="I2469" s="30"/>
      <c r="J2469" s="30"/>
      <c r="K2469" s="30"/>
      <c r="L2469" s="29"/>
      <c r="M2469" s="29"/>
      <c r="N2469" s="29"/>
      <c r="O2469" s="29"/>
      <c r="P2469" s="29"/>
      <c r="Q2469" s="29"/>
      <c r="R2469" s="29"/>
      <c r="S2469" s="29"/>
      <c r="T2469" s="29"/>
      <c r="U2469" s="31"/>
      <c r="V2469" s="31"/>
      <c r="W2469" s="31"/>
      <c r="X2469" s="31"/>
      <c r="Y2469" s="31"/>
    </row>
    <row r="2470" spans="1:25" x14ac:dyDescent="0.2">
      <c r="A2470" s="29"/>
      <c r="B2470" s="29"/>
      <c r="C2470" s="29"/>
      <c r="D2470" s="29"/>
      <c r="E2470" s="29"/>
      <c r="F2470" s="30"/>
      <c r="G2470" s="30"/>
      <c r="H2470" s="30"/>
      <c r="I2470" s="30"/>
      <c r="J2470" s="30"/>
      <c r="K2470" s="30"/>
      <c r="L2470" s="29"/>
      <c r="M2470" s="29"/>
      <c r="N2470" s="29"/>
      <c r="O2470" s="29"/>
      <c r="P2470" s="29"/>
      <c r="Q2470" s="29"/>
      <c r="R2470" s="29"/>
      <c r="S2470" s="29"/>
      <c r="T2470" s="29"/>
      <c r="U2470" s="31"/>
      <c r="V2470" s="31"/>
      <c r="W2470" s="31"/>
      <c r="X2470" s="31"/>
      <c r="Y2470" s="31"/>
    </row>
    <row r="2471" spans="1:25" x14ac:dyDescent="0.2">
      <c r="A2471" s="29"/>
      <c r="B2471" s="29"/>
      <c r="C2471" s="29"/>
      <c r="D2471" s="29"/>
      <c r="E2471" s="29"/>
      <c r="F2471" s="30"/>
      <c r="G2471" s="30"/>
      <c r="H2471" s="30"/>
      <c r="I2471" s="30"/>
      <c r="J2471" s="30"/>
      <c r="K2471" s="30"/>
      <c r="L2471" s="29"/>
      <c r="M2471" s="29"/>
      <c r="N2471" s="29"/>
      <c r="O2471" s="29"/>
      <c r="P2471" s="29"/>
      <c r="Q2471" s="29"/>
      <c r="R2471" s="29"/>
      <c r="S2471" s="29"/>
      <c r="T2471" s="29"/>
      <c r="U2471" s="31"/>
      <c r="V2471" s="31"/>
      <c r="W2471" s="31"/>
      <c r="X2471" s="31"/>
      <c r="Y2471" s="31"/>
    </row>
    <row r="2472" spans="1:25" x14ac:dyDescent="0.2">
      <c r="A2472" s="29"/>
      <c r="B2472" s="29"/>
      <c r="C2472" s="29"/>
      <c r="D2472" s="29"/>
      <c r="E2472" s="29"/>
      <c r="F2472" s="30"/>
      <c r="G2472" s="30"/>
      <c r="H2472" s="30"/>
      <c r="I2472" s="30"/>
      <c r="J2472" s="30"/>
      <c r="K2472" s="30"/>
      <c r="L2472" s="29"/>
      <c r="M2472" s="29"/>
      <c r="N2472" s="29"/>
      <c r="O2472" s="29"/>
      <c r="P2472" s="29"/>
      <c r="Q2472" s="29"/>
      <c r="R2472" s="29"/>
      <c r="S2472" s="29"/>
      <c r="T2472" s="29"/>
      <c r="U2472" s="31"/>
      <c r="V2472" s="31"/>
      <c r="W2472" s="31"/>
      <c r="X2472" s="31"/>
      <c r="Y2472" s="31"/>
    </row>
    <row r="2473" spans="1:25" x14ac:dyDescent="0.2">
      <c r="A2473" s="29"/>
      <c r="B2473" s="29"/>
      <c r="C2473" s="29"/>
      <c r="D2473" s="29"/>
      <c r="E2473" s="29"/>
      <c r="F2473" s="30"/>
      <c r="G2473" s="30"/>
      <c r="H2473" s="30"/>
      <c r="I2473" s="30"/>
      <c r="J2473" s="30"/>
      <c r="K2473" s="30"/>
      <c r="L2473" s="29"/>
      <c r="M2473" s="29"/>
      <c r="N2473" s="29"/>
      <c r="O2473" s="29"/>
      <c r="P2473" s="29"/>
      <c r="Q2473" s="29"/>
      <c r="R2473" s="29"/>
      <c r="S2473" s="29"/>
      <c r="T2473" s="29"/>
      <c r="U2473" s="31"/>
      <c r="V2473" s="31"/>
      <c r="W2473" s="31"/>
      <c r="X2473" s="31"/>
      <c r="Y2473" s="31"/>
    </row>
    <row r="2474" spans="1:25" x14ac:dyDescent="0.2">
      <c r="A2474" s="29"/>
      <c r="B2474" s="29"/>
      <c r="C2474" s="29"/>
      <c r="D2474" s="29"/>
      <c r="E2474" s="29"/>
      <c r="F2474" s="30"/>
      <c r="G2474" s="30"/>
      <c r="H2474" s="30"/>
      <c r="I2474" s="30"/>
      <c r="J2474" s="30"/>
      <c r="K2474" s="30"/>
      <c r="L2474" s="29"/>
      <c r="M2474" s="29"/>
      <c r="N2474" s="29"/>
      <c r="O2474" s="29"/>
      <c r="P2474" s="29"/>
      <c r="Q2474" s="29"/>
      <c r="R2474" s="29"/>
      <c r="S2474" s="29"/>
      <c r="T2474" s="29"/>
      <c r="U2474" s="31"/>
      <c r="V2474" s="31"/>
      <c r="W2474" s="31"/>
      <c r="X2474" s="31"/>
      <c r="Y2474" s="31"/>
    </row>
    <row r="2475" spans="1:25" x14ac:dyDescent="0.2">
      <c r="A2475" s="29"/>
      <c r="B2475" s="29"/>
      <c r="C2475" s="29"/>
      <c r="D2475" s="29"/>
      <c r="E2475" s="29"/>
      <c r="F2475" s="30"/>
      <c r="G2475" s="30"/>
      <c r="H2475" s="30"/>
      <c r="I2475" s="30"/>
      <c r="J2475" s="30"/>
      <c r="K2475" s="30"/>
      <c r="L2475" s="29"/>
      <c r="M2475" s="29"/>
      <c r="N2475" s="29"/>
      <c r="O2475" s="29"/>
      <c r="P2475" s="29"/>
      <c r="Q2475" s="29"/>
      <c r="R2475" s="29"/>
      <c r="S2475" s="29"/>
      <c r="T2475" s="29"/>
      <c r="U2475" s="31"/>
      <c r="V2475" s="31"/>
      <c r="W2475" s="31"/>
      <c r="X2475" s="31"/>
      <c r="Y2475" s="31"/>
    </row>
    <row r="2476" spans="1:25" x14ac:dyDescent="0.2">
      <c r="A2476" s="29"/>
      <c r="B2476" s="29"/>
      <c r="C2476" s="29"/>
      <c r="D2476" s="29"/>
      <c r="E2476" s="29"/>
      <c r="F2476" s="30"/>
      <c r="G2476" s="30"/>
      <c r="H2476" s="30"/>
      <c r="I2476" s="30"/>
      <c r="J2476" s="30"/>
      <c r="K2476" s="30"/>
      <c r="L2476" s="29"/>
      <c r="M2476" s="29"/>
      <c r="N2476" s="29"/>
      <c r="O2476" s="29"/>
      <c r="P2476" s="29"/>
      <c r="Q2476" s="29"/>
      <c r="R2476" s="29"/>
      <c r="S2476" s="29"/>
      <c r="T2476" s="29"/>
      <c r="U2476" s="31"/>
      <c r="V2476" s="31"/>
      <c r="W2476" s="31"/>
      <c r="X2476" s="31"/>
      <c r="Y2476" s="31"/>
    </row>
    <row r="2477" spans="1:25" x14ac:dyDescent="0.2">
      <c r="A2477" s="29"/>
      <c r="B2477" s="29"/>
      <c r="C2477" s="29"/>
      <c r="D2477" s="29"/>
      <c r="E2477" s="29"/>
      <c r="F2477" s="30"/>
      <c r="G2477" s="30"/>
      <c r="H2477" s="30"/>
      <c r="I2477" s="30"/>
      <c r="J2477" s="30"/>
      <c r="K2477" s="30"/>
      <c r="L2477" s="29"/>
      <c r="M2477" s="29"/>
      <c r="N2477" s="29"/>
      <c r="O2477" s="29"/>
      <c r="P2477" s="29"/>
      <c r="Q2477" s="29"/>
      <c r="R2477" s="29"/>
      <c r="S2477" s="29"/>
      <c r="T2477" s="29"/>
      <c r="U2477" s="31"/>
      <c r="V2477" s="31"/>
      <c r="W2477" s="31"/>
      <c r="X2477" s="31"/>
      <c r="Y2477" s="31"/>
    </row>
    <row r="2478" spans="1:25" x14ac:dyDescent="0.2">
      <c r="A2478" s="29"/>
      <c r="B2478" s="29"/>
      <c r="C2478" s="29"/>
      <c r="D2478" s="29"/>
      <c r="E2478" s="29"/>
      <c r="F2478" s="30"/>
      <c r="G2478" s="30"/>
      <c r="H2478" s="30"/>
      <c r="I2478" s="30"/>
      <c r="J2478" s="30"/>
      <c r="K2478" s="30"/>
      <c r="L2478" s="29"/>
      <c r="M2478" s="29"/>
      <c r="N2478" s="29"/>
      <c r="O2478" s="29"/>
      <c r="P2478" s="29"/>
      <c r="Q2478" s="29"/>
      <c r="R2478" s="29"/>
      <c r="S2478" s="29"/>
      <c r="T2478" s="29"/>
      <c r="U2478" s="31"/>
      <c r="V2478" s="31"/>
      <c r="W2478" s="31"/>
      <c r="X2478" s="31"/>
      <c r="Y2478" s="31"/>
    </row>
    <row r="2479" spans="1:25" x14ac:dyDescent="0.2">
      <c r="A2479" s="29"/>
      <c r="B2479" s="29"/>
      <c r="C2479" s="29"/>
      <c r="D2479" s="29"/>
      <c r="E2479" s="29"/>
      <c r="F2479" s="30"/>
      <c r="G2479" s="30"/>
      <c r="H2479" s="30"/>
      <c r="I2479" s="30"/>
      <c r="J2479" s="30"/>
      <c r="K2479" s="30"/>
      <c r="L2479" s="29"/>
      <c r="M2479" s="29"/>
      <c r="N2479" s="29"/>
      <c r="O2479" s="29"/>
      <c r="P2479" s="29"/>
      <c r="Q2479" s="29"/>
      <c r="R2479" s="29"/>
      <c r="S2479" s="29"/>
      <c r="T2479" s="29"/>
      <c r="U2479" s="31"/>
      <c r="V2479" s="31"/>
      <c r="W2479" s="31"/>
      <c r="X2479" s="31"/>
      <c r="Y2479" s="31"/>
    </row>
    <row r="2480" spans="1:25" x14ac:dyDescent="0.2">
      <c r="A2480" s="29"/>
      <c r="B2480" s="29"/>
      <c r="C2480" s="29"/>
      <c r="D2480" s="29"/>
      <c r="E2480" s="29"/>
      <c r="F2480" s="30"/>
      <c r="G2480" s="30"/>
      <c r="H2480" s="30"/>
      <c r="I2480" s="30"/>
      <c r="J2480" s="30"/>
      <c r="K2480" s="30"/>
      <c r="L2480" s="29"/>
      <c r="M2480" s="29"/>
      <c r="N2480" s="29"/>
      <c r="O2480" s="29"/>
      <c r="P2480" s="29"/>
      <c r="Q2480" s="29"/>
      <c r="R2480" s="29"/>
      <c r="S2480" s="29"/>
      <c r="T2480" s="29"/>
      <c r="U2480" s="31"/>
      <c r="V2480" s="31"/>
      <c r="W2480" s="31"/>
      <c r="X2480" s="31"/>
      <c r="Y2480" s="31"/>
    </row>
    <row r="2481" spans="1:25" x14ac:dyDescent="0.2">
      <c r="A2481" s="29"/>
      <c r="B2481" s="29"/>
      <c r="C2481" s="29"/>
      <c r="D2481" s="29"/>
      <c r="E2481" s="29"/>
      <c r="F2481" s="30"/>
      <c r="G2481" s="30"/>
      <c r="H2481" s="30"/>
      <c r="I2481" s="30"/>
      <c r="J2481" s="30"/>
      <c r="K2481" s="30"/>
      <c r="L2481" s="29"/>
      <c r="M2481" s="29"/>
      <c r="N2481" s="29"/>
      <c r="O2481" s="29"/>
      <c r="P2481" s="29"/>
      <c r="Q2481" s="29"/>
      <c r="R2481" s="29"/>
      <c r="S2481" s="29"/>
      <c r="T2481" s="29"/>
      <c r="U2481" s="31"/>
      <c r="V2481" s="31"/>
      <c r="W2481" s="31"/>
      <c r="X2481" s="31"/>
      <c r="Y2481" s="31"/>
    </row>
    <row r="2482" spans="1:25" x14ac:dyDescent="0.2">
      <c r="A2482" s="29"/>
      <c r="B2482" s="29"/>
      <c r="C2482" s="29"/>
      <c r="D2482" s="29"/>
      <c r="E2482" s="29"/>
      <c r="F2482" s="30"/>
      <c r="G2482" s="30"/>
      <c r="H2482" s="30"/>
      <c r="I2482" s="30"/>
      <c r="J2482" s="30"/>
      <c r="K2482" s="30"/>
      <c r="L2482" s="29"/>
      <c r="M2482" s="29"/>
      <c r="N2482" s="29"/>
      <c r="O2482" s="29"/>
      <c r="P2482" s="29"/>
      <c r="Q2482" s="29"/>
      <c r="R2482" s="29"/>
      <c r="S2482" s="29"/>
      <c r="T2482" s="29"/>
      <c r="U2482" s="31"/>
      <c r="V2482" s="31"/>
      <c r="W2482" s="31"/>
      <c r="X2482" s="31"/>
      <c r="Y2482" s="31"/>
    </row>
    <row r="2483" spans="1:25" x14ac:dyDescent="0.2">
      <c r="A2483" s="29"/>
      <c r="B2483" s="29"/>
      <c r="C2483" s="29"/>
      <c r="D2483" s="29"/>
      <c r="E2483" s="29"/>
      <c r="F2483" s="30"/>
      <c r="G2483" s="30"/>
      <c r="H2483" s="30"/>
      <c r="I2483" s="30"/>
      <c r="J2483" s="30"/>
      <c r="K2483" s="30"/>
      <c r="L2483" s="29"/>
      <c r="M2483" s="29"/>
      <c r="N2483" s="29"/>
      <c r="O2483" s="29"/>
      <c r="P2483" s="29"/>
      <c r="Q2483" s="29"/>
      <c r="R2483" s="29"/>
      <c r="S2483" s="29"/>
      <c r="T2483" s="29"/>
      <c r="U2483" s="31"/>
      <c r="V2483" s="31"/>
      <c r="W2483" s="31"/>
      <c r="X2483" s="31"/>
      <c r="Y2483" s="31"/>
    </row>
    <row r="2484" spans="1:25" x14ac:dyDescent="0.2">
      <c r="A2484" s="29"/>
      <c r="B2484" s="29"/>
      <c r="C2484" s="29"/>
      <c r="D2484" s="29"/>
      <c r="E2484" s="29"/>
      <c r="F2484" s="30"/>
      <c r="G2484" s="30"/>
      <c r="H2484" s="30"/>
      <c r="I2484" s="30"/>
      <c r="J2484" s="30"/>
      <c r="K2484" s="30"/>
      <c r="L2484" s="29"/>
      <c r="M2484" s="29"/>
      <c r="N2484" s="29"/>
      <c r="O2484" s="29"/>
      <c r="P2484" s="29"/>
      <c r="Q2484" s="29"/>
      <c r="R2484" s="29"/>
      <c r="S2484" s="29"/>
      <c r="T2484" s="29"/>
      <c r="U2484" s="31"/>
      <c r="V2484" s="31"/>
      <c r="W2484" s="31"/>
      <c r="X2484" s="31"/>
      <c r="Y2484" s="31"/>
    </row>
    <row r="2485" spans="1:25" x14ac:dyDescent="0.2">
      <c r="A2485" s="29"/>
      <c r="B2485" s="29"/>
      <c r="C2485" s="29"/>
      <c r="D2485" s="29"/>
      <c r="E2485" s="29"/>
      <c r="F2485" s="30"/>
      <c r="G2485" s="30"/>
      <c r="H2485" s="30"/>
      <c r="I2485" s="30"/>
      <c r="J2485" s="30"/>
      <c r="K2485" s="30"/>
      <c r="L2485" s="29"/>
      <c r="M2485" s="29"/>
      <c r="N2485" s="29"/>
      <c r="O2485" s="29"/>
      <c r="P2485" s="29"/>
      <c r="Q2485" s="29"/>
      <c r="R2485" s="29"/>
      <c r="S2485" s="29"/>
      <c r="T2485" s="29"/>
      <c r="U2485" s="31"/>
      <c r="V2485" s="31"/>
      <c r="W2485" s="31"/>
      <c r="X2485" s="31"/>
      <c r="Y2485" s="31"/>
    </row>
    <row r="2486" spans="1:25" x14ac:dyDescent="0.2">
      <c r="A2486" s="29"/>
      <c r="B2486" s="29"/>
      <c r="C2486" s="29"/>
      <c r="D2486" s="29"/>
      <c r="E2486" s="29"/>
      <c r="F2486" s="30"/>
      <c r="G2486" s="30"/>
      <c r="H2486" s="30"/>
      <c r="I2486" s="30"/>
      <c r="J2486" s="30"/>
      <c r="K2486" s="30"/>
      <c r="L2486" s="29"/>
      <c r="M2486" s="29"/>
      <c r="N2486" s="29"/>
      <c r="O2486" s="29"/>
      <c r="P2486" s="29"/>
      <c r="Q2486" s="29"/>
      <c r="R2486" s="29"/>
      <c r="S2486" s="29"/>
      <c r="T2486" s="29"/>
      <c r="U2486" s="31"/>
      <c r="V2486" s="31"/>
      <c r="W2486" s="31"/>
      <c r="X2486" s="31"/>
      <c r="Y2486" s="31"/>
    </row>
    <row r="2487" spans="1:25" x14ac:dyDescent="0.2">
      <c r="A2487" s="29"/>
      <c r="B2487" s="29"/>
      <c r="C2487" s="29"/>
      <c r="D2487" s="29"/>
      <c r="E2487" s="29"/>
      <c r="F2487" s="30"/>
      <c r="G2487" s="30"/>
      <c r="H2487" s="30"/>
      <c r="I2487" s="30"/>
      <c r="J2487" s="30"/>
      <c r="K2487" s="30"/>
      <c r="L2487" s="29"/>
      <c r="M2487" s="29"/>
      <c r="N2487" s="29"/>
      <c r="O2487" s="29"/>
      <c r="P2487" s="29"/>
      <c r="Q2487" s="29"/>
      <c r="R2487" s="29"/>
      <c r="S2487" s="29"/>
      <c r="T2487" s="29"/>
      <c r="U2487" s="31"/>
      <c r="V2487" s="31"/>
      <c r="W2487" s="31"/>
      <c r="X2487" s="31"/>
      <c r="Y2487" s="31"/>
    </row>
    <row r="2488" spans="1:25" x14ac:dyDescent="0.2">
      <c r="A2488" s="29"/>
      <c r="B2488" s="29"/>
      <c r="C2488" s="29"/>
      <c r="D2488" s="29"/>
      <c r="E2488" s="29"/>
      <c r="F2488" s="30"/>
      <c r="G2488" s="30"/>
      <c r="H2488" s="30"/>
      <c r="I2488" s="30"/>
      <c r="J2488" s="30"/>
      <c r="K2488" s="30"/>
      <c r="L2488" s="29"/>
      <c r="M2488" s="29"/>
      <c r="N2488" s="29"/>
      <c r="O2488" s="29"/>
      <c r="P2488" s="29"/>
      <c r="Q2488" s="29"/>
      <c r="R2488" s="29"/>
      <c r="S2488" s="29"/>
      <c r="T2488" s="29"/>
      <c r="U2488" s="31"/>
      <c r="V2488" s="31"/>
      <c r="W2488" s="31"/>
      <c r="X2488" s="31"/>
      <c r="Y2488" s="31"/>
    </row>
    <row r="2489" spans="1:25" x14ac:dyDescent="0.2">
      <c r="A2489" s="29"/>
      <c r="B2489" s="29"/>
      <c r="C2489" s="29"/>
      <c r="D2489" s="29"/>
      <c r="E2489" s="29"/>
      <c r="F2489" s="30"/>
      <c r="G2489" s="30"/>
      <c r="H2489" s="30"/>
      <c r="I2489" s="30"/>
      <c r="J2489" s="30"/>
      <c r="K2489" s="30"/>
      <c r="L2489" s="29"/>
      <c r="M2489" s="29"/>
      <c r="N2489" s="29"/>
      <c r="O2489" s="29"/>
      <c r="P2489" s="29"/>
      <c r="Q2489" s="29"/>
      <c r="R2489" s="29"/>
      <c r="S2489" s="29"/>
      <c r="T2489" s="29"/>
      <c r="U2489" s="31"/>
      <c r="V2489" s="31"/>
      <c r="W2489" s="31"/>
      <c r="X2489" s="31"/>
      <c r="Y2489" s="31"/>
    </row>
    <row r="2490" spans="1:25" x14ac:dyDescent="0.2">
      <c r="A2490" s="29"/>
      <c r="B2490" s="29"/>
      <c r="C2490" s="29"/>
      <c r="D2490" s="29"/>
      <c r="E2490" s="29"/>
      <c r="F2490" s="30"/>
      <c r="G2490" s="30"/>
      <c r="H2490" s="30"/>
      <c r="I2490" s="30"/>
      <c r="J2490" s="30"/>
      <c r="K2490" s="30"/>
      <c r="L2490" s="29"/>
      <c r="M2490" s="29"/>
      <c r="N2490" s="29"/>
      <c r="O2490" s="29"/>
      <c r="P2490" s="29"/>
      <c r="Q2490" s="29"/>
      <c r="R2490" s="29"/>
      <c r="S2490" s="29"/>
      <c r="T2490" s="29"/>
      <c r="U2490" s="31"/>
      <c r="V2490" s="31"/>
      <c r="W2490" s="31"/>
      <c r="X2490" s="31"/>
      <c r="Y2490" s="31"/>
    </row>
    <row r="2491" spans="1:25" x14ac:dyDescent="0.2">
      <c r="A2491" s="29"/>
      <c r="B2491" s="29"/>
      <c r="C2491" s="29"/>
      <c r="D2491" s="29"/>
      <c r="E2491" s="29"/>
      <c r="F2491" s="30"/>
      <c r="G2491" s="30"/>
      <c r="H2491" s="30"/>
      <c r="I2491" s="30"/>
      <c r="J2491" s="30"/>
      <c r="K2491" s="30"/>
      <c r="L2491" s="29"/>
      <c r="M2491" s="29"/>
      <c r="N2491" s="29"/>
      <c r="O2491" s="29"/>
      <c r="P2491" s="29"/>
      <c r="Q2491" s="29"/>
      <c r="R2491" s="29"/>
      <c r="S2491" s="29"/>
      <c r="T2491" s="29"/>
      <c r="U2491" s="31"/>
      <c r="V2491" s="31"/>
      <c r="W2491" s="31"/>
      <c r="X2491" s="31"/>
      <c r="Y2491" s="31"/>
    </row>
    <row r="2492" spans="1:25" x14ac:dyDescent="0.2">
      <c r="A2492" s="29"/>
      <c r="B2492" s="29"/>
      <c r="C2492" s="29"/>
      <c r="D2492" s="29"/>
      <c r="E2492" s="29"/>
      <c r="F2492" s="30"/>
      <c r="G2492" s="30"/>
      <c r="H2492" s="30"/>
      <c r="I2492" s="30"/>
      <c r="J2492" s="30"/>
      <c r="K2492" s="30"/>
      <c r="L2492" s="29"/>
      <c r="M2492" s="29"/>
      <c r="N2492" s="29"/>
      <c r="O2492" s="29"/>
      <c r="P2492" s="29"/>
      <c r="Q2492" s="29"/>
      <c r="R2492" s="29"/>
      <c r="S2492" s="29"/>
      <c r="T2492" s="29"/>
      <c r="U2492" s="31"/>
      <c r="V2492" s="31"/>
      <c r="W2492" s="31"/>
      <c r="X2492" s="31"/>
      <c r="Y2492" s="31"/>
    </row>
    <row r="2493" spans="1:25" x14ac:dyDescent="0.2">
      <c r="A2493" s="29"/>
      <c r="B2493" s="29"/>
      <c r="C2493" s="29"/>
      <c r="D2493" s="29"/>
      <c r="E2493" s="29"/>
      <c r="F2493" s="30"/>
      <c r="G2493" s="30"/>
      <c r="H2493" s="30"/>
      <c r="I2493" s="30"/>
      <c r="J2493" s="30"/>
      <c r="K2493" s="30"/>
      <c r="L2493" s="29"/>
      <c r="M2493" s="29"/>
      <c r="N2493" s="29"/>
      <c r="O2493" s="29"/>
      <c r="P2493" s="29"/>
      <c r="Q2493" s="29"/>
      <c r="R2493" s="29"/>
      <c r="S2493" s="29"/>
      <c r="T2493" s="29"/>
      <c r="U2493" s="31"/>
      <c r="V2493" s="31"/>
      <c r="W2493" s="31"/>
      <c r="X2493" s="31"/>
      <c r="Y2493" s="31"/>
    </row>
    <row r="2494" spans="1:25" x14ac:dyDescent="0.2">
      <c r="A2494" s="29"/>
      <c r="B2494" s="29"/>
      <c r="C2494" s="29"/>
      <c r="D2494" s="29"/>
      <c r="E2494" s="29"/>
      <c r="F2494" s="30"/>
      <c r="G2494" s="30"/>
      <c r="H2494" s="30"/>
      <c r="I2494" s="30"/>
      <c r="J2494" s="30"/>
      <c r="K2494" s="30"/>
      <c r="L2494" s="29"/>
      <c r="M2494" s="29"/>
      <c r="N2494" s="29"/>
      <c r="O2494" s="29"/>
      <c r="P2494" s="29"/>
      <c r="Q2494" s="29"/>
      <c r="R2494" s="29"/>
      <c r="S2494" s="29"/>
      <c r="T2494" s="29"/>
      <c r="U2494" s="31"/>
      <c r="V2494" s="31"/>
      <c r="W2494" s="31"/>
      <c r="X2494" s="31"/>
      <c r="Y2494" s="31"/>
    </row>
    <row r="2495" spans="1:25" x14ac:dyDescent="0.2">
      <c r="A2495" s="29"/>
      <c r="B2495" s="29"/>
      <c r="C2495" s="29"/>
      <c r="D2495" s="29"/>
      <c r="E2495" s="29"/>
      <c r="F2495" s="30"/>
      <c r="G2495" s="30"/>
      <c r="H2495" s="30"/>
      <c r="I2495" s="30"/>
      <c r="J2495" s="30"/>
      <c r="K2495" s="30"/>
      <c r="L2495" s="29"/>
      <c r="M2495" s="29"/>
      <c r="N2495" s="29"/>
      <c r="O2495" s="29"/>
      <c r="P2495" s="29"/>
      <c r="Q2495" s="29"/>
      <c r="R2495" s="29"/>
      <c r="S2495" s="29"/>
      <c r="T2495" s="29"/>
      <c r="U2495" s="31"/>
      <c r="V2495" s="31"/>
      <c r="W2495" s="31"/>
      <c r="X2495" s="31"/>
      <c r="Y2495" s="31"/>
    </row>
    <row r="2496" spans="1:25" x14ac:dyDescent="0.2">
      <c r="A2496" s="29"/>
      <c r="B2496" s="29"/>
      <c r="C2496" s="29"/>
      <c r="D2496" s="29"/>
      <c r="E2496" s="29"/>
      <c r="F2496" s="30"/>
      <c r="G2496" s="30"/>
      <c r="H2496" s="30"/>
      <c r="I2496" s="30"/>
      <c r="J2496" s="30"/>
      <c r="K2496" s="30"/>
      <c r="L2496" s="29"/>
      <c r="M2496" s="29"/>
      <c r="N2496" s="29"/>
      <c r="O2496" s="29"/>
      <c r="P2496" s="29"/>
      <c r="Q2496" s="29"/>
      <c r="R2496" s="29"/>
      <c r="S2496" s="29"/>
      <c r="T2496" s="29"/>
      <c r="U2496" s="31"/>
      <c r="V2496" s="31"/>
      <c r="W2496" s="31"/>
      <c r="X2496" s="31"/>
      <c r="Y2496" s="31"/>
    </row>
    <row r="2497" spans="1:25" x14ac:dyDescent="0.2">
      <c r="A2497" s="29"/>
      <c r="B2497" s="29"/>
      <c r="C2497" s="29"/>
      <c r="D2497" s="29"/>
      <c r="E2497" s="29"/>
      <c r="F2497" s="30"/>
      <c r="G2497" s="30"/>
      <c r="H2497" s="30"/>
      <c r="I2497" s="30"/>
      <c r="J2497" s="30"/>
      <c r="K2497" s="30"/>
      <c r="L2497" s="29"/>
      <c r="M2497" s="29"/>
      <c r="N2497" s="29"/>
      <c r="O2497" s="29"/>
      <c r="P2497" s="29"/>
      <c r="Q2497" s="29"/>
      <c r="R2497" s="29"/>
      <c r="S2497" s="29"/>
      <c r="T2497" s="29"/>
      <c r="U2497" s="31"/>
      <c r="V2497" s="31"/>
      <c r="W2497" s="31"/>
      <c r="X2497" s="31"/>
      <c r="Y2497" s="31"/>
    </row>
    <row r="2498" spans="1:25" x14ac:dyDescent="0.2">
      <c r="A2498" s="29"/>
      <c r="B2498" s="29"/>
      <c r="C2498" s="29"/>
      <c r="D2498" s="29"/>
      <c r="E2498" s="29"/>
      <c r="F2498" s="30"/>
      <c r="G2498" s="30"/>
      <c r="H2498" s="30"/>
      <c r="I2498" s="30"/>
      <c r="J2498" s="30"/>
      <c r="K2498" s="30"/>
      <c r="L2498" s="29"/>
      <c r="M2498" s="29"/>
      <c r="N2498" s="29"/>
      <c r="O2498" s="29"/>
      <c r="P2498" s="29"/>
      <c r="Q2498" s="29"/>
      <c r="R2498" s="29"/>
      <c r="S2498" s="29"/>
      <c r="T2498" s="29"/>
      <c r="U2498" s="31"/>
      <c r="V2498" s="31"/>
      <c r="W2498" s="31"/>
      <c r="X2498" s="31"/>
      <c r="Y2498" s="31"/>
    </row>
    <row r="2499" spans="1:25" x14ac:dyDescent="0.2">
      <c r="A2499" s="29"/>
      <c r="B2499" s="29"/>
      <c r="C2499" s="29"/>
      <c r="D2499" s="29"/>
      <c r="E2499" s="29"/>
      <c r="F2499" s="30"/>
      <c r="G2499" s="30"/>
      <c r="H2499" s="30"/>
      <c r="I2499" s="30"/>
      <c r="J2499" s="30"/>
      <c r="K2499" s="30"/>
      <c r="L2499" s="29"/>
      <c r="M2499" s="29"/>
      <c r="N2499" s="29"/>
      <c r="O2499" s="29"/>
      <c r="P2499" s="29"/>
      <c r="Q2499" s="29"/>
      <c r="R2499" s="29"/>
      <c r="S2499" s="29"/>
      <c r="T2499" s="29"/>
      <c r="U2499" s="31"/>
      <c r="V2499" s="31"/>
      <c r="W2499" s="31"/>
      <c r="X2499" s="31"/>
      <c r="Y2499" s="31"/>
    </row>
    <row r="2500" spans="1:25" x14ac:dyDescent="0.2">
      <c r="A2500" s="29"/>
      <c r="B2500" s="29"/>
      <c r="C2500" s="29"/>
      <c r="D2500" s="29"/>
      <c r="E2500" s="29"/>
      <c r="F2500" s="30"/>
      <c r="G2500" s="30"/>
      <c r="H2500" s="30"/>
      <c r="I2500" s="30"/>
      <c r="J2500" s="30"/>
      <c r="K2500" s="30"/>
      <c r="L2500" s="29"/>
      <c r="M2500" s="29"/>
      <c r="N2500" s="29"/>
      <c r="O2500" s="29"/>
      <c r="P2500" s="29"/>
      <c r="Q2500" s="29"/>
      <c r="R2500" s="29"/>
      <c r="S2500" s="29"/>
      <c r="T2500" s="29"/>
      <c r="U2500" s="31"/>
      <c r="V2500" s="31"/>
      <c r="W2500" s="31"/>
      <c r="X2500" s="31"/>
      <c r="Y2500" s="31"/>
    </row>
    <row r="2501" spans="1:25" x14ac:dyDescent="0.2">
      <c r="A2501" s="29"/>
      <c r="B2501" s="29"/>
      <c r="C2501" s="29"/>
      <c r="D2501" s="29"/>
      <c r="E2501" s="29"/>
      <c r="F2501" s="30"/>
      <c r="G2501" s="30"/>
      <c r="H2501" s="30"/>
      <c r="I2501" s="30"/>
      <c r="J2501" s="30"/>
      <c r="K2501" s="30"/>
      <c r="L2501" s="29"/>
      <c r="M2501" s="29"/>
      <c r="N2501" s="29"/>
      <c r="O2501" s="29"/>
      <c r="P2501" s="29"/>
      <c r="Q2501" s="29"/>
      <c r="R2501" s="29"/>
      <c r="S2501" s="29"/>
      <c r="T2501" s="29"/>
      <c r="U2501" s="31"/>
      <c r="V2501" s="31"/>
      <c r="W2501" s="31"/>
      <c r="X2501" s="31"/>
      <c r="Y2501" s="31"/>
    </row>
    <row r="2502" spans="1:25" x14ac:dyDescent="0.2">
      <c r="A2502" s="29"/>
      <c r="B2502" s="29"/>
      <c r="C2502" s="29"/>
      <c r="D2502" s="29"/>
      <c r="E2502" s="29"/>
      <c r="F2502" s="30"/>
      <c r="G2502" s="30"/>
      <c r="H2502" s="30"/>
      <c r="I2502" s="30"/>
      <c r="J2502" s="30"/>
      <c r="K2502" s="30"/>
      <c r="L2502" s="29"/>
      <c r="M2502" s="29"/>
      <c r="N2502" s="29"/>
      <c r="O2502" s="29"/>
      <c r="P2502" s="29"/>
      <c r="Q2502" s="29"/>
      <c r="R2502" s="29"/>
      <c r="S2502" s="29"/>
      <c r="T2502" s="29"/>
      <c r="U2502" s="31"/>
      <c r="V2502" s="31"/>
      <c r="W2502" s="31"/>
      <c r="X2502" s="31"/>
      <c r="Y2502" s="31"/>
    </row>
    <row r="2503" spans="1:25" x14ac:dyDescent="0.2">
      <c r="A2503" s="29"/>
      <c r="B2503" s="29"/>
      <c r="C2503" s="29"/>
      <c r="D2503" s="29"/>
      <c r="E2503" s="29"/>
      <c r="F2503" s="30"/>
      <c r="G2503" s="30"/>
      <c r="H2503" s="30"/>
      <c r="I2503" s="30"/>
      <c r="J2503" s="30"/>
      <c r="K2503" s="30"/>
      <c r="L2503" s="29"/>
      <c r="M2503" s="29"/>
      <c r="N2503" s="29"/>
      <c r="O2503" s="29"/>
      <c r="P2503" s="29"/>
      <c r="Q2503" s="29"/>
      <c r="R2503" s="29"/>
      <c r="S2503" s="29"/>
      <c r="T2503" s="29"/>
      <c r="U2503" s="31"/>
      <c r="V2503" s="31"/>
      <c r="W2503" s="31"/>
      <c r="X2503" s="31"/>
      <c r="Y2503" s="31"/>
    </row>
    <row r="2504" spans="1:25" x14ac:dyDescent="0.2">
      <c r="A2504" s="29"/>
      <c r="B2504" s="29"/>
      <c r="C2504" s="29"/>
      <c r="D2504" s="29"/>
      <c r="E2504" s="29"/>
      <c r="F2504" s="30"/>
      <c r="G2504" s="30"/>
      <c r="H2504" s="30"/>
      <c r="I2504" s="30"/>
      <c r="J2504" s="30"/>
      <c r="K2504" s="30"/>
      <c r="L2504" s="29"/>
      <c r="M2504" s="29"/>
      <c r="N2504" s="29"/>
      <c r="O2504" s="29"/>
      <c r="P2504" s="29"/>
      <c r="Q2504" s="29"/>
      <c r="R2504" s="29"/>
      <c r="S2504" s="29"/>
      <c r="T2504" s="29"/>
      <c r="U2504" s="31"/>
      <c r="V2504" s="31"/>
      <c r="W2504" s="31"/>
      <c r="X2504" s="31"/>
      <c r="Y2504" s="31"/>
    </row>
    <row r="2505" spans="1:25" x14ac:dyDescent="0.2">
      <c r="A2505" s="29"/>
      <c r="B2505" s="29"/>
      <c r="C2505" s="29"/>
      <c r="D2505" s="29"/>
      <c r="E2505" s="29"/>
      <c r="F2505" s="30"/>
      <c r="G2505" s="30"/>
      <c r="H2505" s="30"/>
      <c r="I2505" s="30"/>
      <c r="J2505" s="30"/>
      <c r="K2505" s="30"/>
      <c r="L2505" s="29"/>
      <c r="M2505" s="29"/>
      <c r="N2505" s="29"/>
      <c r="O2505" s="29"/>
      <c r="P2505" s="29"/>
      <c r="Q2505" s="29"/>
      <c r="R2505" s="29"/>
      <c r="S2505" s="29"/>
      <c r="T2505" s="29"/>
      <c r="U2505" s="31"/>
      <c r="V2505" s="31"/>
      <c r="W2505" s="31"/>
      <c r="X2505" s="31"/>
      <c r="Y2505" s="31"/>
    </row>
    <row r="2506" spans="1:25" x14ac:dyDescent="0.2">
      <c r="A2506" s="29"/>
      <c r="B2506" s="29"/>
      <c r="C2506" s="29"/>
      <c r="D2506" s="29"/>
      <c r="E2506" s="29"/>
      <c r="F2506" s="30"/>
      <c r="G2506" s="30"/>
      <c r="H2506" s="30"/>
      <c r="I2506" s="30"/>
      <c r="J2506" s="30"/>
      <c r="K2506" s="30"/>
      <c r="L2506" s="29"/>
      <c r="M2506" s="29"/>
      <c r="N2506" s="29"/>
      <c r="O2506" s="29"/>
      <c r="P2506" s="29"/>
      <c r="Q2506" s="29"/>
      <c r="R2506" s="29"/>
      <c r="S2506" s="29"/>
      <c r="T2506" s="29"/>
      <c r="U2506" s="31"/>
      <c r="V2506" s="31"/>
      <c r="W2506" s="31"/>
      <c r="X2506" s="31"/>
      <c r="Y2506" s="31"/>
    </row>
    <row r="2507" spans="1:25" x14ac:dyDescent="0.2">
      <c r="A2507" s="29"/>
      <c r="B2507" s="29"/>
      <c r="C2507" s="29"/>
      <c r="D2507" s="29"/>
      <c r="E2507" s="29"/>
      <c r="F2507" s="30"/>
      <c r="G2507" s="30"/>
      <c r="H2507" s="30"/>
      <c r="I2507" s="30"/>
      <c r="J2507" s="30"/>
      <c r="K2507" s="30"/>
      <c r="L2507" s="29"/>
      <c r="M2507" s="29"/>
      <c r="N2507" s="29"/>
      <c r="O2507" s="29"/>
      <c r="P2507" s="29"/>
      <c r="Q2507" s="29"/>
      <c r="R2507" s="29"/>
      <c r="S2507" s="29"/>
      <c r="T2507" s="29"/>
      <c r="U2507" s="31"/>
      <c r="V2507" s="31"/>
      <c r="W2507" s="31"/>
      <c r="X2507" s="31"/>
      <c r="Y2507" s="31"/>
    </row>
    <row r="2508" spans="1:25" x14ac:dyDescent="0.2">
      <c r="A2508" s="29"/>
      <c r="B2508" s="29"/>
      <c r="C2508" s="29"/>
      <c r="D2508" s="29"/>
      <c r="E2508" s="29"/>
      <c r="F2508" s="30"/>
      <c r="G2508" s="30"/>
      <c r="H2508" s="30"/>
      <c r="I2508" s="30"/>
      <c r="J2508" s="30"/>
      <c r="K2508" s="30"/>
      <c r="L2508" s="29"/>
      <c r="M2508" s="29"/>
      <c r="N2508" s="29"/>
      <c r="O2508" s="29"/>
      <c r="P2508" s="29"/>
      <c r="Q2508" s="29"/>
      <c r="R2508" s="29"/>
      <c r="S2508" s="29"/>
      <c r="T2508" s="29"/>
      <c r="U2508" s="31"/>
      <c r="V2508" s="31"/>
      <c r="W2508" s="31"/>
      <c r="X2508" s="31"/>
      <c r="Y2508" s="31"/>
    </row>
    <row r="2509" spans="1:25" x14ac:dyDescent="0.2">
      <c r="A2509" s="29"/>
      <c r="B2509" s="29"/>
      <c r="C2509" s="29"/>
      <c r="D2509" s="29"/>
      <c r="E2509" s="29"/>
      <c r="F2509" s="30"/>
      <c r="G2509" s="30"/>
      <c r="H2509" s="30"/>
      <c r="I2509" s="30"/>
      <c r="J2509" s="30"/>
      <c r="K2509" s="30"/>
      <c r="L2509" s="29"/>
      <c r="M2509" s="29"/>
      <c r="N2509" s="29"/>
      <c r="O2509" s="29"/>
      <c r="P2509" s="29"/>
      <c r="Q2509" s="29"/>
      <c r="R2509" s="29"/>
      <c r="S2509" s="29"/>
      <c r="T2509" s="29"/>
      <c r="U2509" s="31"/>
      <c r="V2509" s="31"/>
      <c r="W2509" s="31"/>
      <c r="X2509" s="31"/>
      <c r="Y2509" s="31"/>
    </row>
    <row r="2510" spans="1:25" x14ac:dyDescent="0.2">
      <c r="A2510" s="29"/>
      <c r="B2510" s="29"/>
      <c r="C2510" s="29"/>
      <c r="D2510" s="29"/>
      <c r="E2510" s="29"/>
      <c r="F2510" s="30"/>
      <c r="G2510" s="30"/>
      <c r="H2510" s="30"/>
      <c r="I2510" s="30"/>
      <c r="J2510" s="30"/>
      <c r="K2510" s="30"/>
      <c r="L2510" s="29"/>
      <c r="M2510" s="29"/>
      <c r="N2510" s="29"/>
      <c r="O2510" s="29"/>
      <c r="P2510" s="29"/>
      <c r="Q2510" s="29"/>
      <c r="R2510" s="29"/>
      <c r="S2510" s="29"/>
      <c r="T2510" s="29"/>
      <c r="U2510" s="31"/>
      <c r="V2510" s="31"/>
      <c r="W2510" s="31"/>
      <c r="X2510" s="31"/>
      <c r="Y2510" s="31"/>
    </row>
    <row r="2511" spans="1:25" x14ac:dyDescent="0.2">
      <c r="A2511" s="29"/>
      <c r="B2511" s="29"/>
      <c r="C2511" s="29"/>
      <c r="D2511" s="29"/>
      <c r="E2511" s="29"/>
      <c r="F2511" s="30"/>
      <c r="G2511" s="30"/>
      <c r="H2511" s="30"/>
      <c r="I2511" s="30"/>
      <c r="J2511" s="30"/>
      <c r="K2511" s="30"/>
      <c r="L2511" s="29"/>
      <c r="M2511" s="29"/>
      <c r="N2511" s="29"/>
      <c r="O2511" s="29"/>
      <c r="P2511" s="29"/>
      <c r="Q2511" s="29"/>
      <c r="R2511" s="29"/>
      <c r="S2511" s="29"/>
      <c r="T2511" s="29"/>
      <c r="U2511" s="31"/>
      <c r="V2511" s="31"/>
      <c r="W2511" s="31"/>
      <c r="X2511" s="31"/>
      <c r="Y2511" s="31"/>
    </row>
    <row r="2512" spans="1:25" x14ac:dyDescent="0.2">
      <c r="A2512" s="29"/>
      <c r="B2512" s="29"/>
      <c r="C2512" s="29"/>
      <c r="D2512" s="29"/>
      <c r="E2512" s="29"/>
      <c r="F2512" s="30"/>
      <c r="G2512" s="30"/>
      <c r="H2512" s="30"/>
      <c r="I2512" s="30"/>
      <c r="J2512" s="30"/>
      <c r="K2512" s="30"/>
      <c r="L2512" s="29"/>
      <c r="M2512" s="29"/>
      <c r="N2512" s="29"/>
      <c r="O2512" s="29"/>
      <c r="P2512" s="29"/>
      <c r="Q2512" s="29"/>
      <c r="R2512" s="29"/>
      <c r="S2512" s="29"/>
      <c r="T2512" s="29"/>
      <c r="U2512" s="31"/>
      <c r="V2512" s="31"/>
      <c r="W2512" s="31"/>
      <c r="X2512" s="31"/>
      <c r="Y2512" s="31"/>
    </row>
    <row r="2513" spans="1:25" x14ac:dyDescent="0.2">
      <c r="A2513" s="29"/>
      <c r="B2513" s="29"/>
      <c r="C2513" s="29"/>
      <c r="D2513" s="29"/>
      <c r="E2513" s="29"/>
      <c r="F2513" s="30"/>
      <c r="G2513" s="30"/>
      <c r="H2513" s="30"/>
      <c r="I2513" s="30"/>
      <c r="J2513" s="30"/>
      <c r="K2513" s="30"/>
      <c r="L2513" s="29"/>
      <c r="M2513" s="29"/>
      <c r="N2513" s="29"/>
      <c r="O2513" s="29"/>
      <c r="P2513" s="29"/>
      <c r="Q2513" s="29"/>
      <c r="R2513" s="29"/>
      <c r="S2513" s="29"/>
      <c r="T2513" s="29"/>
      <c r="U2513" s="31"/>
      <c r="V2513" s="31"/>
      <c r="W2513" s="31"/>
      <c r="X2513" s="31"/>
      <c r="Y2513" s="31"/>
    </row>
    <row r="2514" spans="1:25" x14ac:dyDescent="0.2">
      <c r="A2514" s="29"/>
      <c r="B2514" s="29"/>
      <c r="C2514" s="29"/>
      <c r="D2514" s="29"/>
      <c r="E2514" s="29"/>
      <c r="F2514" s="30"/>
      <c r="G2514" s="30"/>
      <c r="H2514" s="30"/>
      <c r="I2514" s="30"/>
      <c r="J2514" s="30"/>
      <c r="K2514" s="30"/>
      <c r="L2514" s="29"/>
      <c r="M2514" s="29"/>
      <c r="N2514" s="29"/>
      <c r="O2514" s="29"/>
      <c r="P2514" s="29"/>
      <c r="Q2514" s="29"/>
      <c r="R2514" s="29"/>
      <c r="S2514" s="29"/>
      <c r="T2514" s="29"/>
      <c r="U2514" s="31"/>
      <c r="V2514" s="31"/>
      <c r="W2514" s="31"/>
      <c r="X2514" s="31"/>
      <c r="Y2514" s="31"/>
    </row>
    <row r="2515" spans="1:25" x14ac:dyDescent="0.2">
      <c r="A2515" s="29"/>
      <c r="B2515" s="29"/>
      <c r="C2515" s="29"/>
      <c r="D2515" s="29"/>
      <c r="E2515" s="29"/>
      <c r="F2515" s="30"/>
      <c r="G2515" s="30"/>
      <c r="H2515" s="30"/>
      <c r="I2515" s="30"/>
      <c r="J2515" s="30"/>
      <c r="K2515" s="30"/>
      <c r="L2515" s="29"/>
      <c r="M2515" s="29"/>
      <c r="N2515" s="29"/>
      <c r="O2515" s="29"/>
      <c r="P2515" s="29"/>
      <c r="Q2515" s="29"/>
      <c r="R2515" s="29"/>
      <c r="S2515" s="29"/>
      <c r="T2515" s="29"/>
      <c r="U2515" s="31"/>
      <c r="V2515" s="31"/>
      <c r="W2515" s="31"/>
      <c r="X2515" s="31"/>
      <c r="Y2515" s="31"/>
    </row>
    <row r="2516" spans="1:25" x14ac:dyDescent="0.2">
      <c r="A2516" s="29"/>
      <c r="B2516" s="29"/>
      <c r="C2516" s="29"/>
      <c r="D2516" s="29"/>
      <c r="E2516" s="29"/>
      <c r="F2516" s="30"/>
      <c r="G2516" s="30"/>
      <c r="H2516" s="30"/>
      <c r="I2516" s="30"/>
      <c r="J2516" s="30"/>
      <c r="K2516" s="30"/>
      <c r="L2516" s="29"/>
      <c r="M2516" s="29"/>
      <c r="N2516" s="29"/>
      <c r="O2516" s="29"/>
      <c r="P2516" s="29"/>
      <c r="Q2516" s="29"/>
      <c r="R2516" s="29"/>
      <c r="S2516" s="29"/>
      <c r="T2516" s="29"/>
      <c r="U2516" s="31"/>
      <c r="V2516" s="31"/>
      <c r="W2516" s="31"/>
      <c r="X2516" s="31"/>
      <c r="Y2516" s="31"/>
    </row>
    <row r="2517" spans="1:25" x14ac:dyDescent="0.2">
      <c r="A2517" s="29"/>
      <c r="B2517" s="29"/>
      <c r="C2517" s="29"/>
      <c r="D2517" s="29"/>
      <c r="E2517" s="29"/>
      <c r="F2517" s="30"/>
      <c r="G2517" s="30"/>
      <c r="H2517" s="30"/>
      <c r="I2517" s="30"/>
      <c r="J2517" s="30"/>
      <c r="K2517" s="30"/>
      <c r="L2517" s="29"/>
      <c r="M2517" s="29"/>
      <c r="N2517" s="29"/>
      <c r="O2517" s="29"/>
      <c r="P2517" s="29"/>
      <c r="Q2517" s="29"/>
      <c r="R2517" s="29"/>
      <c r="S2517" s="29"/>
      <c r="T2517" s="29"/>
      <c r="U2517" s="31"/>
      <c r="V2517" s="31"/>
      <c r="W2517" s="31"/>
      <c r="X2517" s="31"/>
      <c r="Y2517" s="31"/>
    </row>
    <row r="2518" spans="1:25" x14ac:dyDescent="0.2">
      <c r="A2518" s="29"/>
      <c r="B2518" s="29"/>
      <c r="C2518" s="29"/>
      <c r="D2518" s="29"/>
      <c r="E2518" s="29"/>
      <c r="F2518" s="30"/>
      <c r="G2518" s="30"/>
      <c r="H2518" s="30"/>
      <c r="I2518" s="30"/>
      <c r="J2518" s="30"/>
      <c r="K2518" s="30"/>
      <c r="L2518" s="29"/>
      <c r="M2518" s="29"/>
      <c r="N2518" s="29"/>
      <c r="O2518" s="29"/>
      <c r="P2518" s="29"/>
      <c r="Q2518" s="29"/>
      <c r="R2518" s="29"/>
      <c r="S2518" s="29"/>
      <c r="T2518" s="29"/>
      <c r="U2518" s="31"/>
      <c r="V2518" s="31"/>
      <c r="W2518" s="31"/>
      <c r="X2518" s="31"/>
      <c r="Y2518" s="31"/>
    </row>
    <row r="2519" spans="1:25" x14ac:dyDescent="0.2">
      <c r="A2519" s="29"/>
      <c r="B2519" s="29"/>
      <c r="C2519" s="29"/>
      <c r="D2519" s="29"/>
      <c r="E2519" s="29"/>
      <c r="F2519" s="30"/>
      <c r="G2519" s="30"/>
      <c r="H2519" s="30"/>
      <c r="I2519" s="30"/>
      <c r="J2519" s="30"/>
      <c r="K2519" s="30"/>
      <c r="L2519" s="29"/>
      <c r="M2519" s="29"/>
      <c r="N2519" s="29"/>
      <c r="O2519" s="29"/>
      <c r="P2519" s="29"/>
      <c r="Q2519" s="29"/>
      <c r="R2519" s="29"/>
      <c r="S2519" s="29"/>
      <c r="T2519" s="29"/>
      <c r="U2519" s="31"/>
      <c r="V2519" s="31"/>
      <c r="W2519" s="31"/>
      <c r="X2519" s="31"/>
      <c r="Y2519" s="31"/>
    </row>
    <row r="2520" spans="1:25" x14ac:dyDescent="0.2">
      <c r="A2520" s="29"/>
      <c r="B2520" s="29"/>
      <c r="C2520" s="29"/>
      <c r="D2520" s="29"/>
      <c r="E2520" s="29"/>
      <c r="F2520" s="30"/>
      <c r="G2520" s="30"/>
      <c r="H2520" s="30"/>
      <c r="I2520" s="30"/>
      <c r="J2520" s="30"/>
      <c r="K2520" s="30"/>
      <c r="L2520" s="29"/>
      <c r="M2520" s="29"/>
      <c r="N2520" s="29"/>
      <c r="O2520" s="29"/>
      <c r="P2520" s="29"/>
      <c r="Q2520" s="29"/>
      <c r="R2520" s="29"/>
      <c r="S2520" s="29"/>
      <c r="T2520" s="29"/>
      <c r="U2520" s="31"/>
      <c r="V2520" s="31"/>
      <c r="W2520" s="31"/>
      <c r="X2520" s="31"/>
      <c r="Y2520" s="31"/>
    </row>
    <row r="2521" spans="1:25" x14ac:dyDescent="0.2">
      <c r="A2521" s="29"/>
      <c r="B2521" s="29"/>
      <c r="C2521" s="29"/>
      <c r="D2521" s="29"/>
      <c r="E2521" s="29"/>
      <c r="F2521" s="30"/>
      <c r="G2521" s="30"/>
      <c r="H2521" s="30"/>
      <c r="I2521" s="30"/>
      <c r="J2521" s="30"/>
      <c r="K2521" s="30"/>
      <c r="L2521" s="29"/>
      <c r="M2521" s="29"/>
      <c r="N2521" s="29"/>
      <c r="O2521" s="29"/>
      <c r="P2521" s="29"/>
      <c r="Q2521" s="29"/>
      <c r="R2521" s="29"/>
      <c r="S2521" s="29"/>
      <c r="T2521" s="29"/>
      <c r="U2521" s="31"/>
      <c r="V2521" s="31"/>
      <c r="W2521" s="31"/>
      <c r="X2521" s="31"/>
      <c r="Y2521" s="31"/>
    </row>
    <row r="2522" spans="1:25" x14ac:dyDescent="0.2">
      <c r="A2522" s="29"/>
      <c r="B2522" s="29"/>
      <c r="C2522" s="29"/>
      <c r="D2522" s="29"/>
      <c r="E2522" s="29"/>
      <c r="F2522" s="30"/>
      <c r="G2522" s="30"/>
      <c r="H2522" s="30"/>
      <c r="I2522" s="30"/>
      <c r="J2522" s="30"/>
      <c r="K2522" s="30"/>
      <c r="L2522" s="29"/>
      <c r="M2522" s="29"/>
      <c r="N2522" s="29"/>
      <c r="O2522" s="29"/>
      <c r="P2522" s="29"/>
      <c r="Q2522" s="29"/>
      <c r="R2522" s="29"/>
      <c r="S2522" s="29"/>
      <c r="T2522" s="29"/>
      <c r="U2522" s="31"/>
      <c r="V2522" s="31"/>
      <c r="W2522" s="31"/>
      <c r="X2522" s="31"/>
      <c r="Y2522" s="31"/>
    </row>
    <row r="2523" spans="1:25" x14ac:dyDescent="0.2">
      <c r="A2523" s="29"/>
      <c r="B2523" s="29"/>
      <c r="C2523" s="29"/>
      <c r="D2523" s="29"/>
      <c r="E2523" s="29"/>
      <c r="F2523" s="30"/>
      <c r="G2523" s="30"/>
      <c r="H2523" s="30"/>
      <c r="I2523" s="30"/>
      <c r="J2523" s="30"/>
      <c r="K2523" s="30"/>
      <c r="L2523" s="29"/>
      <c r="M2523" s="29"/>
      <c r="N2523" s="29"/>
      <c r="O2523" s="29"/>
      <c r="P2523" s="29"/>
      <c r="Q2523" s="29"/>
      <c r="R2523" s="29"/>
      <c r="S2523" s="29"/>
      <c r="T2523" s="29"/>
      <c r="U2523" s="31"/>
      <c r="V2523" s="31"/>
      <c r="W2523" s="31"/>
      <c r="X2523" s="31"/>
      <c r="Y2523" s="31"/>
    </row>
    <row r="2524" spans="1:25" x14ac:dyDescent="0.2">
      <c r="A2524" s="29"/>
      <c r="B2524" s="29"/>
      <c r="C2524" s="29"/>
      <c r="D2524" s="29"/>
      <c r="E2524" s="29"/>
      <c r="F2524" s="30"/>
      <c r="G2524" s="30"/>
      <c r="H2524" s="30"/>
      <c r="I2524" s="30"/>
      <c r="J2524" s="30"/>
      <c r="K2524" s="30"/>
      <c r="L2524" s="29"/>
      <c r="M2524" s="29"/>
      <c r="N2524" s="29"/>
      <c r="O2524" s="29"/>
      <c r="P2524" s="29"/>
      <c r="Q2524" s="29"/>
      <c r="R2524" s="29"/>
      <c r="S2524" s="29"/>
      <c r="T2524" s="29"/>
      <c r="U2524" s="31"/>
      <c r="V2524" s="31"/>
      <c r="W2524" s="31"/>
      <c r="X2524" s="31"/>
      <c r="Y2524" s="31"/>
    </row>
    <row r="2525" spans="1:25" x14ac:dyDescent="0.2">
      <c r="A2525" s="29"/>
      <c r="B2525" s="29"/>
      <c r="C2525" s="29"/>
      <c r="D2525" s="29"/>
      <c r="E2525" s="29"/>
      <c r="F2525" s="30"/>
      <c r="G2525" s="30"/>
      <c r="H2525" s="30"/>
      <c r="I2525" s="30"/>
      <c r="J2525" s="30"/>
      <c r="K2525" s="30"/>
      <c r="L2525" s="29"/>
      <c r="M2525" s="29"/>
      <c r="N2525" s="29"/>
      <c r="O2525" s="29"/>
      <c r="P2525" s="29"/>
      <c r="Q2525" s="29"/>
      <c r="R2525" s="29"/>
      <c r="S2525" s="29"/>
      <c r="T2525" s="29"/>
      <c r="U2525" s="31"/>
      <c r="V2525" s="31"/>
      <c r="W2525" s="31"/>
      <c r="X2525" s="31"/>
      <c r="Y2525" s="31"/>
    </row>
    <row r="2526" spans="1:25" x14ac:dyDescent="0.2">
      <c r="A2526" s="29"/>
      <c r="B2526" s="29"/>
      <c r="C2526" s="29"/>
      <c r="D2526" s="29"/>
      <c r="E2526" s="29"/>
      <c r="F2526" s="30"/>
      <c r="G2526" s="30"/>
      <c r="H2526" s="30"/>
      <c r="I2526" s="30"/>
      <c r="J2526" s="30"/>
      <c r="K2526" s="30"/>
      <c r="L2526" s="29"/>
      <c r="M2526" s="29"/>
      <c r="N2526" s="29"/>
      <c r="O2526" s="29"/>
      <c r="P2526" s="29"/>
      <c r="Q2526" s="29"/>
      <c r="R2526" s="29"/>
      <c r="S2526" s="29"/>
      <c r="T2526" s="29"/>
      <c r="U2526" s="31"/>
      <c r="V2526" s="31"/>
      <c r="W2526" s="31"/>
      <c r="X2526" s="31"/>
      <c r="Y2526" s="31"/>
    </row>
    <row r="2527" spans="1:25" x14ac:dyDescent="0.2">
      <c r="A2527" s="29"/>
      <c r="B2527" s="29"/>
      <c r="C2527" s="29"/>
      <c r="D2527" s="29"/>
      <c r="E2527" s="29"/>
      <c r="F2527" s="30"/>
      <c r="G2527" s="30"/>
      <c r="H2527" s="30"/>
      <c r="I2527" s="30"/>
      <c r="J2527" s="30"/>
      <c r="K2527" s="30"/>
      <c r="L2527" s="29"/>
      <c r="M2527" s="29"/>
      <c r="N2527" s="29"/>
      <c r="O2527" s="29"/>
      <c r="P2527" s="29"/>
      <c r="Q2527" s="29"/>
      <c r="R2527" s="29"/>
      <c r="S2527" s="29"/>
      <c r="T2527" s="29"/>
      <c r="U2527" s="31"/>
      <c r="V2527" s="31"/>
      <c r="W2527" s="31"/>
      <c r="X2527" s="31"/>
      <c r="Y2527" s="31"/>
    </row>
    <row r="2528" spans="1:25" x14ac:dyDescent="0.2">
      <c r="A2528" s="29"/>
      <c r="B2528" s="29"/>
      <c r="C2528" s="29"/>
      <c r="D2528" s="29"/>
      <c r="E2528" s="29"/>
      <c r="F2528" s="30"/>
      <c r="G2528" s="30"/>
      <c r="H2528" s="30"/>
      <c r="I2528" s="30"/>
      <c r="J2528" s="30"/>
      <c r="K2528" s="30"/>
      <c r="L2528" s="29"/>
      <c r="M2528" s="29"/>
      <c r="N2528" s="29"/>
      <c r="O2528" s="29"/>
      <c r="P2528" s="29"/>
      <c r="Q2528" s="29"/>
      <c r="R2528" s="29"/>
      <c r="S2528" s="29"/>
      <c r="T2528" s="29"/>
      <c r="U2528" s="31"/>
      <c r="V2528" s="31"/>
      <c r="W2528" s="31"/>
      <c r="X2528" s="31"/>
      <c r="Y2528" s="31"/>
    </row>
    <row r="2529" spans="1:25" x14ac:dyDescent="0.2">
      <c r="A2529" s="29"/>
      <c r="B2529" s="29"/>
      <c r="C2529" s="29"/>
      <c r="D2529" s="29"/>
      <c r="E2529" s="29"/>
      <c r="F2529" s="30"/>
      <c r="G2529" s="30"/>
      <c r="H2529" s="30"/>
      <c r="I2529" s="30"/>
      <c r="J2529" s="30"/>
      <c r="K2529" s="30"/>
      <c r="L2529" s="29"/>
      <c r="M2529" s="29"/>
      <c r="N2529" s="29"/>
      <c r="O2529" s="29"/>
      <c r="P2529" s="29"/>
      <c r="Q2529" s="29"/>
      <c r="R2529" s="29"/>
      <c r="S2529" s="29"/>
      <c r="T2529" s="29"/>
      <c r="U2529" s="31"/>
      <c r="V2529" s="31"/>
      <c r="W2529" s="31"/>
      <c r="X2529" s="31"/>
      <c r="Y2529" s="31"/>
    </row>
    <row r="2530" spans="1:25" x14ac:dyDescent="0.2">
      <c r="A2530" s="29"/>
      <c r="B2530" s="29"/>
      <c r="C2530" s="29"/>
      <c r="D2530" s="29"/>
      <c r="E2530" s="29"/>
      <c r="F2530" s="30"/>
      <c r="G2530" s="30"/>
      <c r="H2530" s="30"/>
      <c r="I2530" s="30"/>
      <c r="J2530" s="30"/>
      <c r="K2530" s="30"/>
      <c r="L2530" s="29"/>
      <c r="M2530" s="29"/>
      <c r="N2530" s="29"/>
      <c r="O2530" s="29"/>
      <c r="P2530" s="29"/>
      <c r="Q2530" s="29"/>
      <c r="R2530" s="29"/>
      <c r="S2530" s="29"/>
      <c r="T2530" s="29"/>
      <c r="U2530" s="31"/>
      <c r="V2530" s="31"/>
      <c r="W2530" s="31"/>
      <c r="X2530" s="31"/>
      <c r="Y2530" s="31"/>
    </row>
    <row r="2531" spans="1:25" x14ac:dyDescent="0.2">
      <c r="A2531" s="29"/>
      <c r="B2531" s="29"/>
      <c r="C2531" s="29"/>
      <c r="D2531" s="29"/>
      <c r="E2531" s="29"/>
      <c r="F2531" s="30"/>
      <c r="G2531" s="30"/>
      <c r="H2531" s="30"/>
      <c r="I2531" s="30"/>
      <c r="J2531" s="30"/>
      <c r="K2531" s="30"/>
      <c r="L2531" s="29"/>
      <c r="M2531" s="29"/>
      <c r="N2531" s="29"/>
      <c r="O2531" s="29"/>
      <c r="P2531" s="29"/>
      <c r="Q2531" s="29"/>
      <c r="R2531" s="29"/>
      <c r="S2531" s="29"/>
      <c r="T2531" s="29"/>
      <c r="U2531" s="31"/>
      <c r="V2531" s="31"/>
      <c r="W2531" s="31"/>
      <c r="X2531" s="31"/>
      <c r="Y2531" s="31"/>
    </row>
    <row r="2532" spans="1:25" x14ac:dyDescent="0.2">
      <c r="A2532" s="29"/>
      <c r="B2532" s="29"/>
      <c r="C2532" s="29"/>
      <c r="D2532" s="29"/>
      <c r="E2532" s="29"/>
      <c r="F2532" s="30"/>
      <c r="G2532" s="30"/>
      <c r="H2532" s="30"/>
      <c r="I2532" s="30"/>
      <c r="J2532" s="30"/>
      <c r="K2532" s="30"/>
      <c r="L2532" s="29"/>
      <c r="M2532" s="29"/>
      <c r="N2532" s="29"/>
      <c r="O2532" s="29"/>
      <c r="P2532" s="29"/>
      <c r="Q2532" s="29"/>
      <c r="R2532" s="29"/>
      <c r="S2532" s="29"/>
      <c r="T2532" s="29"/>
      <c r="U2532" s="31"/>
      <c r="V2532" s="31"/>
      <c r="W2532" s="31"/>
      <c r="X2532" s="31"/>
      <c r="Y2532" s="31"/>
    </row>
    <row r="2533" spans="1:25" x14ac:dyDescent="0.2">
      <c r="A2533" s="29"/>
      <c r="B2533" s="29"/>
      <c r="C2533" s="29"/>
      <c r="D2533" s="29"/>
      <c r="E2533" s="29"/>
      <c r="F2533" s="30"/>
      <c r="G2533" s="30"/>
      <c r="H2533" s="30"/>
      <c r="I2533" s="30"/>
      <c r="J2533" s="30"/>
      <c r="K2533" s="30"/>
      <c r="L2533" s="29"/>
      <c r="M2533" s="29"/>
      <c r="N2533" s="29"/>
      <c r="O2533" s="29"/>
      <c r="P2533" s="29"/>
      <c r="Q2533" s="29"/>
      <c r="R2533" s="29"/>
      <c r="S2533" s="29"/>
      <c r="T2533" s="29"/>
      <c r="U2533" s="31"/>
      <c r="V2533" s="31"/>
      <c r="W2533" s="31"/>
      <c r="X2533" s="31"/>
      <c r="Y2533" s="31"/>
    </row>
    <row r="2534" spans="1:25" x14ac:dyDescent="0.2">
      <c r="A2534" s="29"/>
      <c r="B2534" s="29"/>
      <c r="C2534" s="29"/>
      <c r="D2534" s="29"/>
      <c r="E2534" s="29"/>
      <c r="F2534" s="30"/>
      <c r="G2534" s="30"/>
      <c r="H2534" s="30"/>
      <c r="I2534" s="30"/>
      <c r="J2534" s="30"/>
      <c r="K2534" s="30"/>
      <c r="L2534" s="29"/>
      <c r="M2534" s="29"/>
      <c r="N2534" s="29"/>
      <c r="O2534" s="29"/>
      <c r="P2534" s="29"/>
      <c r="Q2534" s="29"/>
      <c r="R2534" s="29"/>
      <c r="S2534" s="29"/>
      <c r="T2534" s="29"/>
      <c r="U2534" s="31"/>
      <c r="V2534" s="31"/>
      <c r="W2534" s="31"/>
      <c r="X2534" s="31"/>
      <c r="Y2534" s="31"/>
    </row>
    <row r="2535" spans="1:25" x14ac:dyDescent="0.2">
      <c r="A2535" s="29"/>
      <c r="B2535" s="29"/>
      <c r="C2535" s="29"/>
      <c r="D2535" s="29"/>
      <c r="E2535" s="29"/>
      <c r="F2535" s="30"/>
      <c r="G2535" s="30"/>
      <c r="H2535" s="30"/>
      <c r="I2535" s="30"/>
      <c r="J2535" s="30"/>
      <c r="K2535" s="30"/>
      <c r="L2535" s="29"/>
      <c r="M2535" s="29"/>
      <c r="N2535" s="29"/>
      <c r="O2535" s="29"/>
      <c r="P2535" s="29"/>
      <c r="Q2535" s="29"/>
      <c r="R2535" s="29"/>
      <c r="S2535" s="29"/>
      <c r="T2535" s="29"/>
      <c r="U2535" s="31"/>
      <c r="V2535" s="31"/>
      <c r="W2535" s="31"/>
      <c r="X2535" s="31"/>
      <c r="Y2535" s="31"/>
    </row>
    <row r="2536" spans="1:25" x14ac:dyDescent="0.2">
      <c r="A2536" s="29"/>
      <c r="B2536" s="29"/>
      <c r="C2536" s="29"/>
      <c r="D2536" s="29"/>
      <c r="E2536" s="29"/>
      <c r="F2536" s="30"/>
      <c r="G2536" s="30"/>
      <c r="H2536" s="30"/>
      <c r="I2536" s="30"/>
      <c r="J2536" s="30"/>
      <c r="K2536" s="30"/>
      <c r="L2536" s="29"/>
      <c r="M2536" s="29"/>
      <c r="N2536" s="29"/>
      <c r="O2536" s="29"/>
      <c r="P2536" s="29"/>
      <c r="Q2536" s="29"/>
      <c r="R2536" s="29"/>
      <c r="S2536" s="29"/>
      <c r="T2536" s="29"/>
      <c r="U2536" s="31"/>
      <c r="V2536" s="31"/>
      <c r="W2536" s="31"/>
      <c r="X2536" s="31"/>
      <c r="Y2536" s="31"/>
    </row>
    <row r="2537" spans="1:25" x14ac:dyDescent="0.2">
      <c r="A2537" s="29"/>
      <c r="B2537" s="29"/>
      <c r="C2537" s="29"/>
      <c r="D2537" s="29"/>
      <c r="E2537" s="29"/>
      <c r="F2537" s="30"/>
      <c r="G2537" s="30"/>
      <c r="H2537" s="30"/>
      <c r="I2537" s="30"/>
      <c r="J2537" s="30"/>
      <c r="K2537" s="30"/>
      <c r="L2537" s="29"/>
      <c r="M2537" s="29"/>
      <c r="N2537" s="29"/>
      <c r="O2537" s="29"/>
      <c r="P2537" s="29"/>
      <c r="Q2537" s="29"/>
      <c r="R2537" s="29"/>
      <c r="S2537" s="29"/>
      <c r="T2537" s="29"/>
      <c r="U2537" s="31"/>
      <c r="V2537" s="31"/>
      <c r="W2537" s="31"/>
      <c r="X2537" s="31"/>
      <c r="Y2537" s="31"/>
    </row>
    <row r="2538" spans="1:25" x14ac:dyDescent="0.2">
      <c r="A2538" s="29"/>
      <c r="B2538" s="29"/>
      <c r="C2538" s="29"/>
      <c r="D2538" s="29"/>
      <c r="E2538" s="29"/>
      <c r="F2538" s="30"/>
      <c r="G2538" s="30"/>
      <c r="H2538" s="30"/>
      <c r="I2538" s="30"/>
      <c r="J2538" s="30"/>
      <c r="K2538" s="30"/>
      <c r="L2538" s="29"/>
      <c r="M2538" s="29"/>
      <c r="N2538" s="29"/>
      <c r="O2538" s="29"/>
      <c r="P2538" s="29"/>
      <c r="Q2538" s="29"/>
      <c r="R2538" s="29"/>
      <c r="S2538" s="29"/>
      <c r="T2538" s="29"/>
      <c r="U2538" s="31"/>
      <c r="V2538" s="31"/>
      <c r="W2538" s="31"/>
      <c r="X2538" s="31"/>
      <c r="Y2538" s="31"/>
    </row>
    <row r="2539" spans="1:25" x14ac:dyDescent="0.2">
      <c r="A2539" s="29"/>
      <c r="B2539" s="29"/>
      <c r="C2539" s="29"/>
      <c r="D2539" s="29"/>
      <c r="E2539" s="29"/>
      <c r="F2539" s="30"/>
      <c r="G2539" s="30"/>
      <c r="H2539" s="30"/>
      <c r="I2539" s="30"/>
      <c r="J2539" s="30"/>
      <c r="K2539" s="30"/>
      <c r="L2539" s="29"/>
      <c r="M2539" s="29"/>
      <c r="N2539" s="29"/>
      <c r="O2539" s="29"/>
      <c r="P2539" s="29"/>
      <c r="Q2539" s="29"/>
      <c r="R2539" s="29"/>
      <c r="S2539" s="29"/>
      <c r="T2539" s="29"/>
      <c r="U2539" s="31"/>
      <c r="V2539" s="31"/>
      <c r="W2539" s="31"/>
      <c r="X2539" s="31"/>
      <c r="Y2539" s="31"/>
    </row>
    <row r="2540" spans="1:25" x14ac:dyDescent="0.2">
      <c r="A2540" s="29"/>
      <c r="B2540" s="29"/>
      <c r="C2540" s="29"/>
      <c r="D2540" s="29"/>
      <c r="E2540" s="29"/>
      <c r="F2540" s="30"/>
      <c r="G2540" s="30"/>
      <c r="H2540" s="30"/>
      <c r="I2540" s="30"/>
      <c r="J2540" s="30"/>
      <c r="K2540" s="30"/>
      <c r="L2540" s="29"/>
      <c r="M2540" s="29"/>
      <c r="N2540" s="29"/>
      <c r="O2540" s="29"/>
      <c r="P2540" s="29"/>
      <c r="Q2540" s="29"/>
      <c r="R2540" s="29"/>
      <c r="S2540" s="29"/>
      <c r="T2540" s="29"/>
      <c r="U2540" s="31"/>
      <c r="V2540" s="31"/>
      <c r="W2540" s="31"/>
      <c r="X2540" s="31"/>
      <c r="Y2540" s="31"/>
    </row>
    <row r="2541" spans="1:25" x14ac:dyDescent="0.2">
      <c r="A2541" s="29"/>
      <c r="B2541" s="29"/>
      <c r="C2541" s="29"/>
      <c r="D2541" s="29"/>
      <c r="E2541" s="29"/>
      <c r="F2541" s="30"/>
      <c r="G2541" s="30"/>
      <c r="H2541" s="30"/>
      <c r="I2541" s="30"/>
      <c r="J2541" s="30"/>
      <c r="K2541" s="30"/>
      <c r="L2541" s="29"/>
      <c r="M2541" s="29"/>
      <c r="N2541" s="29"/>
      <c r="O2541" s="29"/>
      <c r="P2541" s="29"/>
      <c r="Q2541" s="29"/>
      <c r="R2541" s="29"/>
      <c r="S2541" s="29"/>
      <c r="T2541" s="29"/>
      <c r="U2541" s="31"/>
      <c r="V2541" s="31"/>
      <c r="W2541" s="31"/>
      <c r="X2541" s="31"/>
      <c r="Y2541" s="31"/>
    </row>
    <row r="2542" spans="1:25" x14ac:dyDescent="0.2">
      <c r="A2542" s="29"/>
      <c r="B2542" s="29"/>
      <c r="C2542" s="29"/>
      <c r="D2542" s="29"/>
      <c r="E2542" s="29"/>
      <c r="F2542" s="30"/>
      <c r="G2542" s="30"/>
      <c r="H2542" s="30"/>
      <c r="I2542" s="30"/>
      <c r="J2542" s="30"/>
      <c r="K2542" s="30"/>
      <c r="L2542" s="29"/>
      <c r="M2542" s="29"/>
      <c r="N2542" s="29"/>
      <c r="O2542" s="29"/>
      <c r="P2542" s="29"/>
      <c r="Q2542" s="29"/>
      <c r="R2542" s="29"/>
      <c r="S2542" s="29"/>
      <c r="T2542" s="29"/>
      <c r="U2542" s="31"/>
      <c r="V2542" s="31"/>
      <c r="W2542" s="31"/>
      <c r="X2542" s="31"/>
      <c r="Y2542" s="31"/>
    </row>
    <row r="2543" spans="1:25" x14ac:dyDescent="0.2">
      <c r="A2543" s="29"/>
      <c r="B2543" s="29"/>
      <c r="C2543" s="29"/>
      <c r="D2543" s="29"/>
      <c r="E2543" s="29"/>
      <c r="F2543" s="30"/>
      <c r="G2543" s="30"/>
      <c r="H2543" s="30"/>
      <c r="I2543" s="30"/>
      <c r="J2543" s="30"/>
      <c r="K2543" s="30"/>
      <c r="L2543" s="29"/>
      <c r="M2543" s="29"/>
      <c r="N2543" s="29"/>
      <c r="O2543" s="29"/>
      <c r="P2543" s="29"/>
      <c r="Q2543" s="29"/>
      <c r="R2543" s="29"/>
      <c r="S2543" s="29"/>
      <c r="T2543" s="29"/>
      <c r="U2543" s="31"/>
      <c r="V2543" s="31"/>
      <c r="W2543" s="31"/>
      <c r="X2543" s="31"/>
      <c r="Y2543" s="31"/>
    </row>
    <row r="2544" spans="1:25" x14ac:dyDescent="0.2">
      <c r="A2544" s="29"/>
      <c r="B2544" s="29"/>
      <c r="C2544" s="29"/>
      <c r="D2544" s="29"/>
      <c r="E2544" s="29"/>
      <c r="F2544" s="30"/>
      <c r="G2544" s="30"/>
      <c r="H2544" s="30"/>
      <c r="I2544" s="30"/>
      <c r="J2544" s="30"/>
      <c r="K2544" s="30"/>
      <c r="L2544" s="29"/>
      <c r="M2544" s="29"/>
      <c r="N2544" s="29"/>
      <c r="O2544" s="29"/>
      <c r="P2544" s="29"/>
      <c r="Q2544" s="29"/>
      <c r="R2544" s="29"/>
      <c r="S2544" s="29"/>
      <c r="T2544" s="29"/>
      <c r="U2544" s="31"/>
      <c r="V2544" s="31"/>
      <c r="W2544" s="31"/>
      <c r="X2544" s="31"/>
      <c r="Y2544" s="31"/>
    </row>
    <row r="2545" spans="1:25" x14ac:dyDescent="0.2">
      <c r="A2545" s="29"/>
      <c r="B2545" s="29"/>
      <c r="C2545" s="29"/>
      <c r="D2545" s="29"/>
      <c r="E2545" s="29"/>
      <c r="F2545" s="30"/>
      <c r="G2545" s="30"/>
      <c r="H2545" s="30"/>
      <c r="I2545" s="30"/>
      <c r="J2545" s="30"/>
      <c r="K2545" s="30"/>
      <c r="L2545" s="29"/>
      <c r="M2545" s="29"/>
      <c r="N2545" s="29"/>
      <c r="O2545" s="29"/>
      <c r="P2545" s="29"/>
      <c r="Q2545" s="29"/>
      <c r="R2545" s="29"/>
      <c r="S2545" s="29"/>
      <c r="T2545" s="29"/>
      <c r="U2545" s="31"/>
      <c r="V2545" s="31"/>
      <c r="W2545" s="31"/>
      <c r="X2545" s="31"/>
      <c r="Y2545" s="31"/>
    </row>
    <row r="2546" spans="1:25" x14ac:dyDescent="0.2">
      <c r="A2546" s="29"/>
      <c r="B2546" s="29"/>
      <c r="C2546" s="29"/>
      <c r="D2546" s="29"/>
      <c r="E2546" s="29"/>
      <c r="F2546" s="30"/>
      <c r="G2546" s="30"/>
      <c r="H2546" s="30"/>
      <c r="I2546" s="30"/>
      <c r="J2546" s="30"/>
      <c r="K2546" s="30"/>
      <c r="L2546" s="29"/>
      <c r="M2546" s="29"/>
      <c r="N2546" s="29"/>
      <c r="O2546" s="29"/>
      <c r="P2546" s="29"/>
      <c r="Q2546" s="29"/>
      <c r="R2546" s="29"/>
      <c r="S2546" s="29"/>
      <c r="T2546" s="29"/>
      <c r="U2546" s="31"/>
      <c r="V2546" s="31"/>
      <c r="W2546" s="31"/>
      <c r="X2546" s="31"/>
      <c r="Y2546" s="31"/>
    </row>
    <row r="2547" spans="1:25" x14ac:dyDescent="0.2">
      <c r="A2547" s="29"/>
      <c r="B2547" s="29"/>
      <c r="C2547" s="29"/>
      <c r="D2547" s="29"/>
      <c r="E2547" s="29"/>
      <c r="F2547" s="30"/>
      <c r="G2547" s="30"/>
      <c r="H2547" s="30"/>
      <c r="I2547" s="30"/>
      <c r="J2547" s="30"/>
      <c r="K2547" s="30"/>
      <c r="L2547" s="29"/>
      <c r="M2547" s="29"/>
      <c r="N2547" s="29"/>
      <c r="O2547" s="29"/>
      <c r="P2547" s="29"/>
      <c r="Q2547" s="29"/>
      <c r="R2547" s="29"/>
      <c r="S2547" s="29"/>
      <c r="T2547" s="29"/>
      <c r="U2547" s="31"/>
      <c r="V2547" s="31"/>
      <c r="W2547" s="31"/>
      <c r="X2547" s="31"/>
      <c r="Y2547" s="31"/>
    </row>
    <row r="2548" spans="1:25" x14ac:dyDescent="0.2">
      <c r="A2548" s="29"/>
      <c r="B2548" s="29"/>
      <c r="C2548" s="29"/>
      <c r="D2548" s="29"/>
      <c r="E2548" s="29"/>
      <c r="F2548" s="30"/>
      <c r="G2548" s="30"/>
      <c r="H2548" s="30"/>
      <c r="I2548" s="30"/>
      <c r="J2548" s="30"/>
      <c r="K2548" s="30"/>
      <c r="L2548" s="29"/>
      <c r="M2548" s="29"/>
      <c r="N2548" s="29"/>
      <c r="O2548" s="29"/>
      <c r="P2548" s="29"/>
      <c r="Q2548" s="29"/>
      <c r="R2548" s="29"/>
      <c r="S2548" s="29"/>
      <c r="T2548" s="29"/>
      <c r="U2548" s="31"/>
      <c r="V2548" s="31"/>
      <c r="W2548" s="31"/>
      <c r="X2548" s="31"/>
      <c r="Y2548" s="31"/>
    </row>
    <row r="2549" spans="1:25" x14ac:dyDescent="0.2">
      <c r="A2549" s="29"/>
      <c r="B2549" s="29"/>
      <c r="C2549" s="29"/>
      <c r="D2549" s="29"/>
      <c r="E2549" s="29"/>
      <c r="F2549" s="30"/>
      <c r="G2549" s="30"/>
      <c r="H2549" s="30"/>
      <c r="I2549" s="30"/>
      <c r="J2549" s="30"/>
      <c r="K2549" s="30"/>
      <c r="L2549" s="29"/>
      <c r="M2549" s="29"/>
      <c r="N2549" s="29"/>
      <c r="O2549" s="29"/>
      <c r="P2549" s="29"/>
      <c r="Q2549" s="29"/>
      <c r="R2549" s="29"/>
      <c r="S2549" s="29"/>
      <c r="T2549" s="29"/>
      <c r="U2549" s="31"/>
      <c r="V2549" s="31"/>
      <c r="W2549" s="31"/>
      <c r="X2549" s="31"/>
      <c r="Y2549" s="31"/>
    </row>
    <row r="2550" spans="1:25" x14ac:dyDescent="0.2">
      <c r="A2550" s="29"/>
      <c r="B2550" s="29"/>
      <c r="C2550" s="29"/>
      <c r="D2550" s="29"/>
      <c r="E2550" s="29"/>
      <c r="F2550" s="30"/>
      <c r="G2550" s="30"/>
      <c r="H2550" s="30"/>
      <c r="I2550" s="30"/>
      <c r="J2550" s="30"/>
      <c r="K2550" s="30"/>
      <c r="L2550" s="29"/>
      <c r="M2550" s="29"/>
      <c r="N2550" s="29"/>
      <c r="O2550" s="29"/>
      <c r="P2550" s="29"/>
      <c r="Q2550" s="29"/>
      <c r="R2550" s="29"/>
      <c r="S2550" s="29"/>
      <c r="T2550" s="29"/>
      <c r="U2550" s="31"/>
      <c r="V2550" s="31"/>
      <c r="W2550" s="31"/>
      <c r="X2550" s="31"/>
      <c r="Y2550" s="31"/>
    </row>
    <row r="2551" spans="1:25" x14ac:dyDescent="0.2">
      <c r="A2551" s="29"/>
      <c r="B2551" s="29"/>
      <c r="C2551" s="29"/>
      <c r="D2551" s="29"/>
      <c r="E2551" s="29"/>
      <c r="F2551" s="30"/>
      <c r="G2551" s="30"/>
      <c r="H2551" s="30"/>
      <c r="I2551" s="30"/>
      <c r="J2551" s="30"/>
      <c r="K2551" s="30"/>
      <c r="L2551" s="29"/>
      <c r="M2551" s="29"/>
      <c r="N2551" s="29"/>
      <c r="O2551" s="29"/>
      <c r="P2551" s="29"/>
      <c r="Q2551" s="29"/>
      <c r="R2551" s="29"/>
      <c r="S2551" s="29"/>
      <c r="T2551" s="29"/>
      <c r="U2551" s="31"/>
      <c r="V2551" s="31"/>
      <c r="W2551" s="31"/>
      <c r="X2551" s="31"/>
      <c r="Y2551" s="31"/>
    </row>
    <row r="2552" spans="1:25" x14ac:dyDescent="0.2">
      <c r="A2552" s="29"/>
      <c r="B2552" s="29"/>
      <c r="C2552" s="29"/>
      <c r="D2552" s="29"/>
      <c r="E2552" s="29"/>
      <c r="F2552" s="30"/>
      <c r="G2552" s="30"/>
      <c r="H2552" s="30"/>
      <c r="I2552" s="30"/>
      <c r="J2552" s="30"/>
      <c r="K2552" s="30"/>
      <c r="L2552" s="29"/>
      <c r="M2552" s="29"/>
      <c r="N2552" s="29"/>
      <c r="O2552" s="29"/>
      <c r="P2552" s="29"/>
      <c r="Q2552" s="29"/>
      <c r="R2552" s="29"/>
      <c r="S2552" s="29"/>
      <c r="T2552" s="29"/>
      <c r="U2552" s="31"/>
      <c r="V2552" s="31"/>
      <c r="W2552" s="31"/>
      <c r="X2552" s="31"/>
      <c r="Y2552" s="31"/>
    </row>
    <row r="2553" spans="1:25" x14ac:dyDescent="0.2">
      <c r="A2553" s="29"/>
      <c r="B2553" s="29"/>
      <c r="C2553" s="29"/>
      <c r="D2553" s="29"/>
      <c r="E2553" s="29"/>
      <c r="F2553" s="30"/>
      <c r="G2553" s="30"/>
      <c r="H2553" s="30"/>
      <c r="I2553" s="30"/>
      <c r="J2553" s="30"/>
      <c r="K2553" s="30"/>
      <c r="L2553" s="29"/>
      <c r="M2553" s="29"/>
      <c r="N2553" s="29"/>
      <c r="O2553" s="29"/>
      <c r="P2553" s="29"/>
      <c r="Q2553" s="29"/>
      <c r="R2553" s="29"/>
      <c r="S2553" s="29"/>
      <c r="T2553" s="29"/>
      <c r="U2553" s="31"/>
      <c r="V2553" s="31"/>
      <c r="W2553" s="31"/>
      <c r="X2553" s="31"/>
      <c r="Y2553" s="31"/>
    </row>
    <row r="2554" spans="1:25" x14ac:dyDescent="0.2">
      <c r="A2554" s="29"/>
      <c r="B2554" s="29"/>
      <c r="C2554" s="29"/>
      <c r="D2554" s="29"/>
      <c r="E2554" s="29"/>
      <c r="F2554" s="30"/>
      <c r="G2554" s="30"/>
      <c r="H2554" s="30"/>
      <c r="I2554" s="30"/>
      <c r="J2554" s="30"/>
      <c r="K2554" s="30"/>
      <c r="L2554" s="29"/>
      <c r="M2554" s="29"/>
      <c r="N2554" s="29"/>
      <c r="O2554" s="29"/>
      <c r="P2554" s="29"/>
      <c r="Q2554" s="29"/>
      <c r="R2554" s="29"/>
      <c r="S2554" s="29"/>
      <c r="T2554" s="29"/>
      <c r="U2554" s="31"/>
      <c r="V2554" s="31"/>
      <c r="W2554" s="31"/>
      <c r="X2554" s="31"/>
      <c r="Y2554" s="31"/>
    </row>
    <row r="2555" spans="1:25" x14ac:dyDescent="0.2">
      <c r="A2555" s="29"/>
      <c r="B2555" s="29"/>
      <c r="C2555" s="29"/>
      <c r="D2555" s="29"/>
      <c r="E2555" s="29"/>
      <c r="F2555" s="30"/>
      <c r="G2555" s="30"/>
      <c r="H2555" s="30"/>
      <c r="I2555" s="30"/>
      <c r="J2555" s="30"/>
      <c r="K2555" s="30"/>
      <c r="L2555" s="29"/>
      <c r="M2555" s="29"/>
      <c r="N2555" s="29"/>
      <c r="O2555" s="29"/>
      <c r="P2555" s="29"/>
      <c r="Q2555" s="29"/>
      <c r="R2555" s="29"/>
      <c r="S2555" s="29"/>
      <c r="T2555" s="29"/>
      <c r="U2555" s="31"/>
      <c r="V2555" s="31"/>
      <c r="W2555" s="31"/>
      <c r="X2555" s="31"/>
      <c r="Y2555" s="31"/>
    </row>
    <row r="2556" spans="1:25" x14ac:dyDescent="0.2">
      <c r="A2556" s="29"/>
      <c r="B2556" s="29"/>
      <c r="C2556" s="29"/>
      <c r="D2556" s="29"/>
      <c r="E2556" s="29"/>
      <c r="F2556" s="30"/>
      <c r="G2556" s="30"/>
      <c r="H2556" s="30"/>
      <c r="I2556" s="30"/>
      <c r="J2556" s="30"/>
      <c r="K2556" s="30"/>
      <c r="L2556" s="29"/>
      <c r="M2556" s="29"/>
      <c r="N2556" s="29"/>
      <c r="O2556" s="29"/>
      <c r="P2556" s="29"/>
      <c r="Q2556" s="29"/>
      <c r="R2556" s="29"/>
      <c r="S2556" s="29"/>
      <c r="T2556" s="29"/>
      <c r="U2556" s="31"/>
      <c r="V2556" s="31"/>
      <c r="W2556" s="31"/>
      <c r="X2556" s="31"/>
      <c r="Y2556" s="31"/>
    </row>
    <row r="2557" spans="1:25" x14ac:dyDescent="0.2">
      <c r="A2557" s="29"/>
      <c r="B2557" s="29"/>
      <c r="C2557" s="29"/>
      <c r="D2557" s="29"/>
      <c r="E2557" s="29"/>
      <c r="F2557" s="30"/>
      <c r="G2557" s="30"/>
      <c r="H2557" s="30"/>
      <c r="I2557" s="30"/>
      <c r="J2557" s="30"/>
      <c r="K2557" s="30"/>
      <c r="L2557" s="29"/>
      <c r="M2557" s="29"/>
      <c r="N2557" s="29"/>
      <c r="O2557" s="29"/>
      <c r="P2557" s="29"/>
      <c r="Q2557" s="29"/>
      <c r="R2557" s="29"/>
      <c r="S2557" s="29"/>
      <c r="T2557" s="29"/>
      <c r="U2557" s="31"/>
      <c r="V2557" s="31"/>
      <c r="W2557" s="31"/>
      <c r="X2557" s="31"/>
      <c r="Y2557" s="31"/>
    </row>
    <row r="2558" spans="1:25" x14ac:dyDescent="0.2">
      <c r="A2558" s="29"/>
      <c r="B2558" s="29"/>
      <c r="C2558" s="29"/>
      <c r="D2558" s="29"/>
      <c r="E2558" s="29"/>
      <c r="F2558" s="30"/>
      <c r="G2558" s="30"/>
      <c r="H2558" s="30"/>
      <c r="I2558" s="30"/>
      <c r="J2558" s="30"/>
      <c r="K2558" s="30"/>
      <c r="L2558" s="29"/>
      <c r="M2558" s="29"/>
      <c r="N2558" s="29"/>
      <c r="O2558" s="29"/>
      <c r="P2558" s="29"/>
      <c r="Q2558" s="29"/>
      <c r="R2558" s="29"/>
      <c r="S2558" s="29"/>
      <c r="T2558" s="29"/>
      <c r="U2558" s="31"/>
      <c r="V2558" s="31"/>
      <c r="W2558" s="31"/>
      <c r="X2558" s="31"/>
      <c r="Y2558" s="31"/>
    </row>
    <row r="2559" spans="1:25" x14ac:dyDescent="0.2">
      <c r="A2559" s="29"/>
      <c r="B2559" s="29"/>
      <c r="C2559" s="29"/>
      <c r="D2559" s="29"/>
      <c r="E2559" s="29"/>
      <c r="F2559" s="30"/>
      <c r="G2559" s="30"/>
      <c r="H2559" s="30"/>
      <c r="I2559" s="30"/>
      <c r="J2559" s="30"/>
      <c r="K2559" s="30"/>
      <c r="L2559" s="29"/>
      <c r="M2559" s="29"/>
      <c r="N2559" s="29"/>
      <c r="O2559" s="29"/>
      <c r="P2559" s="29"/>
      <c r="Q2559" s="29"/>
      <c r="R2559" s="29"/>
      <c r="S2559" s="29"/>
      <c r="T2559" s="29"/>
      <c r="U2559" s="31"/>
      <c r="V2559" s="31"/>
      <c r="W2559" s="31"/>
      <c r="X2559" s="31"/>
      <c r="Y2559" s="31"/>
    </row>
    <row r="2560" spans="1:25" x14ac:dyDescent="0.2">
      <c r="A2560" s="29"/>
      <c r="B2560" s="29"/>
      <c r="C2560" s="29"/>
      <c r="D2560" s="29"/>
      <c r="E2560" s="29"/>
      <c r="F2560" s="30"/>
      <c r="G2560" s="30"/>
      <c r="H2560" s="30"/>
      <c r="I2560" s="30"/>
      <c r="J2560" s="30"/>
      <c r="K2560" s="30"/>
      <c r="L2560" s="29"/>
      <c r="M2560" s="29"/>
      <c r="N2560" s="29"/>
      <c r="O2560" s="29"/>
      <c r="P2560" s="29"/>
      <c r="Q2560" s="29"/>
      <c r="R2560" s="29"/>
      <c r="S2560" s="29"/>
      <c r="T2560" s="29"/>
      <c r="U2560" s="31"/>
      <c r="V2560" s="31"/>
      <c r="W2560" s="31"/>
      <c r="X2560" s="31"/>
      <c r="Y2560" s="31"/>
    </row>
    <row r="2561" spans="1:25" x14ac:dyDescent="0.2">
      <c r="A2561" s="29"/>
      <c r="B2561" s="29"/>
      <c r="C2561" s="29"/>
      <c r="D2561" s="29"/>
      <c r="E2561" s="29"/>
      <c r="F2561" s="30"/>
      <c r="G2561" s="30"/>
      <c r="H2561" s="30"/>
      <c r="I2561" s="30"/>
      <c r="J2561" s="30"/>
      <c r="K2561" s="30"/>
      <c r="L2561" s="29"/>
      <c r="M2561" s="29"/>
      <c r="N2561" s="29"/>
      <c r="O2561" s="29"/>
      <c r="P2561" s="29"/>
      <c r="Q2561" s="29"/>
      <c r="R2561" s="29"/>
      <c r="S2561" s="29"/>
      <c r="T2561" s="29"/>
      <c r="U2561" s="31"/>
      <c r="V2561" s="31"/>
      <c r="W2561" s="31"/>
      <c r="X2561" s="31"/>
      <c r="Y2561" s="31"/>
    </row>
    <row r="2562" spans="1:25" x14ac:dyDescent="0.2">
      <c r="A2562" s="29"/>
      <c r="B2562" s="29"/>
      <c r="C2562" s="29"/>
      <c r="D2562" s="29"/>
      <c r="E2562" s="29"/>
      <c r="F2562" s="30"/>
      <c r="G2562" s="30"/>
      <c r="H2562" s="30"/>
      <c r="I2562" s="30"/>
      <c r="J2562" s="30"/>
      <c r="K2562" s="30"/>
      <c r="L2562" s="29"/>
      <c r="M2562" s="29"/>
      <c r="N2562" s="29"/>
      <c r="O2562" s="29"/>
      <c r="P2562" s="29"/>
      <c r="Q2562" s="29"/>
      <c r="R2562" s="29"/>
      <c r="S2562" s="29"/>
      <c r="T2562" s="29"/>
      <c r="U2562" s="31"/>
      <c r="V2562" s="31"/>
      <c r="W2562" s="31"/>
      <c r="X2562" s="31"/>
      <c r="Y2562" s="31"/>
    </row>
    <row r="2563" spans="1:25" x14ac:dyDescent="0.2">
      <c r="A2563" s="29"/>
      <c r="B2563" s="29"/>
      <c r="C2563" s="29"/>
      <c r="D2563" s="29"/>
      <c r="E2563" s="29"/>
      <c r="F2563" s="30"/>
      <c r="G2563" s="30"/>
      <c r="H2563" s="30"/>
      <c r="I2563" s="30"/>
      <c r="J2563" s="30"/>
      <c r="K2563" s="30"/>
      <c r="L2563" s="29"/>
      <c r="M2563" s="29"/>
      <c r="N2563" s="29"/>
      <c r="O2563" s="29"/>
      <c r="P2563" s="29"/>
      <c r="Q2563" s="29"/>
      <c r="R2563" s="29"/>
      <c r="S2563" s="29"/>
      <c r="T2563" s="29"/>
      <c r="U2563" s="31"/>
      <c r="V2563" s="31"/>
      <c r="W2563" s="31"/>
      <c r="X2563" s="31"/>
      <c r="Y2563" s="31"/>
    </row>
    <row r="2564" spans="1:25" x14ac:dyDescent="0.2">
      <c r="A2564" s="29"/>
      <c r="B2564" s="29"/>
      <c r="C2564" s="29"/>
      <c r="D2564" s="29"/>
      <c r="E2564" s="29"/>
      <c r="F2564" s="30"/>
      <c r="G2564" s="30"/>
      <c r="H2564" s="30"/>
      <c r="I2564" s="30"/>
      <c r="J2564" s="30"/>
      <c r="K2564" s="30"/>
      <c r="L2564" s="29"/>
      <c r="M2564" s="29"/>
      <c r="N2564" s="29"/>
      <c r="O2564" s="29"/>
      <c r="P2564" s="29"/>
      <c r="Q2564" s="29"/>
      <c r="R2564" s="29"/>
      <c r="S2564" s="29"/>
      <c r="T2564" s="29"/>
      <c r="U2564" s="31"/>
      <c r="V2564" s="31"/>
      <c r="W2564" s="31"/>
      <c r="X2564" s="31"/>
      <c r="Y2564" s="31"/>
    </row>
    <row r="2565" spans="1:25" x14ac:dyDescent="0.2">
      <c r="A2565" s="29"/>
      <c r="B2565" s="29"/>
      <c r="C2565" s="29"/>
      <c r="D2565" s="29"/>
      <c r="E2565" s="29"/>
      <c r="F2565" s="30"/>
      <c r="G2565" s="30"/>
      <c r="H2565" s="30"/>
      <c r="I2565" s="30"/>
      <c r="J2565" s="30"/>
      <c r="K2565" s="30"/>
      <c r="L2565" s="29"/>
      <c r="M2565" s="29"/>
      <c r="N2565" s="29"/>
      <c r="O2565" s="29"/>
      <c r="P2565" s="29"/>
      <c r="Q2565" s="29"/>
      <c r="R2565" s="29"/>
      <c r="S2565" s="29"/>
      <c r="T2565" s="29"/>
      <c r="U2565" s="31"/>
      <c r="V2565" s="31"/>
      <c r="W2565" s="31"/>
      <c r="X2565" s="31"/>
      <c r="Y2565" s="31"/>
    </row>
    <row r="2566" spans="1:25" x14ac:dyDescent="0.2">
      <c r="A2566" s="29"/>
      <c r="B2566" s="29"/>
      <c r="C2566" s="29"/>
      <c r="D2566" s="29"/>
      <c r="E2566" s="29"/>
      <c r="F2566" s="30"/>
      <c r="G2566" s="30"/>
      <c r="H2566" s="30"/>
      <c r="I2566" s="30"/>
      <c r="J2566" s="30"/>
      <c r="K2566" s="30"/>
      <c r="L2566" s="29"/>
      <c r="M2566" s="29"/>
      <c r="N2566" s="29"/>
      <c r="O2566" s="29"/>
      <c r="P2566" s="29"/>
      <c r="Q2566" s="29"/>
      <c r="R2566" s="29"/>
      <c r="S2566" s="29"/>
      <c r="T2566" s="29"/>
      <c r="U2566" s="31"/>
      <c r="V2566" s="31"/>
      <c r="W2566" s="31"/>
      <c r="X2566" s="31"/>
      <c r="Y2566" s="31"/>
    </row>
    <row r="2567" spans="1:25" x14ac:dyDescent="0.2">
      <c r="A2567" s="29"/>
      <c r="B2567" s="29"/>
      <c r="C2567" s="29"/>
      <c r="D2567" s="29"/>
      <c r="E2567" s="29"/>
      <c r="F2567" s="30"/>
      <c r="G2567" s="30"/>
      <c r="H2567" s="30"/>
      <c r="I2567" s="30"/>
      <c r="J2567" s="30"/>
      <c r="K2567" s="30"/>
      <c r="L2567" s="29"/>
      <c r="M2567" s="29"/>
      <c r="N2567" s="29"/>
      <c r="O2567" s="29"/>
      <c r="P2567" s="29"/>
      <c r="Q2567" s="29"/>
      <c r="R2567" s="29"/>
      <c r="S2567" s="29"/>
      <c r="T2567" s="29"/>
      <c r="U2567" s="31"/>
      <c r="V2567" s="31"/>
      <c r="W2567" s="31"/>
      <c r="X2567" s="31"/>
      <c r="Y2567" s="31"/>
    </row>
    <row r="2568" spans="1:25" x14ac:dyDescent="0.2">
      <c r="A2568" s="29"/>
      <c r="B2568" s="29"/>
      <c r="C2568" s="29"/>
      <c r="D2568" s="29"/>
      <c r="E2568" s="29"/>
      <c r="F2568" s="30"/>
      <c r="G2568" s="30"/>
      <c r="H2568" s="30"/>
      <c r="I2568" s="30"/>
      <c r="J2568" s="30"/>
      <c r="K2568" s="30"/>
      <c r="L2568" s="29"/>
      <c r="M2568" s="29"/>
      <c r="N2568" s="29"/>
      <c r="O2568" s="29"/>
      <c r="P2568" s="29"/>
      <c r="Q2568" s="29"/>
      <c r="R2568" s="29"/>
      <c r="S2568" s="29"/>
      <c r="T2568" s="29"/>
      <c r="U2568" s="31"/>
      <c r="V2568" s="31"/>
      <c r="W2568" s="31"/>
      <c r="X2568" s="31"/>
      <c r="Y2568" s="31"/>
    </row>
    <row r="2569" spans="1:25" x14ac:dyDescent="0.2">
      <c r="A2569" s="29"/>
      <c r="B2569" s="29"/>
      <c r="C2569" s="29"/>
      <c r="D2569" s="29"/>
      <c r="E2569" s="29"/>
      <c r="F2569" s="30"/>
      <c r="G2569" s="30"/>
      <c r="H2569" s="30"/>
      <c r="I2569" s="30"/>
      <c r="J2569" s="30"/>
      <c r="K2569" s="30"/>
      <c r="L2569" s="29"/>
      <c r="M2569" s="29"/>
      <c r="N2569" s="29"/>
      <c r="O2569" s="29"/>
      <c r="P2569" s="29"/>
      <c r="Q2569" s="29"/>
      <c r="R2569" s="29"/>
      <c r="S2569" s="29"/>
      <c r="T2569" s="29"/>
      <c r="U2569" s="31"/>
      <c r="V2569" s="31"/>
      <c r="W2569" s="31"/>
      <c r="X2569" s="31"/>
      <c r="Y2569" s="31"/>
    </row>
    <row r="2570" spans="1:25" x14ac:dyDescent="0.2">
      <c r="A2570" s="29"/>
      <c r="B2570" s="29"/>
      <c r="C2570" s="29"/>
      <c r="D2570" s="29"/>
      <c r="E2570" s="29"/>
      <c r="F2570" s="30"/>
      <c r="G2570" s="30"/>
      <c r="H2570" s="30"/>
      <c r="I2570" s="30"/>
      <c r="J2570" s="30"/>
      <c r="K2570" s="30"/>
      <c r="L2570" s="29"/>
      <c r="M2570" s="29"/>
      <c r="N2570" s="29"/>
      <c r="O2570" s="29"/>
      <c r="P2570" s="29"/>
      <c r="Q2570" s="29"/>
      <c r="R2570" s="29"/>
      <c r="S2570" s="29"/>
      <c r="T2570" s="29"/>
      <c r="U2570" s="31"/>
      <c r="V2570" s="31"/>
      <c r="W2570" s="31"/>
      <c r="X2570" s="31"/>
      <c r="Y2570" s="31"/>
    </row>
    <row r="2571" spans="1:25" x14ac:dyDescent="0.2">
      <c r="A2571" s="29"/>
      <c r="B2571" s="29"/>
      <c r="C2571" s="29"/>
      <c r="D2571" s="29"/>
      <c r="E2571" s="29"/>
      <c r="F2571" s="30"/>
      <c r="G2571" s="30"/>
      <c r="H2571" s="30"/>
      <c r="I2571" s="30"/>
      <c r="J2571" s="30"/>
      <c r="K2571" s="30"/>
      <c r="L2571" s="29"/>
      <c r="M2571" s="29"/>
      <c r="N2571" s="29"/>
      <c r="O2571" s="29"/>
      <c r="P2571" s="29"/>
      <c r="Q2571" s="29"/>
      <c r="R2571" s="29"/>
      <c r="S2571" s="29"/>
      <c r="T2571" s="29"/>
      <c r="U2571" s="31"/>
      <c r="V2571" s="31"/>
      <c r="W2571" s="31"/>
      <c r="X2571" s="31"/>
      <c r="Y2571" s="31"/>
    </row>
    <row r="2572" spans="1:25" x14ac:dyDescent="0.2">
      <c r="A2572" s="29"/>
      <c r="B2572" s="29"/>
      <c r="C2572" s="29"/>
      <c r="D2572" s="29"/>
      <c r="E2572" s="29"/>
      <c r="F2572" s="30"/>
      <c r="G2572" s="30"/>
      <c r="H2572" s="30"/>
      <c r="I2572" s="30"/>
      <c r="J2572" s="30"/>
      <c r="K2572" s="30"/>
      <c r="L2572" s="29"/>
      <c r="M2572" s="29"/>
      <c r="N2572" s="29"/>
      <c r="O2572" s="29"/>
      <c r="P2572" s="29"/>
      <c r="Q2572" s="29"/>
      <c r="R2572" s="29"/>
      <c r="S2572" s="29"/>
      <c r="T2572" s="29"/>
      <c r="U2572" s="31"/>
      <c r="V2572" s="31"/>
      <c r="W2572" s="31"/>
      <c r="X2572" s="31"/>
      <c r="Y2572" s="31"/>
    </row>
    <row r="2573" spans="1:25" x14ac:dyDescent="0.2">
      <c r="A2573" s="29"/>
      <c r="B2573" s="29"/>
      <c r="C2573" s="29"/>
      <c r="D2573" s="29"/>
      <c r="E2573" s="29"/>
      <c r="F2573" s="30"/>
      <c r="G2573" s="30"/>
      <c r="H2573" s="30"/>
      <c r="I2573" s="30"/>
      <c r="J2573" s="30"/>
      <c r="K2573" s="30"/>
      <c r="L2573" s="29"/>
      <c r="M2573" s="29"/>
      <c r="N2573" s="29"/>
      <c r="O2573" s="29"/>
      <c r="P2573" s="29"/>
      <c r="Q2573" s="29"/>
      <c r="R2573" s="29"/>
      <c r="S2573" s="29"/>
      <c r="T2573" s="29"/>
      <c r="U2573" s="31"/>
      <c r="V2573" s="31"/>
      <c r="W2573" s="31"/>
      <c r="X2573" s="31"/>
      <c r="Y2573" s="31"/>
    </row>
    <row r="2574" spans="1:25" x14ac:dyDescent="0.2">
      <c r="A2574" s="29"/>
      <c r="B2574" s="29"/>
      <c r="C2574" s="29"/>
      <c r="D2574" s="29"/>
      <c r="E2574" s="29"/>
      <c r="F2574" s="30"/>
      <c r="G2574" s="30"/>
      <c r="H2574" s="30"/>
      <c r="I2574" s="30"/>
      <c r="J2574" s="30"/>
      <c r="K2574" s="30"/>
      <c r="L2574" s="29"/>
      <c r="M2574" s="29"/>
      <c r="N2574" s="29"/>
      <c r="O2574" s="29"/>
      <c r="P2574" s="29"/>
      <c r="Q2574" s="29"/>
      <c r="R2574" s="29"/>
      <c r="S2574" s="29"/>
      <c r="T2574" s="29"/>
      <c r="U2574" s="31"/>
      <c r="V2574" s="31"/>
      <c r="W2574" s="31"/>
      <c r="X2574" s="31"/>
      <c r="Y2574" s="31"/>
    </row>
    <row r="2575" spans="1:25" x14ac:dyDescent="0.2">
      <c r="A2575" s="29"/>
      <c r="B2575" s="29"/>
      <c r="C2575" s="29"/>
      <c r="D2575" s="29"/>
      <c r="E2575" s="29"/>
      <c r="F2575" s="30"/>
      <c r="G2575" s="30"/>
      <c r="H2575" s="30"/>
      <c r="I2575" s="30"/>
      <c r="J2575" s="30"/>
      <c r="K2575" s="30"/>
      <c r="L2575" s="29"/>
      <c r="M2575" s="29"/>
      <c r="N2575" s="29"/>
      <c r="O2575" s="29"/>
      <c r="P2575" s="29"/>
      <c r="Q2575" s="29"/>
      <c r="R2575" s="29"/>
      <c r="S2575" s="29"/>
      <c r="T2575" s="29"/>
      <c r="U2575" s="31"/>
      <c r="V2575" s="31"/>
      <c r="W2575" s="31"/>
      <c r="X2575" s="31"/>
      <c r="Y2575" s="31"/>
    </row>
    <row r="2576" spans="1:25" x14ac:dyDescent="0.2">
      <c r="A2576" s="29"/>
      <c r="B2576" s="29"/>
      <c r="C2576" s="29"/>
      <c r="D2576" s="29"/>
      <c r="E2576" s="29"/>
      <c r="F2576" s="30"/>
      <c r="G2576" s="30"/>
      <c r="H2576" s="30"/>
      <c r="I2576" s="30"/>
      <c r="J2576" s="30"/>
      <c r="K2576" s="30"/>
      <c r="L2576" s="29"/>
      <c r="M2576" s="29"/>
      <c r="N2576" s="29"/>
      <c r="O2576" s="29"/>
      <c r="P2576" s="29"/>
      <c r="Q2576" s="29"/>
      <c r="R2576" s="29"/>
      <c r="S2576" s="29"/>
      <c r="T2576" s="29"/>
      <c r="U2576" s="31"/>
      <c r="V2576" s="31"/>
      <c r="W2576" s="31"/>
      <c r="X2576" s="31"/>
      <c r="Y2576" s="31"/>
    </row>
    <row r="2577" spans="1:25" x14ac:dyDescent="0.2">
      <c r="A2577" s="29"/>
      <c r="B2577" s="29"/>
      <c r="C2577" s="29"/>
      <c r="D2577" s="29"/>
      <c r="E2577" s="29"/>
      <c r="F2577" s="30"/>
      <c r="G2577" s="30"/>
      <c r="H2577" s="30"/>
      <c r="I2577" s="30"/>
      <c r="J2577" s="30"/>
      <c r="K2577" s="30"/>
      <c r="L2577" s="29"/>
      <c r="M2577" s="29"/>
      <c r="N2577" s="29"/>
      <c r="O2577" s="29"/>
      <c r="P2577" s="29"/>
      <c r="Q2577" s="29"/>
      <c r="R2577" s="29"/>
      <c r="S2577" s="29"/>
      <c r="T2577" s="29"/>
      <c r="U2577" s="31"/>
      <c r="V2577" s="31"/>
      <c r="W2577" s="31"/>
      <c r="X2577" s="31"/>
      <c r="Y2577" s="31"/>
    </row>
    <row r="2578" spans="1:25" x14ac:dyDescent="0.2">
      <c r="A2578" s="29"/>
      <c r="B2578" s="29"/>
      <c r="C2578" s="29"/>
      <c r="D2578" s="29"/>
      <c r="E2578" s="29"/>
      <c r="F2578" s="30"/>
      <c r="G2578" s="30"/>
      <c r="H2578" s="30"/>
      <c r="I2578" s="30"/>
      <c r="J2578" s="30"/>
      <c r="K2578" s="30"/>
      <c r="L2578" s="29"/>
      <c r="M2578" s="29"/>
      <c r="N2578" s="29"/>
      <c r="O2578" s="29"/>
      <c r="P2578" s="29"/>
      <c r="Q2578" s="29"/>
      <c r="R2578" s="29"/>
      <c r="S2578" s="29"/>
      <c r="T2578" s="29"/>
      <c r="U2578" s="31"/>
      <c r="V2578" s="31"/>
      <c r="W2578" s="31"/>
      <c r="X2578" s="31"/>
      <c r="Y2578" s="31"/>
    </row>
    <row r="2579" spans="1:25" x14ac:dyDescent="0.2">
      <c r="A2579" s="29"/>
      <c r="B2579" s="29"/>
      <c r="C2579" s="29"/>
      <c r="D2579" s="29"/>
      <c r="E2579" s="29"/>
      <c r="F2579" s="30"/>
      <c r="G2579" s="30"/>
      <c r="H2579" s="30"/>
      <c r="I2579" s="30"/>
      <c r="J2579" s="30"/>
      <c r="K2579" s="30"/>
      <c r="L2579" s="29"/>
      <c r="M2579" s="29"/>
      <c r="N2579" s="29"/>
      <c r="O2579" s="29"/>
      <c r="P2579" s="29"/>
      <c r="Q2579" s="29"/>
      <c r="R2579" s="29"/>
      <c r="S2579" s="29"/>
      <c r="T2579" s="29"/>
      <c r="U2579" s="31"/>
      <c r="V2579" s="31"/>
      <c r="W2579" s="31"/>
      <c r="X2579" s="31"/>
      <c r="Y2579" s="31"/>
    </row>
    <row r="2580" spans="1:25" x14ac:dyDescent="0.2">
      <c r="A2580" s="29"/>
      <c r="B2580" s="29"/>
      <c r="C2580" s="29"/>
      <c r="D2580" s="29"/>
      <c r="E2580" s="29"/>
      <c r="F2580" s="30"/>
      <c r="G2580" s="30"/>
      <c r="H2580" s="30"/>
      <c r="I2580" s="30"/>
      <c r="J2580" s="30"/>
      <c r="K2580" s="30"/>
      <c r="L2580" s="29"/>
      <c r="M2580" s="29"/>
      <c r="N2580" s="29"/>
      <c r="O2580" s="29"/>
      <c r="P2580" s="29"/>
      <c r="Q2580" s="29"/>
      <c r="R2580" s="29"/>
      <c r="S2580" s="29"/>
      <c r="T2580" s="29"/>
      <c r="U2580" s="31"/>
      <c r="V2580" s="31"/>
      <c r="W2580" s="31"/>
      <c r="X2580" s="31"/>
      <c r="Y2580" s="31"/>
    </row>
    <row r="2581" spans="1:25" x14ac:dyDescent="0.2">
      <c r="A2581" s="29"/>
      <c r="B2581" s="29"/>
      <c r="C2581" s="29"/>
      <c r="D2581" s="29"/>
      <c r="E2581" s="29"/>
      <c r="F2581" s="30"/>
      <c r="G2581" s="30"/>
      <c r="H2581" s="30"/>
      <c r="I2581" s="30"/>
      <c r="J2581" s="30"/>
      <c r="K2581" s="30"/>
      <c r="L2581" s="29"/>
      <c r="M2581" s="29"/>
      <c r="N2581" s="29"/>
      <c r="O2581" s="29"/>
      <c r="P2581" s="29"/>
      <c r="Q2581" s="29"/>
      <c r="R2581" s="29"/>
      <c r="S2581" s="29"/>
      <c r="T2581" s="29"/>
      <c r="U2581" s="31"/>
      <c r="V2581" s="31"/>
      <c r="W2581" s="31"/>
      <c r="X2581" s="31"/>
      <c r="Y2581" s="31"/>
    </row>
    <row r="2582" spans="1:25" x14ac:dyDescent="0.2">
      <c r="A2582" s="29"/>
      <c r="B2582" s="29"/>
      <c r="C2582" s="29"/>
      <c r="D2582" s="29"/>
      <c r="E2582" s="29"/>
      <c r="F2582" s="30"/>
      <c r="G2582" s="30"/>
      <c r="H2582" s="30"/>
      <c r="I2582" s="30"/>
      <c r="J2582" s="30"/>
      <c r="K2582" s="30"/>
      <c r="L2582" s="29"/>
      <c r="M2582" s="29"/>
      <c r="N2582" s="29"/>
      <c r="O2582" s="29"/>
      <c r="P2582" s="29"/>
      <c r="Q2582" s="29"/>
      <c r="R2582" s="29"/>
      <c r="S2582" s="29"/>
      <c r="T2582" s="29"/>
      <c r="U2582" s="31"/>
      <c r="V2582" s="31"/>
      <c r="W2582" s="31"/>
      <c r="X2582" s="31"/>
      <c r="Y2582" s="31"/>
    </row>
    <row r="2583" spans="1:25" x14ac:dyDescent="0.2">
      <c r="A2583" s="29"/>
      <c r="B2583" s="29"/>
      <c r="C2583" s="29"/>
      <c r="D2583" s="29"/>
      <c r="E2583" s="29"/>
      <c r="F2583" s="30"/>
      <c r="G2583" s="30"/>
      <c r="H2583" s="30"/>
      <c r="I2583" s="30"/>
      <c r="J2583" s="30"/>
      <c r="K2583" s="30"/>
      <c r="L2583" s="29"/>
      <c r="M2583" s="29"/>
      <c r="N2583" s="29"/>
      <c r="O2583" s="29"/>
      <c r="P2583" s="29"/>
      <c r="Q2583" s="29"/>
      <c r="R2583" s="29"/>
      <c r="S2583" s="29"/>
      <c r="T2583" s="29"/>
      <c r="U2583" s="31"/>
      <c r="V2583" s="31"/>
      <c r="W2583" s="31"/>
      <c r="X2583" s="31"/>
      <c r="Y2583" s="31"/>
    </row>
    <row r="2584" spans="1:25" x14ac:dyDescent="0.2">
      <c r="A2584" s="29"/>
      <c r="B2584" s="29"/>
      <c r="C2584" s="29"/>
      <c r="D2584" s="29"/>
      <c r="E2584" s="29"/>
      <c r="F2584" s="30"/>
      <c r="G2584" s="30"/>
      <c r="H2584" s="30"/>
      <c r="I2584" s="30"/>
      <c r="J2584" s="30"/>
      <c r="K2584" s="30"/>
      <c r="L2584" s="29"/>
      <c r="M2584" s="29"/>
      <c r="N2584" s="29"/>
      <c r="O2584" s="29"/>
      <c r="P2584" s="29"/>
      <c r="Q2584" s="29"/>
      <c r="R2584" s="29"/>
      <c r="S2584" s="29"/>
      <c r="T2584" s="29"/>
      <c r="U2584" s="31"/>
      <c r="V2584" s="31"/>
      <c r="W2584" s="31"/>
      <c r="X2584" s="31"/>
      <c r="Y2584" s="31"/>
    </row>
    <row r="2585" spans="1:25" x14ac:dyDescent="0.2">
      <c r="A2585" s="29"/>
      <c r="B2585" s="29"/>
      <c r="C2585" s="29"/>
      <c r="D2585" s="29"/>
      <c r="E2585" s="29"/>
      <c r="F2585" s="30"/>
      <c r="G2585" s="30"/>
      <c r="H2585" s="30"/>
      <c r="I2585" s="30"/>
      <c r="J2585" s="30"/>
      <c r="K2585" s="30"/>
      <c r="L2585" s="29"/>
      <c r="M2585" s="29"/>
      <c r="N2585" s="29"/>
      <c r="O2585" s="29"/>
      <c r="P2585" s="29"/>
      <c r="Q2585" s="29"/>
      <c r="R2585" s="29"/>
      <c r="S2585" s="29"/>
      <c r="T2585" s="29"/>
      <c r="U2585" s="31"/>
      <c r="V2585" s="31"/>
      <c r="W2585" s="31"/>
      <c r="X2585" s="31"/>
      <c r="Y2585" s="31"/>
    </row>
    <row r="2586" spans="1:25" x14ac:dyDescent="0.2">
      <c r="A2586" s="29"/>
      <c r="B2586" s="29"/>
      <c r="C2586" s="29"/>
      <c r="D2586" s="29"/>
      <c r="E2586" s="29"/>
      <c r="F2586" s="30"/>
      <c r="G2586" s="30"/>
      <c r="H2586" s="30"/>
      <c r="I2586" s="30"/>
      <c r="J2586" s="30"/>
      <c r="K2586" s="30"/>
      <c r="L2586" s="29"/>
      <c r="M2586" s="29"/>
      <c r="N2586" s="29"/>
      <c r="O2586" s="29"/>
      <c r="P2586" s="29"/>
      <c r="Q2586" s="29"/>
      <c r="R2586" s="29"/>
      <c r="S2586" s="29"/>
      <c r="T2586" s="29"/>
      <c r="U2586" s="31"/>
      <c r="V2586" s="31"/>
      <c r="W2586" s="31"/>
      <c r="X2586" s="31"/>
      <c r="Y2586" s="31"/>
    </row>
    <row r="2587" spans="1:25" x14ac:dyDescent="0.2">
      <c r="A2587" s="29"/>
      <c r="B2587" s="29"/>
      <c r="C2587" s="29"/>
      <c r="D2587" s="29"/>
      <c r="E2587" s="29"/>
      <c r="F2587" s="30"/>
      <c r="G2587" s="30"/>
      <c r="H2587" s="30"/>
      <c r="I2587" s="30"/>
      <c r="J2587" s="30"/>
      <c r="K2587" s="30"/>
      <c r="L2587" s="29"/>
      <c r="M2587" s="29"/>
      <c r="N2587" s="29"/>
      <c r="O2587" s="29"/>
      <c r="P2587" s="29"/>
      <c r="Q2587" s="29"/>
      <c r="R2587" s="29"/>
      <c r="S2587" s="29"/>
      <c r="T2587" s="29"/>
      <c r="U2587" s="31"/>
      <c r="V2587" s="31"/>
      <c r="W2587" s="31"/>
      <c r="X2587" s="31"/>
      <c r="Y2587" s="31"/>
    </row>
    <row r="2588" spans="1:25" x14ac:dyDescent="0.2">
      <c r="A2588" s="29"/>
      <c r="B2588" s="29"/>
      <c r="C2588" s="29"/>
      <c r="D2588" s="29"/>
      <c r="E2588" s="29"/>
      <c r="F2588" s="30"/>
      <c r="G2588" s="30"/>
      <c r="H2588" s="30"/>
      <c r="I2588" s="30"/>
      <c r="J2588" s="30"/>
      <c r="K2588" s="30"/>
      <c r="L2588" s="29"/>
      <c r="M2588" s="29"/>
      <c r="N2588" s="29"/>
      <c r="O2588" s="29"/>
      <c r="P2588" s="29"/>
      <c r="Q2588" s="29"/>
      <c r="R2588" s="29"/>
      <c r="S2588" s="29"/>
      <c r="T2588" s="29"/>
      <c r="U2588" s="31"/>
      <c r="V2588" s="31"/>
      <c r="W2588" s="31"/>
      <c r="X2588" s="31"/>
      <c r="Y2588" s="31"/>
    </row>
    <row r="2589" spans="1:25" x14ac:dyDescent="0.2">
      <c r="A2589" s="29"/>
      <c r="B2589" s="29"/>
      <c r="C2589" s="29"/>
      <c r="D2589" s="29"/>
      <c r="E2589" s="29"/>
      <c r="F2589" s="30"/>
      <c r="G2589" s="30"/>
      <c r="H2589" s="30"/>
      <c r="I2589" s="30"/>
      <c r="J2589" s="30"/>
      <c r="K2589" s="30"/>
      <c r="L2589" s="29"/>
      <c r="M2589" s="29"/>
      <c r="N2589" s="29"/>
      <c r="O2589" s="29"/>
      <c r="P2589" s="29"/>
      <c r="Q2589" s="29"/>
      <c r="R2589" s="29"/>
      <c r="S2589" s="29"/>
      <c r="T2589" s="29"/>
      <c r="U2589" s="31"/>
      <c r="V2589" s="31"/>
      <c r="W2589" s="31"/>
      <c r="X2589" s="31"/>
      <c r="Y2589" s="31"/>
    </row>
    <row r="2590" spans="1:25" x14ac:dyDescent="0.2">
      <c r="A2590" s="29"/>
      <c r="B2590" s="29"/>
      <c r="C2590" s="29"/>
      <c r="D2590" s="29"/>
      <c r="E2590" s="29"/>
      <c r="F2590" s="30"/>
      <c r="G2590" s="30"/>
      <c r="H2590" s="30"/>
      <c r="I2590" s="30"/>
      <c r="J2590" s="30"/>
      <c r="K2590" s="30"/>
      <c r="L2590" s="29"/>
      <c r="M2590" s="29"/>
      <c r="N2590" s="29"/>
      <c r="O2590" s="29"/>
      <c r="P2590" s="29"/>
      <c r="Q2590" s="29"/>
      <c r="R2590" s="29"/>
      <c r="S2590" s="29"/>
      <c r="T2590" s="29"/>
      <c r="U2590" s="31"/>
      <c r="V2590" s="31"/>
      <c r="W2590" s="31"/>
      <c r="X2590" s="31"/>
      <c r="Y2590" s="31"/>
    </row>
    <row r="2591" spans="1:25" x14ac:dyDescent="0.2">
      <c r="A2591" s="29"/>
      <c r="B2591" s="29"/>
      <c r="C2591" s="29"/>
      <c r="D2591" s="29"/>
      <c r="E2591" s="29"/>
      <c r="F2591" s="30"/>
      <c r="G2591" s="30"/>
      <c r="H2591" s="30"/>
      <c r="I2591" s="30"/>
      <c r="J2591" s="30"/>
      <c r="K2591" s="30"/>
      <c r="L2591" s="29"/>
      <c r="M2591" s="29"/>
      <c r="N2591" s="29"/>
      <c r="O2591" s="29"/>
      <c r="P2591" s="29"/>
      <c r="Q2591" s="29"/>
      <c r="R2591" s="29"/>
      <c r="S2591" s="29"/>
      <c r="T2591" s="29"/>
      <c r="U2591" s="31"/>
      <c r="V2591" s="31"/>
      <c r="W2591" s="31"/>
      <c r="X2591" s="31"/>
      <c r="Y2591" s="31"/>
    </row>
    <row r="2592" spans="1:25" x14ac:dyDescent="0.2">
      <c r="A2592" s="29"/>
      <c r="B2592" s="29"/>
      <c r="C2592" s="29"/>
      <c r="D2592" s="29"/>
      <c r="E2592" s="29"/>
      <c r="F2592" s="30"/>
      <c r="G2592" s="30"/>
      <c r="H2592" s="30"/>
      <c r="I2592" s="30"/>
      <c r="J2592" s="30"/>
      <c r="K2592" s="30"/>
      <c r="L2592" s="29"/>
      <c r="M2592" s="29"/>
      <c r="N2592" s="29"/>
      <c r="O2592" s="29"/>
      <c r="P2592" s="29"/>
      <c r="Q2592" s="29"/>
      <c r="R2592" s="29"/>
      <c r="S2592" s="29"/>
      <c r="T2592" s="29"/>
      <c r="U2592" s="31"/>
      <c r="V2592" s="31"/>
      <c r="W2592" s="31"/>
      <c r="X2592" s="31"/>
      <c r="Y2592" s="31"/>
    </row>
    <row r="2593" spans="1:25" x14ac:dyDescent="0.2">
      <c r="A2593" s="29"/>
      <c r="B2593" s="29"/>
      <c r="C2593" s="29"/>
      <c r="D2593" s="29"/>
      <c r="E2593" s="29"/>
      <c r="F2593" s="30"/>
      <c r="G2593" s="30"/>
      <c r="H2593" s="30"/>
      <c r="I2593" s="30"/>
      <c r="J2593" s="30"/>
      <c r="K2593" s="30"/>
      <c r="L2593" s="29"/>
      <c r="M2593" s="29"/>
      <c r="N2593" s="29"/>
      <c r="O2593" s="29"/>
      <c r="P2593" s="29"/>
      <c r="Q2593" s="29"/>
      <c r="R2593" s="29"/>
      <c r="S2593" s="29"/>
      <c r="T2593" s="29"/>
      <c r="U2593" s="31"/>
      <c r="V2593" s="31"/>
      <c r="W2593" s="31"/>
      <c r="X2593" s="31"/>
      <c r="Y2593" s="31"/>
    </row>
    <row r="2594" spans="1:25" x14ac:dyDescent="0.2">
      <c r="A2594" s="29"/>
      <c r="B2594" s="29"/>
      <c r="C2594" s="29"/>
      <c r="D2594" s="29"/>
      <c r="E2594" s="29"/>
      <c r="F2594" s="30"/>
      <c r="G2594" s="30"/>
      <c r="H2594" s="30"/>
      <c r="I2594" s="30"/>
      <c r="J2594" s="30"/>
      <c r="K2594" s="30"/>
      <c r="L2594" s="29"/>
      <c r="M2594" s="29"/>
      <c r="N2594" s="29"/>
      <c r="O2594" s="29"/>
      <c r="P2594" s="29"/>
      <c r="Q2594" s="29"/>
      <c r="R2594" s="29"/>
      <c r="S2594" s="29"/>
      <c r="T2594" s="29"/>
      <c r="U2594" s="31"/>
      <c r="V2594" s="31"/>
      <c r="W2594" s="31"/>
      <c r="X2594" s="31"/>
      <c r="Y2594" s="31"/>
    </row>
    <row r="2595" spans="1:25" x14ac:dyDescent="0.2">
      <c r="A2595" s="29"/>
      <c r="B2595" s="29"/>
      <c r="C2595" s="29"/>
      <c r="D2595" s="29"/>
      <c r="E2595" s="29"/>
      <c r="F2595" s="30"/>
      <c r="G2595" s="30"/>
      <c r="H2595" s="30"/>
      <c r="I2595" s="30"/>
      <c r="J2595" s="30"/>
      <c r="K2595" s="30"/>
      <c r="L2595" s="29"/>
      <c r="M2595" s="29"/>
      <c r="N2595" s="29"/>
      <c r="O2595" s="29"/>
      <c r="P2595" s="29"/>
      <c r="Q2595" s="29"/>
      <c r="R2595" s="29"/>
      <c r="S2595" s="29"/>
      <c r="T2595" s="29"/>
      <c r="U2595" s="31"/>
      <c r="V2595" s="31"/>
      <c r="W2595" s="31"/>
      <c r="X2595" s="31"/>
      <c r="Y2595" s="31"/>
    </row>
    <row r="2596" spans="1:25" x14ac:dyDescent="0.2">
      <c r="A2596" s="29"/>
      <c r="B2596" s="29"/>
      <c r="C2596" s="29"/>
      <c r="D2596" s="29"/>
      <c r="E2596" s="29"/>
      <c r="F2596" s="30"/>
      <c r="G2596" s="30"/>
      <c r="H2596" s="30"/>
      <c r="I2596" s="30"/>
      <c r="J2596" s="30"/>
      <c r="K2596" s="30"/>
      <c r="L2596" s="29"/>
      <c r="M2596" s="29"/>
      <c r="N2596" s="29"/>
      <c r="O2596" s="29"/>
      <c r="P2596" s="29"/>
      <c r="Q2596" s="29"/>
      <c r="R2596" s="29"/>
      <c r="S2596" s="29"/>
      <c r="T2596" s="29"/>
      <c r="U2596" s="31"/>
      <c r="V2596" s="31"/>
      <c r="W2596" s="31"/>
      <c r="X2596" s="31"/>
      <c r="Y2596" s="31"/>
    </row>
    <row r="2597" spans="1:25" x14ac:dyDescent="0.2">
      <c r="A2597" s="29"/>
      <c r="B2597" s="29"/>
      <c r="C2597" s="29"/>
      <c r="D2597" s="29"/>
      <c r="E2597" s="29"/>
      <c r="F2597" s="30"/>
      <c r="G2597" s="30"/>
      <c r="H2597" s="30"/>
      <c r="I2597" s="30"/>
      <c r="J2597" s="30"/>
      <c r="K2597" s="30"/>
      <c r="L2597" s="29"/>
      <c r="M2597" s="29"/>
      <c r="N2597" s="29"/>
      <c r="O2597" s="29"/>
      <c r="P2597" s="29"/>
      <c r="Q2597" s="29"/>
      <c r="R2597" s="29"/>
      <c r="S2597" s="29"/>
      <c r="T2597" s="29"/>
      <c r="U2597" s="31"/>
      <c r="V2597" s="31"/>
      <c r="W2597" s="31"/>
      <c r="X2597" s="31"/>
      <c r="Y2597" s="31"/>
    </row>
    <row r="2598" spans="1:25" x14ac:dyDescent="0.2">
      <c r="A2598" s="29"/>
      <c r="B2598" s="29"/>
      <c r="C2598" s="29"/>
      <c r="D2598" s="29"/>
      <c r="E2598" s="29"/>
      <c r="F2598" s="30"/>
      <c r="G2598" s="30"/>
      <c r="H2598" s="30"/>
      <c r="I2598" s="30"/>
      <c r="J2598" s="30"/>
      <c r="K2598" s="30"/>
      <c r="L2598" s="29"/>
      <c r="M2598" s="29"/>
      <c r="N2598" s="29"/>
      <c r="O2598" s="29"/>
      <c r="P2598" s="29"/>
      <c r="Q2598" s="29"/>
      <c r="R2598" s="29"/>
      <c r="S2598" s="29"/>
      <c r="T2598" s="29"/>
      <c r="U2598" s="31"/>
      <c r="V2598" s="31"/>
      <c r="W2598" s="31"/>
      <c r="X2598" s="31"/>
      <c r="Y2598" s="31"/>
    </row>
    <row r="2599" spans="1:25" x14ac:dyDescent="0.2">
      <c r="A2599" s="29"/>
      <c r="B2599" s="29"/>
      <c r="C2599" s="29"/>
      <c r="D2599" s="29"/>
      <c r="E2599" s="29"/>
      <c r="F2599" s="30"/>
      <c r="G2599" s="30"/>
      <c r="H2599" s="30"/>
      <c r="I2599" s="30"/>
      <c r="J2599" s="30"/>
      <c r="K2599" s="30"/>
      <c r="L2599" s="29"/>
      <c r="M2599" s="29"/>
      <c r="N2599" s="29"/>
      <c r="O2599" s="29"/>
      <c r="P2599" s="29"/>
      <c r="Q2599" s="29"/>
      <c r="R2599" s="29"/>
      <c r="S2599" s="29"/>
      <c r="T2599" s="29"/>
      <c r="U2599" s="31"/>
      <c r="V2599" s="31"/>
      <c r="W2599" s="31"/>
      <c r="X2599" s="31"/>
      <c r="Y2599" s="31"/>
    </row>
    <row r="2600" spans="1:25" x14ac:dyDescent="0.2">
      <c r="A2600" s="29"/>
      <c r="B2600" s="29"/>
      <c r="C2600" s="29"/>
      <c r="D2600" s="29"/>
      <c r="E2600" s="29"/>
      <c r="F2600" s="30"/>
      <c r="G2600" s="30"/>
      <c r="H2600" s="30"/>
      <c r="I2600" s="30"/>
      <c r="J2600" s="30"/>
      <c r="K2600" s="30"/>
      <c r="L2600" s="29"/>
      <c r="M2600" s="29"/>
      <c r="N2600" s="29"/>
      <c r="O2600" s="29"/>
      <c r="P2600" s="29"/>
      <c r="Q2600" s="29"/>
      <c r="R2600" s="29"/>
      <c r="S2600" s="29"/>
      <c r="T2600" s="29"/>
      <c r="U2600" s="31"/>
      <c r="V2600" s="31"/>
      <c r="W2600" s="31"/>
      <c r="X2600" s="31"/>
      <c r="Y2600" s="31"/>
    </row>
    <row r="2601" spans="1:25" x14ac:dyDescent="0.2">
      <c r="A2601" s="29"/>
      <c r="B2601" s="29"/>
      <c r="C2601" s="29"/>
      <c r="D2601" s="29"/>
      <c r="E2601" s="29"/>
      <c r="F2601" s="30"/>
      <c r="G2601" s="30"/>
      <c r="H2601" s="30"/>
      <c r="I2601" s="30"/>
      <c r="J2601" s="30"/>
      <c r="K2601" s="30"/>
      <c r="L2601" s="29"/>
      <c r="M2601" s="29"/>
      <c r="N2601" s="29"/>
      <c r="O2601" s="29"/>
      <c r="P2601" s="29"/>
      <c r="Q2601" s="29"/>
      <c r="R2601" s="29"/>
      <c r="S2601" s="29"/>
      <c r="T2601" s="29"/>
      <c r="U2601" s="31"/>
      <c r="V2601" s="31"/>
      <c r="W2601" s="31"/>
      <c r="X2601" s="31"/>
      <c r="Y2601" s="31"/>
    </row>
    <row r="2602" spans="1:25" x14ac:dyDescent="0.2">
      <c r="A2602" s="29"/>
      <c r="B2602" s="29"/>
      <c r="C2602" s="29"/>
      <c r="D2602" s="29"/>
      <c r="E2602" s="29"/>
      <c r="F2602" s="30"/>
      <c r="G2602" s="30"/>
      <c r="H2602" s="30"/>
      <c r="I2602" s="30"/>
      <c r="J2602" s="30"/>
      <c r="K2602" s="30"/>
      <c r="L2602" s="29"/>
      <c r="M2602" s="29"/>
      <c r="N2602" s="29"/>
      <c r="O2602" s="29"/>
      <c r="P2602" s="29"/>
      <c r="Q2602" s="29"/>
      <c r="R2602" s="29"/>
      <c r="S2602" s="29"/>
      <c r="T2602" s="29"/>
      <c r="U2602" s="31"/>
      <c r="V2602" s="31"/>
      <c r="W2602" s="31"/>
      <c r="X2602" s="31"/>
      <c r="Y2602" s="31"/>
    </row>
    <row r="2603" spans="1:25" x14ac:dyDescent="0.2">
      <c r="A2603" s="29"/>
      <c r="B2603" s="29"/>
      <c r="C2603" s="29"/>
      <c r="D2603" s="29"/>
      <c r="E2603" s="29"/>
      <c r="F2603" s="30"/>
      <c r="G2603" s="30"/>
      <c r="H2603" s="30"/>
      <c r="I2603" s="30"/>
      <c r="J2603" s="30"/>
      <c r="K2603" s="30"/>
      <c r="L2603" s="29"/>
      <c r="M2603" s="29"/>
      <c r="N2603" s="29"/>
      <c r="O2603" s="29"/>
      <c r="P2603" s="29"/>
      <c r="Q2603" s="29"/>
      <c r="R2603" s="29"/>
      <c r="S2603" s="29"/>
      <c r="T2603" s="29"/>
      <c r="U2603" s="31"/>
      <c r="V2603" s="31"/>
      <c r="W2603" s="31"/>
      <c r="X2603" s="31"/>
      <c r="Y2603" s="31"/>
    </row>
    <row r="2604" spans="1:25" x14ac:dyDescent="0.2">
      <c r="A2604" s="29"/>
      <c r="B2604" s="29"/>
      <c r="C2604" s="29"/>
      <c r="D2604" s="29"/>
      <c r="E2604" s="29"/>
      <c r="F2604" s="30"/>
      <c r="G2604" s="30"/>
      <c r="H2604" s="30"/>
      <c r="I2604" s="30"/>
      <c r="J2604" s="30"/>
      <c r="K2604" s="30"/>
      <c r="L2604" s="29"/>
      <c r="M2604" s="29"/>
      <c r="N2604" s="29"/>
      <c r="O2604" s="29"/>
      <c r="P2604" s="29"/>
      <c r="Q2604" s="29"/>
      <c r="R2604" s="29"/>
      <c r="S2604" s="29"/>
      <c r="T2604" s="29"/>
      <c r="U2604" s="31"/>
      <c r="V2604" s="31"/>
      <c r="W2604" s="31"/>
      <c r="X2604" s="31"/>
      <c r="Y2604" s="31"/>
    </row>
    <row r="2605" spans="1:25" x14ac:dyDescent="0.2">
      <c r="A2605" s="29"/>
      <c r="B2605" s="29"/>
      <c r="C2605" s="29"/>
      <c r="D2605" s="29"/>
      <c r="E2605" s="29"/>
      <c r="F2605" s="30"/>
      <c r="G2605" s="30"/>
      <c r="H2605" s="30"/>
      <c r="I2605" s="30"/>
      <c r="J2605" s="30"/>
      <c r="K2605" s="30"/>
      <c r="L2605" s="29"/>
      <c r="M2605" s="29"/>
      <c r="N2605" s="29"/>
      <c r="O2605" s="29"/>
      <c r="P2605" s="29"/>
      <c r="Q2605" s="29"/>
      <c r="R2605" s="29"/>
      <c r="S2605" s="29"/>
      <c r="T2605" s="29"/>
      <c r="U2605" s="31"/>
      <c r="V2605" s="31"/>
      <c r="W2605" s="31"/>
      <c r="X2605" s="31"/>
      <c r="Y2605" s="31"/>
    </row>
    <row r="2606" spans="1:25" x14ac:dyDescent="0.2">
      <c r="A2606" s="29"/>
      <c r="B2606" s="29"/>
      <c r="C2606" s="29"/>
      <c r="D2606" s="29"/>
      <c r="E2606" s="29"/>
      <c r="F2606" s="30"/>
      <c r="G2606" s="30"/>
      <c r="H2606" s="30"/>
      <c r="I2606" s="30"/>
      <c r="J2606" s="30"/>
      <c r="K2606" s="30"/>
      <c r="L2606" s="29"/>
      <c r="M2606" s="29"/>
      <c r="N2606" s="29"/>
      <c r="O2606" s="29"/>
      <c r="P2606" s="29"/>
      <c r="Q2606" s="29"/>
      <c r="R2606" s="29"/>
      <c r="S2606" s="29"/>
      <c r="T2606" s="29"/>
      <c r="U2606" s="31"/>
      <c r="V2606" s="31"/>
      <c r="W2606" s="31"/>
      <c r="X2606" s="31"/>
      <c r="Y2606" s="31"/>
    </row>
    <row r="2607" spans="1:25" x14ac:dyDescent="0.2">
      <c r="A2607" s="29"/>
      <c r="B2607" s="29"/>
      <c r="C2607" s="29"/>
      <c r="D2607" s="29"/>
      <c r="E2607" s="29"/>
      <c r="F2607" s="30"/>
      <c r="G2607" s="30"/>
      <c r="H2607" s="30"/>
      <c r="I2607" s="30"/>
      <c r="J2607" s="30"/>
      <c r="K2607" s="30"/>
      <c r="L2607" s="29"/>
      <c r="M2607" s="29"/>
      <c r="N2607" s="29"/>
      <c r="O2607" s="29"/>
      <c r="P2607" s="29"/>
      <c r="Q2607" s="29"/>
      <c r="R2607" s="29"/>
      <c r="S2607" s="29"/>
      <c r="T2607" s="29"/>
      <c r="U2607" s="31"/>
      <c r="V2607" s="31"/>
      <c r="W2607" s="31"/>
      <c r="X2607" s="31"/>
      <c r="Y2607" s="31"/>
    </row>
    <row r="2608" spans="1:25" x14ac:dyDescent="0.2">
      <c r="A2608" s="29"/>
      <c r="B2608" s="29"/>
      <c r="C2608" s="29"/>
      <c r="D2608" s="29"/>
      <c r="E2608" s="29"/>
      <c r="F2608" s="30"/>
      <c r="G2608" s="30"/>
      <c r="H2608" s="30"/>
      <c r="I2608" s="30"/>
      <c r="J2608" s="30"/>
      <c r="K2608" s="30"/>
      <c r="L2608" s="29"/>
      <c r="M2608" s="29"/>
      <c r="N2608" s="29"/>
      <c r="O2608" s="29"/>
      <c r="P2608" s="29"/>
      <c r="Q2608" s="29"/>
      <c r="R2608" s="29"/>
      <c r="S2608" s="29"/>
      <c r="T2608" s="29"/>
      <c r="U2608" s="31"/>
      <c r="V2608" s="31"/>
      <c r="W2608" s="31"/>
      <c r="X2608" s="31"/>
      <c r="Y2608" s="31"/>
    </row>
    <row r="2609" spans="1:25" x14ac:dyDescent="0.2">
      <c r="A2609" s="29"/>
      <c r="B2609" s="29"/>
      <c r="C2609" s="29"/>
      <c r="D2609" s="29"/>
      <c r="E2609" s="29"/>
      <c r="F2609" s="30"/>
      <c r="G2609" s="30"/>
      <c r="H2609" s="30"/>
      <c r="I2609" s="30"/>
      <c r="J2609" s="30"/>
      <c r="K2609" s="30"/>
      <c r="L2609" s="29"/>
      <c r="M2609" s="29"/>
      <c r="N2609" s="29"/>
      <c r="O2609" s="29"/>
      <c r="P2609" s="29"/>
      <c r="Q2609" s="29"/>
      <c r="R2609" s="29"/>
      <c r="S2609" s="29"/>
      <c r="T2609" s="29"/>
      <c r="U2609" s="31"/>
      <c r="V2609" s="31"/>
      <c r="W2609" s="31"/>
      <c r="X2609" s="31"/>
      <c r="Y2609" s="31"/>
    </row>
    <row r="2610" spans="1:25" x14ac:dyDescent="0.2">
      <c r="A2610" s="29"/>
      <c r="B2610" s="29"/>
      <c r="C2610" s="29"/>
      <c r="D2610" s="29"/>
      <c r="E2610" s="29"/>
      <c r="F2610" s="30"/>
      <c r="G2610" s="30"/>
      <c r="H2610" s="30"/>
      <c r="I2610" s="30"/>
      <c r="J2610" s="30"/>
      <c r="K2610" s="30"/>
      <c r="L2610" s="29"/>
      <c r="M2610" s="29"/>
      <c r="N2610" s="29"/>
      <c r="O2610" s="29"/>
      <c r="P2610" s="29"/>
      <c r="Q2610" s="29"/>
      <c r="R2610" s="29"/>
      <c r="S2610" s="29"/>
      <c r="T2610" s="29"/>
      <c r="U2610" s="31"/>
      <c r="V2610" s="31"/>
      <c r="W2610" s="31"/>
      <c r="X2610" s="31"/>
      <c r="Y2610" s="31"/>
    </row>
    <row r="2611" spans="1:25" x14ac:dyDescent="0.2">
      <c r="A2611" s="29"/>
      <c r="B2611" s="29"/>
      <c r="C2611" s="29"/>
      <c r="D2611" s="29"/>
      <c r="E2611" s="29"/>
      <c r="F2611" s="30"/>
      <c r="G2611" s="30"/>
      <c r="H2611" s="30"/>
      <c r="I2611" s="30"/>
      <c r="J2611" s="30"/>
      <c r="K2611" s="30"/>
      <c r="L2611" s="29"/>
      <c r="M2611" s="29"/>
      <c r="N2611" s="29"/>
      <c r="O2611" s="29"/>
      <c r="P2611" s="29"/>
      <c r="Q2611" s="29"/>
      <c r="R2611" s="29"/>
      <c r="S2611" s="29"/>
      <c r="T2611" s="29"/>
      <c r="U2611" s="31"/>
      <c r="V2611" s="31"/>
      <c r="W2611" s="31"/>
      <c r="X2611" s="31"/>
      <c r="Y2611" s="31"/>
    </row>
    <row r="2612" spans="1:25" x14ac:dyDescent="0.2">
      <c r="A2612" s="29"/>
      <c r="B2612" s="29"/>
      <c r="C2612" s="29"/>
      <c r="D2612" s="29"/>
      <c r="E2612" s="29"/>
      <c r="F2612" s="30"/>
      <c r="G2612" s="30"/>
      <c r="H2612" s="30"/>
      <c r="I2612" s="30"/>
      <c r="J2612" s="30"/>
      <c r="K2612" s="30"/>
      <c r="L2612" s="29"/>
      <c r="M2612" s="29"/>
      <c r="N2612" s="29"/>
      <c r="O2612" s="29"/>
      <c r="P2612" s="29"/>
      <c r="Q2612" s="29"/>
      <c r="R2612" s="29"/>
      <c r="S2612" s="29"/>
      <c r="T2612" s="29"/>
      <c r="U2612" s="31"/>
      <c r="V2612" s="31"/>
      <c r="W2612" s="31"/>
      <c r="X2612" s="31"/>
      <c r="Y2612" s="31"/>
    </row>
    <row r="2613" spans="1:25" x14ac:dyDescent="0.2">
      <c r="A2613" s="29"/>
      <c r="B2613" s="29"/>
      <c r="C2613" s="29"/>
      <c r="D2613" s="29"/>
      <c r="E2613" s="29"/>
      <c r="F2613" s="30"/>
      <c r="G2613" s="30"/>
      <c r="H2613" s="30"/>
      <c r="I2613" s="30"/>
      <c r="J2613" s="30"/>
      <c r="K2613" s="30"/>
      <c r="L2613" s="29"/>
      <c r="M2613" s="29"/>
      <c r="N2613" s="29"/>
      <c r="O2613" s="29"/>
      <c r="P2613" s="29"/>
      <c r="Q2613" s="29"/>
      <c r="R2613" s="29"/>
      <c r="S2613" s="29"/>
      <c r="T2613" s="29"/>
      <c r="U2613" s="31"/>
      <c r="V2613" s="31"/>
      <c r="W2613" s="31"/>
      <c r="X2613" s="31"/>
      <c r="Y2613" s="31"/>
    </row>
    <row r="2614" spans="1:25" x14ac:dyDescent="0.2">
      <c r="A2614" s="29"/>
      <c r="B2614" s="29"/>
      <c r="C2614" s="29"/>
      <c r="D2614" s="29"/>
      <c r="E2614" s="29"/>
      <c r="F2614" s="30"/>
      <c r="G2614" s="30"/>
      <c r="H2614" s="30"/>
      <c r="I2614" s="30"/>
      <c r="J2614" s="30"/>
      <c r="K2614" s="30"/>
      <c r="L2614" s="29"/>
      <c r="M2614" s="29"/>
      <c r="N2614" s="29"/>
      <c r="O2614" s="29"/>
      <c r="P2614" s="29"/>
      <c r="Q2614" s="29"/>
      <c r="R2614" s="29"/>
      <c r="S2614" s="29"/>
      <c r="T2614" s="29"/>
      <c r="U2614" s="31"/>
      <c r="V2614" s="31"/>
      <c r="W2614" s="31"/>
      <c r="X2614" s="31"/>
      <c r="Y2614" s="31"/>
    </row>
    <row r="2615" spans="1:25" x14ac:dyDescent="0.2">
      <c r="A2615" s="29"/>
      <c r="B2615" s="29"/>
      <c r="C2615" s="29"/>
      <c r="D2615" s="29"/>
      <c r="E2615" s="29"/>
      <c r="F2615" s="30"/>
      <c r="G2615" s="30"/>
      <c r="H2615" s="30"/>
      <c r="I2615" s="30"/>
      <c r="J2615" s="30"/>
      <c r="K2615" s="30"/>
      <c r="L2615" s="29"/>
      <c r="M2615" s="29"/>
      <c r="N2615" s="29"/>
      <c r="O2615" s="29"/>
      <c r="P2615" s="29"/>
      <c r="Q2615" s="29"/>
      <c r="R2615" s="29"/>
      <c r="S2615" s="29"/>
      <c r="T2615" s="29"/>
      <c r="U2615" s="31"/>
      <c r="V2615" s="31"/>
      <c r="W2615" s="31"/>
      <c r="X2615" s="31"/>
      <c r="Y2615" s="31"/>
    </row>
    <row r="2616" spans="1:25" x14ac:dyDescent="0.2">
      <c r="A2616" s="29"/>
      <c r="B2616" s="29"/>
      <c r="C2616" s="29"/>
      <c r="D2616" s="29"/>
      <c r="E2616" s="29"/>
      <c r="F2616" s="30"/>
      <c r="G2616" s="30"/>
      <c r="H2616" s="30"/>
      <c r="I2616" s="30"/>
      <c r="J2616" s="30"/>
      <c r="K2616" s="30"/>
      <c r="L2616" s="29"/>
      <c r="M2616" s="29"/>
      <c r="N2616" s="29"/>
      <c r="O2616" s="29"/>
      <c r="P2616" s="29"/>
      <c r="Q2616" s="29"/>
      <c r="R2616" s="29"/>
      <c r="S2616" s="29"/>
      <c r="T2616" s="29"/>
      <c r="U2616" s="31"/>
      <c r="V2616" s="31"/>
      <c r="W2616" s="31"/>
      <c r="X2616" s="31"/>
      <c r="Y2616" s="31"/>
    </row>
    <row r="2617" spans="1:25" x14ac:dyDescent="0.2">
      <c r="A2617" s="29"/>
      <c r="B2617" s="29"/>
      <c r="C2617" s="29"/>
      <c r="D2617" s="29"/>
      <c r="E2617" s="29"/>
      <c r="F2617" s="30"/>
      <c r="G2617" s="30"/>
      <c r="H2617" s="30"/>
      <c r="I2617" s="30"/>
      <c r="J2617" s="30"/>
      <c r="K2617" s="30"/>
      <c r="L2617" s="29"/>
      <c r="M2617" s="29"/>
      <c r="N2617" s="29"/>
      <c r="O2617" s="29"/>
      <c r="P2617" s="29"/>
      <c r="Q2617" s="29"/>
      <c r="R2617" s="29"/>
      <c r="S2617" s="29"/>
      <c r="T2617" s="29"/>
      <c r="U2617" s="31"/>
      <c r="V2617" s="31"/>
      <c r="W2617" s="31"/>
      <c r="X2617" s="31"/>
      <c r="Y2617" s="31"/>
    </row>
    <row r="2618" spans="1:25" x14ac:dyDescent="0.2">
      <c r="A2618" s="29"/>
      <c r="B2618" s="29"/>
      <c r="C2618" s="29"/>
      <c r="D2618" s="29"/>
      <c r="E2618" s="29"/>
      <c r="F2618" s="30"/>
      <c r="G2618" s="30"/>
      <c r="H2618" s="30"/>
      <c r="I2618" s="30"/>
      <c r="J2618" s="30"/>
      <c r="K2618" s="30"/>
      <c r="L2618" s="29"/>
      <c r="M2618" s="29"/>
      <c r="N2618" s="29"/>
      <c r="O2618" s="29"/>
      <c r="P2618" s="29"/>
      <c r="Q2618" s="29"/>
      <c r="R2618" s="29"/>
      <c r="S2618" s="29"/>
      <c r="T2618" s="29"/>
      <c r="U2618" s="31"/>
      <c r="V2618" s="31"/>
      <c r="W2618" s="31"/>
      <c r="X2618" s="31"/>
      <c r="Y2618" s="31"/>
    </row>
    <row r="2619" spans="1:25" x14ac:dyDescent="0.2">
      <c r="A2619" s="29"/>
      <c r="B2619" s="29"/>
      <c r="C2619" s="29"/>
      <c r="D2619" s="29"/>
      <c r="E2619" s="29"/>
      <c r="F2619" s="30"/>
      <c r="G2619" s="30"/>
      <c r="H2619" s="30"/>
      <c r="I2619" s="30"/>
      <c r="J2619" s="30"/>
      <c r="K2619" s="30"/>
      <c r="L2619" s="29"/>
      <c r="M2619" s="29"/>
      <c r="N2619" s="29"/>
      <c r="O2619" s="29"/>
      <c r="P2619" s="29"/>
      <c r="Q2619" s="29"/>
      <c r="R2619" s="29"/>
      <c r="S2619" s="29"/>
      <c r="T2619" s="29"/>
      <c r="U2619" s="31"/>
      <c r="V2619" s="31"/>
      <c r="W2619" s="31"/>
      <c r="X2619" s="31"/>
      <c r="Y2619" s="31"/>
    </row>
    <row r="2620" spans="1:25" x14ac:dyDescent="0.2">
      <c r="A2620" s="29"/>
      <c r="B2620" s="29"/>
      <c r="C2620" s="29"/>
      <c r="D2620" s="29"/>
      <c r="E2620" s="29"/>
      <c r="F2620" s="30"/>
      <c r="G2620" s="30"/>
      <c r="H2620" s="30"/>
      <c r="I2620" s="30"/>
      <c r="J2620" s="30"/>
      <c r="K2620" s="30"/>
      <c r="L2620" s="29"/>
      <c r="M2620" s="29"/>
      <c r="N2620" s="29"/>
      <c r="O2620" s="29"/>
      <c r="P2620" s="29"/>
      <c r="Q2620" s="29"/>
      <c r="R2620" s="29"/>
      <c r="S2620" s="29"/>
      <c r="T2620" s="29"/>
      <c r="U2620" s="31"/>
      <c r="V2620" s="31"/>
      <c r="W2620" s="31"/>
      <c r="X2620" s="31"/>
      <c r="Y2620" s="31"/>
    </row>
    <row r="2621" spans="1:25" x14ac:dyDescent="0.2">
      <c r="A2621" s="29"/>
      <c r="B2621" s="29"/>
      <c r="C2621" s="29"/>
      <c r="D2621" s="29"/>
      <c r="E2621" s="29"/>
      <c r="F2621" s="30"/>
      <c r="G2621" s="30"/>
      <c r="H2621" s="30"/>
      <c r="I2621" s="30"/>
      <c r="J2621" s="30"/>
      <c r="K2621" s="30"/>
      <c r="L2621" s="29"/>
      <c r="M2621" s="29"/>
      <c r="N2621" s="29"/>
      <c r="O2621" s="29"/>
      <c r="P2621" s="29"/>
      <c r="Q2621" s="29"/>
      <c r="R2621" s="29"/>
      <c r="S2621" s="29"/>
      <c r="T2621" s="29"/>
      <c r="U2621" s="31"/>
      <c r="V2621" s="31"/>
      <c r="W2621" s="31"/>
      <c r="X2621" s="31"/>
      <c r="Y2621" s="31"/>
    </row>
    <row r="2622" spans="1:25" x14ac:dyDescent="0.2">
      <c r="A2622" s="29"/>
      <c r="B2622" s="29"/>
      <c r="C2622" s="29"/>
      <c r="D2622" s="29"/>
      <c r="E2622" s="29"/>
      <c r="F2622" s="30"/>
      <c r="G2622" s="30"/>
      <c r="H2622" s="30"/>
      <c r="I2622" s="30"/>
      <c r="J2622" s="30"/>
      <c r="K2622" s="30"/>
      <c r="L2622" s="29"/>
      <c r="M2622" s="29"/>
      <c r="N2622" s="29"/>
      <c r="O2622" s="29"/>
      <c r="P2622" s="29"/>
      <c r="Q2622" s="29"/>
      <c r="R2622" s="29"/>
      <c r="S2622" s="29"/>
      <c r="T2622" s="29"/>
      <c r="U2622" s="31"/>
      <c r="V2622" s="31"/>
      <c r="W2622" s="31"/>
      <c r="X2622" s="31"/>
      <c r="Y2622" s="31"/>
    </row>
    <row r="2623" spans="1:25" x14ac:dyDescent="0.2">
      <c r="A2623" s="29"/>
      <c r="B2623" s="29"/>
      <c r="C2623" s="29"/>
      <c r="D2623" s="29"/>
      <c r="E2623" s="29"/>
      <c r="F2623" s="30"/>
      <c r="G2623" s="30"/>
      <c r="H2623" s="30"/>
      <c r="I2623" s="30"/>
      <c r="J2623" s="30"/>
      <c r="K2623" s="30"/>
      <c r="L2623" s="29"/>
      <c r="M2623" s="29"/>
      <c r="N2623" s="29"/>
      <c r="O2623" s="29"/>
      <c r="P2623" s="29"/>
      <c r="Q2623" s="29"/>
      <c r="R2623" s="29"/>
      <c r="S2623" s="29"/>
      <c r="T2623" s="29"/>
      <c r="U2623" s="31"/>
      <c r="V2623" s="31"/>
      <c r="W2623" s="31"/>
      <c r="X2623" s="31"/>
      <c r="Y2623" s="31"/>
    </row>
    <row r="2624" spans="1:25" x14ac:dyDescent="0.2">
      <c r="A2624" s="29"/>
      <c r="B2624" s="29"/>
      <c r="C2624" s="29"/>
      <c r="D2624" s="29"/>
      <c r="E2624" s="29"/>
      <c r="F2624" s="30"/>
      <c r="G2624" s="30"/>
      <c r="H2624" s="30"/>
      <c r="I2624" s="30"/>
      <c r="J2624" s="30"/>
      <c r="K2624" s="30"/>
      <c r="L2624" s="29"/>
      <c r="M2624" s="29"/>
      <c r="N2624" s="29"/>
      <c r="O2624" s="29"/>
      <c r="P2624" s="29"/>
      <c r="Q2624" s="29"/>
      <c r="R2624" s="29"/>
      <c r="S2624" s="29"/>
      <c r="T2624" s="29"/>
      <c r="U2624" s="31"/>
      <c r="V2624" s="31"/>
      <c r="W2624" s="31"/>
      <c r="X2624" s="31"/>
      <c r="Y2624" s="31"/>
    </row>
    <row r="2625" spans="1:25" x14ac:dyDescent="0.2">
      <c r="A2625" s="29"/>
      <c r="B2625" s="29"/>
      <c r="C2625" s="29"/>
      <c r="D2625" s="29"/>
      <c r="E2625" s="29"/>
      <c r="F2625" s="30"/>
      <c r="G2625" s="30"/>
      <c r="H2625" s="30"/>
      <c r="I2625" s="30"/>
      <c r="J2625" s="30"/>
      <c r="K2625" s="30"/>
      <c r="L2625" s="29"/>
      <c r="M2625" s="29"/>
      <c r="N2625" s="29"/>
      <c r="O2625" s="29"/>
      <c r="P2625" s="29"/>
      <c r="Q2625" s="29"/>
      <c r="R2625" s="29"/>
      <c r="S2625" s="29"/>
      <c r="T2625" s="29"/>
      <c r="U2625" s="31"/>
      <c r="V2625" s="31"/>
      <c r="W2625" s="31"/>
      <c r="X2625" s="31"/>
      <c r="Y2625" s="31"/>
    </row>
    <row r="2626" spans="1:25" x14ac:dyDescent="0.2">
      <c r="A2626" s="29"/>
      <c r="B2626" s="29"/>
      <c r="C2626" s="29"/>
      <c r="D2626" s="29"/>
      <c r="E2626" s="29"/>
      <c r="F2626" s="30"/>
      <c r="G2626" s="30"/>
      <c r="H2626" s="30"/>
      <c r="I2626" s="30"/>
      <c r="J2626" s="30"/>
      <c r="K2626" s="30"/>
      <c r="L2626" s="29"/>
      <c r="M2626" s="29"/>
      <c r="N2626" s="29"/>
      <c r="O2626" s="29"/>
      <c r="P2626" s="29"/>
      <c r="Q2626" s="29"/>
      <c r="R2626" s="29"/>
      <c r="S2626" s="29"/>
      <c r="T2626" s="29"/>
      <c r="U2626" s="31"/>
      <c r="V2626" s="31"/>
      <c r="W2626" s="31"/>
      <c r="X2626" s="31"/>
      <c r="Y2626" s="31"/>
    </row>
    <row r="2627" spans="1:25" x14ac:dyDescent="0.2">
      <c r="A2627" s="29"/>
      <c r="B2627" s="29"/>
      <c r="C2627" s="29"/>
      <c r="D2627" s="29"/>
      <c r="E2627" s="29"/>
      <c r="F2627" s="30"/>
      <c r="G2627" s="30"/>
      <c r="H2627" s="30"/>
      <c r="I2627" s="30"/>
      <c r="J2627" s="30"/>
      <c r="K2627" s="30"/>
      <c r="L2627" s="29"/>
      <c r="M2627" s="29"/>
      <c r="N2627" s="29"/>
      <c r="O2627" s="29"/>
      <c r="P2627" s="29"/>
      <c r="Q2627" s="29"/>
      <c r="R2627" s="29"/>
      <c r="S2627" s="29"/>
      <c r="T2627" s="29"/>
      <c r="U2627" s="31"/>
      <c r="V2627" s="31"/>
      <c r="W2627" s="31"/>
      <c r="X2627" s="31"/>
      <c r="Y2627" s="31"/>
    </row>
    <row r="2628" spans="1:25" x14ac:dyDescent="0.2">
      <c r="A2628" s="29"/>
      <c r="B2628" s="29"/>
      <c r="C2628" s="29"/>
      <c r="D2628" s="29"/>
      <c r="E2628" s="29"/>
      <c r="F2628" s="30"/>
      <c r="G2628" s="30"/>
      <c r="H2628" s="30"/>
      <c r="I2628" s="30"/>
      <c r="J2628" s="30"/>
      <c r="K2628" s="30"/>
      <c r="L2628" s="29"/>
      <c r="M2628" s="29"/>
      <c r="N2628" s="29"/>
      <c r="O2628" s="29"/>
      <c r="P2628" s="29"/>
      <c r="Q2628" s="29"/>
      <c r="R2628" s="29"/>
      <c r="S2628" s="29"/>
      <c r="T2628" s="29"/>
      <c r="U2628" s="31"/>
      <c r="V2628" s="31"/>
      <c r="W2628" s="31"/>
      <c r="X2628" s="31"/>
      <c r="Y2628" s="31"/>
    </row>
    <row r="2629" spans="1:25" x14ac:dyDescent="0.2">
      <c r="A2629" s="29"/>
      <c r="B2629" s="29"/>
      <c r="C2629" s="29"/>
      <c r="D2629" s="29"/>
      <c r="E2629" s="29"/>
      <c r="F2629" s="30"/>
      <c r="G2629" s="30"/>
      <c r="H2629" s="30"/>
      <c r="I2629" s="30"/>
      <c r="J2629" s="30"/>
      <c r="K2629" s="30"/>
      <c r="L2629" s="29"/>
      <c r="M2629" s="29"/>
      <c r="N2629" s="29"/>
      <c r="O2629" s="29"/>
      <c r="P2629" s="29"/>
      <c r="Q2629" s="29"/>
      <c r="R2629" s="29"/>
      <c r="S2629" s="29"/>
      <c r="T2629" s="29"/>
      <c r="U2629" s="31"/>
      <c r="V2629" s="31"/>
      <c r="W2629" s="31"/>
      <c r="X2629" s="31"/>
      <c r="Y2629" s="31"/>
    </row>
    <row r="2630" spans="1:25" x14ac:dyDescent="0.2">
      <c r="A2630" s="29"/>
      <c r="B2630" s="29"/>
      <c r="C2630" s="29"/>
      <c r="D2630" s="29"/>
      <c r="E2630" s="29"/>
      <c r="F2630" s="30"/>
      <c r="G2630" s="30"/>
      <c r="H2630" s="30"/>
      <c r="I2630" s="30"/>
      <c r="J2630" s="30"/>
      <c r="K2630" s="30"/>
      <c r="L2630" s="29"/>
      <c r="M2630" s="29"/>
      <c r="N2630" s="29"/>
      <c r="O2630" s="29"/>
      <c r="P2630" s="29"/>
      <c r="Q2630" s="29"/>
      <c r="R2630" s="29"/>
      <c r="S2630" s="29"/>
      <c r="T2630" s="29"/>
      <c r="U2630" s="31"/>
      <c r="V2630" s="31"/>
      <c r="W2630" s="31"/>
      <c r="X2630" s="31"/>
      <c r="Y2630" s="31"/>
    </row>
    <row r="2631" spans="1:25" x14ac:dyDescent="0.2">
      <c r="A2631" s="29"/>
      <c r="B2631" s="29"/>
      <c r="C2631" s="29"/>
      <c r="D2631" s="29"/>
      <c r="E2631" s="29"/>
      <c r="F2631" s="30"/>
      <c r="G2631" s="30"/>
      <c r="H2631" s="30"/>
      <c r="I2631" s="30"/>
      <c r="J2631" s="30"/>
      <c r="K2631" s="30"/>
      <c r="L2631" s="29"/>
      <c r="M2631" s="29"/>
      <c r="N2631" s="29"/>
      <c r="O2631" s="29"/>
      <c r="P2631" s="29"/>
      <c r="Q2631" s="29"/>
      <c r="R2631" s="29"/>
      <c r="S2631" s="29"/>
      <c r="T2631" s="29"/>
      <c r="U2631" s="31"/>
      <c r="V2631" s="31"/>
      <c r="W2631" s="31"/>
      <c r="X2631" s="31"/>
      <c r="Y2631" s="31"/>
    </row>
    <row r="2632" spans="1:25" x14ac:dyDescent="0.2">
      <c r="A2632" s="29"/>
      <c r="B2632" s="29"/>
      <c r="C2632" s="29"/>
      <c r="D2632" s="29"/>
      <c r="E2632" s="29"/>
      <c r="F2632" s="30"/>
      <c r="G2632" s="30"/>
      <c r="H2632" s="30"/>
      <c r="I2632" s="30"/>
      <c r="J2632" s="30"/>
      <c r="K2632" s="30"/>
      <c r="L2632" s="29"/>
      <c r="M2632" s="29"/>
      <c r="N2632" s="29"/>
      <c r="O2632" s="29"/>
      <c r="P2632" s="29"/>
      <c r="Q2632" s="29"/>
      <c r="R2632" s="29"/>
      <c r="S2632" s="29"/>
      <c r="T2632" s="29"/>
      <c r="U2632" s="31"/>
      <c r="V2632" s="31"/>
      <c r="W2632" s="31"/>
      <c r="X2632" s="31"/>
      <c r="Y2632" s="31"/>
    </row>
    <row r="2633" spans="1:25" x14ac:dyDescent="0.2">
      <c r="A2633" s="29"/>
      <c r="B2633" s="29"/>
      <c r="C2633" s="29"/>
      <c r="D2633" s="29"/>
      <c r="E2633" s="29"/>
      <c r="F2633" s="30"/>
      <c r="G2633" s="30"/>
      <c r="H2633" s="30"/>
      <c r="I2633" s="30"/>
      <c r="J2633" s="30"/>
      <c r="K2633" s="30"/>
      <c r="L2633" s="29"/>
      <c r="M2633" s="29"/>
      <c r="N2633" s="29"/>
      <c r="O2633" s="29"/>
      <c r="P2633" s="29"/>
      <c r="Q2633" s="29"/>
      <c r="R2633" s="29"/>
      <c r="S2633" s="29"/>
      <c r="T2633" s="29"/>
      <c r="U2633" s="31"/>
      <c r="V2633" s="31"/>
      <c r="W2633" s="31"/>
      <c r="X2633" s="31"/>
      <c r="Y2633" s="31"/>
    </row>
    <row r="2634" spans="1:25" x14ac:dyDescent="0.2">
      <c r="A2634" s="29"/>
      <c r="B2634" s="29"/>
      <c r="C2634" s="29"/>
      <c r="D2634" s="29"/>
      <c r="E2634" s="29"/>
      <c r="F2634" s="30"/>
      <c r="G2634" s="30"/>
      <c r="H2634" s="30"/>
      <c r="I2634" s="30"/>
      <c r="J2634" s="30"/>
      <c r="K2634" s="30"/>
      <c r="L2634" s="29"/>
      <c r="M2634" s="29"/>
      <c r="N2634" s="29"/>
      <c r="O2634" s="29"/>
      <c r="P2634" s="29"/>
      <c r="Q2634" s="29"/>
      <c r="R2634" s="29"/>
      <c r="S2634" s="29"/>
      <c r="T2634" s="29"/>
      <c r="U2634" s="31"/>
      <c r="V2634" s="31"/>
      <c r="W2634" s="31"/>
      <c r="X2634" s="31"/>
      <c r="Y2634" s="31"/>
    </row>
    <row r="2635" spans="1:25" x14ac:dyDescent="0.2">
      <c r="A2635" s="29"/>
      <c r="B2635" s="29"/>
      <c r="C2635" s="29"/>
      <c r="D2635" s="29"/>
      <c r="E2635" s="29"/>
      <c r="F2635" s="30"/>
      <c r="G2635" s="30"/>
      <c r="H2635" s="30"/>
      <c r="I2635" s="30"/>
      <c r="J2635" s="30"/>
      <c r="K2635" s="30"/>
      <c r="L2635" s="29"/>
      <c r="M2635" s="29"/>
      <c r="N2635" s="29"/>
      <c r="O2635" s="29"/>
      <c r="P2635" s="29"/>
      <c r="Q2635" s="29"/>
      <c r="R2635" s="29"/>
      <c r="S2635" s="29"/>
      <c r="T2635" s="29"/>
      <c r="U2635" s="31"/>
      <c r="V2635" s="31"/>
      <c r="W2635" s="31"/>
      <c r="X2635" s="31"/>
      <c r="Y2635" s="31"/>
    </row>
    <row r="2636" spans="1:25" x14ac:dyDescent="0.2">
      <c r="A2636" s="29"/>
      <c r="B2636" s="29"/>
      <c r="C2636" s="29"/>
      <c r="D2636" s="29"/>
      <c r="E2636" s="29"/>
      <c r="F2636" s="30"/>
      <c r="G2636" s="30"/>
      <c r="H2636" s="30"/>
      <c r="I2636" s="30"/>
      <c r="J2636" s="30"/>
      <c r="K2636" s="30"/>
      <c r="L2636" s="29"/>
      <c r="M2636" s="29"/>
      <c r="N2636" s="29"/>
      <c r="O2636" s="29"/>
      <c r="P2636" s="29"/>
      <c r="Q2636" s="29"/>
      <c r="R2636" s="29"/>
      <c r="S2636" s="29"/>
      <c r="T2636" s="29"/>
      <c r="U2636" s="31"/>
      <c r="V2636" s="31"/>
      <c r="W2636" s="31"/>
      <c r="X2636" s="31"/>
      <c r="Y2636" s="31"/>
    </row>
    <row r="2637" spans="1:25" x14ac:dyDescent="0.2">
      <c r="A2637" s="29"/>
      <c r="B2637" s="29"/>
      <c r="C2637" s="29"/>
      <c r="D2637" s="29"/>
      <c r="E2637" s="29"/>
      <c r="F2637" s="30"/>
      <c r="G2637" s="30"/>
      <c r="H2637" s="30"/>
      <c r="I2637" s="30"/>
      <c r="J2637" s="30"/>
      <c r="K2637" s="30"/>
      <c r="L2637" s="29"/>
      <c r="M2637" s="29"/>
      <c r="N2637" s="29"/>
      <c r="O2637" s="29"/>
      <c r="P2637" s="29"/>
      <c r="Q2637" s="29"/>
      <c r="R2637" s="29"/>
      <c r="S2637" s="29"/>
      <c r="T2637" s="29"/>
      <c r="U2637" s="31"/>
      <c r="V2637" s="31"/>
      <c r="W2637" s="31"/>
      <c r="X2637" s="31"/>
      <c r="Y2637" s="31"/>
    </row>
    <row r="2638" spans="1:25" x14ac:dyDescent="0.2">
      <c r="A2638" s="29"/>
      <c r="B2638" s="29"/>
      <c r="C2638" s="29"/>
      <c r="D2638" s="29"/>
      <c r="E2638" s="29"/>
      <c r="F2638" s="30"/>
      <c r="G2638" s="30"/>
      <c r="H2638" s="30"/>
      <c r="I2638" s="30"/>
      <c r="J2638" s="30"/>
      <c r="K2638" s="30"/>
      <c r="L2638" s="29"/>
      <c r="M2638" s="29"/>
      <c r="N2638" s="29"/>
      <c r="O2638" s="29"/>
      <c r="P2638" s="29"/>
      <c r="Q2638" s="29"/>
      <c r="R2638" s="29"/>
      <c r="S2638" s="29"/>
      <c r="T2638" s="29"/>
      <c r="U2638" s="31"/>
      <c r="V2638" s="31"/>
      <c r="W2638" s="31"/>
      <c r="X2638" s="31"/>
      <c r="Y2638" s="31"/>
    </row>
    <row r="2639" spans="1:25" x14ac:dyDescent="0.2">
      <c r="A2639" s="29"/>
      <c r="B2639" s="29"/>
      <c r="C2639" s="29"/>
      <c r="D2639" s="29"/>
      <c r="E2639" s="29"/>
      <c r="F2639" s="30"/>
      <c r="G2639" s="30"/>
      <c r="H2639" s="30"/>
      <c r="I2639" s="30"/>
      <c r="J2639" s="30"/>
      <c r="K2639" s="30"/>
      <c r="L2639" s="29"/>
      <c r="M2639" s="29"/>
      <c r="N2639" s="29"/>
      <c r="O2639" s="29"/>
      <c r="P2639" s="29"/>
      <c r="Q2639" s="29"/>
      <c r="R2639" s="29"/>
      <c r="S2639" s="29"/>
      <c r="T2639" s="29"/>
      <c r="U2639" s="31"/>
      <c r="V2639" s="31"/>
      <c r="W2639" s="31"/>
      <c r="X2639" s="31"/>
      <c r="Y2639" s="31"/>
    </row>
    <row r="2640" spans="1:25" x14ac:dyDescent="0.2">
      <c r="A2640" s="29"/>
      <c r="B2640" s="29"/>
      <c r="C2640" s="29"/>
      <c r="D2640" s="29"/>
      <c r="E2640" s="29"/>
      <c r="F2640" s="30"/>
      <c r="G2640" s="30"/>
      <c r="H2640" s="30"/>
      <c r="I2640" s="30"/>
      <c r="J2640" s="30"/>
      <c r="K2640" s="30"/>
      <c r="L2640" s="29"/>
      <c r="M2640" s="29"/>
      <c r="N2640" s="29"/>
      <c r="O2640" s="29"/>
      <c r="P2640" s="29"/>
      <c r="Q2640" s="29"/>
      <c r="R2640" s="29"/>
      <c r="S2640" s="29"/>
      <c r="T2640" s="29"/>
      <c r="U2640" s="31"/>
      <c r="V2640" s="31"/>
      <c r="W2640" s="31"/>
      <c r="X2640" s="31"/>
      <c r="Y2640" s="31"/>
    </row>
    <row r="2641" spans="1:25" x14ac:dyDescent="0.2">
      <c r="A2641" s="29"/>
      <c r="B2641" s="29"/>
      <c r="C2641" s="29"/>
      <c r="D2641" s="29"/>
      <c r="E2641" s="29"/>
      <c r="F2641" s="30"/>
      <c r="G2641" s="30"/>
      <c r="H2641" s="30"/>
      <c r="I2641" s="30"/>
      <c r="J2641" s="30"/>
      <c r="K2641" s="30"/>
      <c r="L2641" s="29"/>
      <c r="M2641" s="29"/>
      <c r="N2641" s="29"/>
      <c r="O2641" s="29"/>
      <c r="P2641" s="29"/>
      <c r="Q2641" s="29"/>
      <c r="R2641" s="29"/>
      <c r="S2641" s="29"/>
      <c r="T2641" s="29"/>
      <c r="U2641" s="31"/>
      <c r="V2641" s="31"/>
      <c r="W2641" s="31"/>
      <c r="X2641" s="31"/>
      <c r="Y2641" s="31"/>
    </row>
    <row r="2642" spans="1:25" x14ac:dyDescent="0.2">
      <c r="A2642" s="29"/>
      <c r="B2642" s="29"/>
      <c r="C2642" s="29"/>
      <c r="D2642" s="29"/>
      <c r="E2642" s="29"/>
      <c r="F2642" s="30"/>
      <c r="G2642" s="30"/>
      <c r="H2642" s="30"/>
      <c r="I2642" s="30"/>
      <c r="J2642" s="30"/>
      <c r="K2642" s="30"/>
      <c r="L2642" s="29"/>
      <c r="M2642" s="29"/>
      <c r="N2642" s="29"/>
      <c r="O2642" s="29"/>
      <c r="P2642" s="29"/>
      <c r="Q2642" s="29"/>
      <c r="R2642" s="29"/>
      <c r="S2642" s="29"/>
      <c r="T2642" s="29"/>
      <c r="U2642" s="31"/>
      <c r="V2642" s="31"/>
      <c r="W2642" s="31"/>
      <c r="X2642" s="31"/>
      <c r="Y2642" s="31"/>
    </row>
    <row r="2643" spans="1:25" x14ac:dyDescent="0.2">
      <c r="A2643" s="29"/>
      <c r="B2643" s="29"/>
      <c r="C2643" s="29"/>
      <c r="D2643" s="29"/>
      <c r="E2643" s="29"/>
      <c r="F2643" s="30"/>
      <c r="G2643" s="30"/>
      <c r="H2643" s="30"/>
      <c r="I2643" s="30"/>
      <c r="J2643" s="30"/>
      <c r="K2643" s="30"/>
      <c r="L2643" s="29"/>
      <c r="M2643" s="29"/>
      <c r="N2643" s="29"/>
      <c r="O2643" s="29"/>
      <c r="P2643" s="29"/>
      <c r="Q2643" s="29"/>
      <c r="R2643" s="29"/>
      <c r="S2643" s="29"/>
      <c r="T2643" s="29"/>
      <c r="U2643" s="31"/>
      <c r="V2643" s="31"/>
      <c r="W2643" s="31"/>
      <c r="X2643" s="31"/>
      <c r="Y2643" s="31"/>
    </row>
    <row r="2644" spans="1:25" x14ac:dyDescent="0.2">
      <c r="A2644" s="29"/>
      <c r="B2644" s="29"/>
      <c r="C2644" s="29"/>
      <c r="D2644" s="29"/>
      <c r="E2644" s="29"/>
      <c r="F2644" s="30"/>
      <c r="G2644" s="30"/>
      <c r="H2644" s="30"/>
      <c r="I2644" s="30"/>
      <c r="J2644" s="30"/>
      <c r="K2644" s="30"/>
      <c r="L2644" s="29"/>
      <c r="M2644" s="29"/>
      <c r="N2644" s="29"/>
      <c r="O2644" s="29"/>
      <c r="P2644" s="29"/>
      <c r="Q2644" s="29"/>
      <c r="R2644" s="29"/>
      <c r="S2644" s="29"/>
      <c r="T2644" s="29"/>
      <c r="U2644" s="31"/>
      <c r="V2644" s="31"/>
      <c r="W2644" s="31"/>
      <c r="X2644" s="31"/>
      <c r="Y2644" s="31"/>
    </row>
    <row r="2645" spans="1:25" x14ac:dyDescent="0.2">
      <c r="A2645" s="29"/>
      <c r="B2645" s="29"/>
      <c r="C2645" s="29"/>
      <c r="D2645" s="29"/>
      <c r="E2645" s="29"/>
      <c r="F2645" s="30"/>
      <c r="G2645" s="30"/>
      <c r="H2645" s="30"/>
      <c r="I2645" s="30"/>
      <c r="J2645" s="30"/>
      <c r="K2645" s="30"/>
      <c r="L2645" s="29"/>
      <c r="M2645" s="29"/>
      <c r="N2645" s="29"/>
      <c r="O2645" s="29"/>
      <c r="P2645" s="29"/>
      <c r="Q2645" s="29"/>
      <c r="R2645" s="29"/>
      <c r="S2645" s="29"/>
      <c r="T2645" s="29"/>
      <c r="U2645" s="31"/>
      <c r="V2645" s="31"/>
      <c r="W2645" s="31"/>
      <c r="X2645" s="31"/>
      <c r="Y2645" s="31"/>
    </row>
    <row r="2646" spans="1:25" x14ac:dyDescent="0.2">
      <c r="A2646" s="29"/>
      <c r="B2646" s="29"/>
      <c r="C2646" s="29"/>
      <c r="D2646" s="29"/>
      <c r="E2646" s="29"/>
      <c r="F2646" s="30"/>
      <c r="G2646" s="30"/>
      <c r="H2646" s="30"/>
      <c r="I2646" s="30"/>
      <c r="J2646" s="30"/>
      <c r="K2646" s="30"/>
      <c r="L2646" s="29"/>
      <c r="M2646" s="29"/>
      <c r="N2646" s="29"/>
      <c r="O2646" s="29"/>
      <c r="P2646" s="29"/>
      <c r="Q2646" s="29"/>
      <c r="R2646" s="29"/>
      <c r="S2646" s="29"/>
      <c r="T2646" s="29"/>
      <c r="U2646" s="31"/>
      <c r="V2646" s="31"/>
      <c r="W2646" s="31"/>
      <c r="X2646" s="31"/>
      <c r="Y2646" s="31"/>
    </row>
    <row r="2647" spans="1:25" x14ac:dyDescent="0.2">
      <c r="A2647" s="29"/>
      <c r="B2647" s="29"/>
      <c r="C2647" s="29"/>
      <c r="D2647" s="29"/>
      <c r="E2647" s="29"/>
      <c r="F2647" s="30"/>
      <c r="G2647" s="30"/>
      <c r="H2647" s="30"/>
      <c r="I2647" s="30"/>
      <c r="J2647" s="30"/>
      <c r="K2647" s="30"/>
      <c r="L2647" s="29"/>
      <c r="M2647" s="29"/>
      <c r="N2647" s="29"/>
      <c r="O2647" s="29"/>
      <c r="P2647" s="29"/>
      <c r="Q2647" s="29"/>
      <c r="R2647" s="29"/>
      <c r="S2647" s="29"/>
      <c r="T2647" s="29"/>
      <c r="U2647" s="31"/>
      <c r="V2647" s="31"/>
      <c r="W2647" s="31"/>
      <c r="X2647" s="31"/>
      <c r="Y2647" s="31"/>
    </row>
    <row r="2648" spans="1:25" x14ac:dyDescent="0.2">
      <c r="A2648" s="29"/>
      <c r="B2648" s="29"/>
      <c r="C2648" s="29"/>
      <c r="D2648" s="29"/>
      <c r="E2648" s="29"/>
      <c r="F2648" s="30"/>
      <c r="G2648" s="30"/>
      <c r="H2648" s="30"/>
      <c r="I2648" s="30"/>
      <c r="J2648" s="30"/>
      <c r="K2648" s="30"/>
      <c r="L2648" s="29"/>
      <c r="M2648" s="29"/>
      <c r="N2648" s="29"/>
      <c r="O2648" s="29"/>
      <c r="P2648" s="29"/>
      <c r="Q2648" s="29"/>
      <c r="R2648" s="29"/>
      <c r="S2648" s="29"/>
      <c r="T2648" s="29"/>
      <c r="U2648" s="31"/>
      <c r="V2648" s="31"/>
      <c r="W2648" s="31"/>
      <c r="X2648" s="31"/>
      <c r="Y2648" s="31"/>
    </row>
    <row r="2649" spans="1:25" x14ac:dyDescent="0.2">
      <c r="A2649" s="29"/>
      <c r="B2649" s="29"/>
      <c r="C2649" s="29"/>
      <c r="D2649" s="29"/>
      <c r="E2649" s="29"/>
      <c r="F2649" s="30"/>
      <c r="G2649" s="30"/>
      <c r="H2649" s="30"/>
      <c r="I2649" s="30"/>
      <c r="J2649" s="30"/>
      <c r="K2649" s="30"/>
      <c r="L2649" s="29"/>
      <c r="M2649" s="29"/>
      <c r="N2649" s="29"/>
      <c r="O2649" s="29"/>
      <c r="P2649" s="29"/>
      <c r="Q2649" s="29"/>
      <c r="R2649" s="29"/>
      <c r="S2649" s="29"/>
      <c r="T2649" s="29"/>
      <c r="U2649" s="31"/>
      <c r="V2649" s="31"/>
      <c r="W2649" s="31"/>
      <c r="X2649" s="31"/>
      <c r="Y2649" s="31"/>
    </row>
    <row r="2650" spans="1:25" x14ac:dyDescent="0.2">
      <c r="A2650" s="29"/>
      <c r="B2650" s="29"/>
      <c r="C2650" s="29"/>
      <c r="D2650" s="29"/>
      <c r="E2650" s="29"/>
      <c r="F2650" s="30"/>
      <c r="G2650" s="30"/>
      <c r="H2650" s="30"/>
      <c r="I2650" s="30"/>
      <c r="J2650" s="30"/>
      <c r="K2650" s="30"/>
      <c r="L2650" s="29"/>
      <c r="M2650" s="29"/>
      <c r="N2650" s="29"/>
      <c r="O2650" s="29"/>
      <c r="P2650" s="29"/>
      <c r="Q2650" s="29"/>
      <c r="R2650" s="29"/>
      <c r="S2650" s="29"/>
      <c r="T2650" s="29"/>
      <c r="U2650" s="31"/>
      <c r="V2650" s="31"/>
      <c r="W2650" s="31"/>
      <c r="X2650" s="31"/>
      <c r="Y2650" s="31"/>
    </row>
    <row r="2651" spans="1:25" x14ac:dyDescent="0.2">
      <c r="A2651" s="29"/>
      <c r="B2651" s="29"/>
      <c r="C2651" s="29"/>
      <c r="D2651" s="29"/>
      <c r="E2651" s="29"/>
      <c r="F2651" s="30"/>
      <c r="G2651" s="30"/>
      <c r="H2651" s="30"/>
      <c r="I2651" s="30"/>
      <c r="J2651" s="30"/>
      <c r="K2651" s="30"/>
      <c r="L2651" s="29"/>
      <c r="M2651" s="29"/>
      <c r="N2651" s="29"/>
      <c r="O2651" s="29"/>
      <c r="P2651" s="29"/>
      <c r="Q2651" s="29"/>
      <c r="R2651" s="29"/>
      <c r="S2651" s="29"/>
      <c r="T2651" s="29"/>
      <c r="U2651" s="31"/>
      <c r="V2651" s="31"/>
      <c r="W2651" s="31"/>
      <c r="X2651" s="31"/>
      <c r="Y2651" s="31"/>
    </row>
    <row r="2652" spans="1:25" x14ac:dyDescent="0.2">
      <c r="A2652" s="29"/>
      <c r="B2652" s="29"/>
      <c r="C2652" s="29"/>
      <c r="D2652" s="29"/>
      <c r="E2652" s="29"/>
      <c r="F2652" s="30"/>
      <c r="G2652" s="30"/>
      <c r="H2652" s="30"/>
      <c r="I2652" s="30"/>
      <c r="J2652" s="30"/>
      <c r="K2652" s="30"/>
      <c r="L2652" s="29"/>
      <c r="M2652" s="29"/>
      <c r="N2652" s="29"/>
      <c r="O2652" s="29"/>
      <c r="P2652" s="29"/>
      <c r="Q2652" s="29"/>
      <c r="R2652" s="29"/>
      <c r="S2652" s="29"/>
      <c r="T2652" s="29"/>
      <c r="U2652" s="31"/>
      <c r="V2652" s="31"/>
      <c r="W2652" s="31"/>
      <c r="X2652" s="31"/>
      <c r="Y2652" s="31"/>
    </row>
    <row r="2653" spans="1:25" x14ac:dyDescent="0.2">
      <c r="A2653" s="29"/>
      <c r="B2653" s="29"/>
      <c r="C2653" s="29"/>
      <c r="D2653" s="29"/>
      <c r="E2653" s="29"/>
      <c r="F2653" s="30"/>
      <c r="G2653" s="30"/>
      <c r="H2653" s="30"/>
      <c r="I2653" s="30"/>
      <c r="J2653" s="30"/>
      <c r="K2653" s="30"/>
      <c r="L2653" s="29"/>
      <c r="M2653" s="29"/>
      <c r="N2653" s="29"/>
      <c r="O2653" s="29"/>
      <c r="P2653" s="29"/>
      <c r="Q2653" s="29"/>
      <c r="R2653" s="29"/>
      <c r="S2653" s="29"/>
      <c r="T2653" s="29"/>
      <c r="U2653" s="31"/>
      <c r="V2653" s="31"/>
      <c r="W2653" s="31"/>
      <c r="X2653" s="31"/>
      <c r="Y2653" s="31"/>
    </row>
    <row r="2654" spans="1:25" x14ac:dyDescent="0.2">
      <c r="A2654" s="29"/>
      <c r="B2654" s="29"/>
      <c r="C2654" s="29"/>
      <c r="D2654" s="29"/>
      <c r="E2654" s="29"/>
      <c r="F2654" s="30"/>
      <c r="G2654" s="30"/>
      <c r="H2654" s="30"/>
      <c r="I2654" s="30"/>
      <c r="J2654" s="30"/>
      <c r="K2654" s="30"/>
      <c r="L2654" s="29"/>
      <c r="M2654" s="29"/>
      <c r="N2654" s="29"/>
      <c r="O2654" s="29"/>
      <c r="P2654" s="29"/>
      <c r="Q2654" s="29"/>
      <c r="R2654" s="29"/>
      <c r="S2654" s="29"/>
      <c r="T2654" s="29"/>
      <c r="U2654" s="31"/>
      <c r="V2654" s="31"/>
      <c r="W2654" s="31"/>
      <c r="X2654" s="31"/>
      <c r="Y2654" s="31"/>
    </row>
    <row r="2655" spans="1:25" x14ac:dyDescent="0.2">
      <c r="A2655" s="29"/>
      <c r="B2655" s="29"/>
      <c r="C2655" s="29"/>
      <c r="D2655" s="29"/>
      <c r="E2655" s="29"/>
      <c r="F2655" s="30"/>
      <c r="G2655" s="30"/>
      <c r="H2655" s="30"/>
      <c r="I2655" s="30"/>
      <c r="J2655" s="30"/>
      <c r="K2655" s="30"/>
      <c r="L2655" s="29"/>
      <c r="M2655" s="29"/>
      <c r="N2655" s="29"/>
      <c r="O2655" s="29"/>
      <c r="P2655" s="29"/>
      <c r="Q2655" s="29"/>
      <c r="R2655" s="29"/>
      <c r="S2655" s="29"/>
      <c r="T2655" s="29"/>
      <c r="U2655" s="31"/>
      <c r="V2655" s="31"/>
      <c r="W2655" s="31"/>
      <c r="X2655" s="31"/>
      <c r="Y2655" s="31"/>
    </row>
    <row r="2656" spans="1:25" x14ac:dyDescent="0.2">
      <c r="A2656" s="29"/>
      <c r="B2656" s="29"/>
      <c r="C2656" s="29"/>
      <c r="D2656" s="29"/>
      <c r="E2656" s="29"/>
      <c r="F2656" s="30"/>
      <c r="G2656" s="30"/>
      <c r="H2656" s="30"/>
      <c r="I2656" s="30"/>
      <c r="J2656" s="30"/>
      <c r="K2656" s="30"/>
      <c r="L2656" s="29"/>
      <c r="M2656" s="29"/>
      <c r="N2656" s="29"/>
      <c r="O2656" s="29"/>
      <c r="P2656" s="29"/>
      <c r="Q2656" s="29"/>
      <c r="R2656" s="29"/>
      <c r="S2656" s="29"/>
      <c r="T2656" s="29"/>
      <c r="U2656" s="31"/>
      <c r="V2656" s="31"/>
      <c r="W2656" s="31"/>
      <c r="X2656" s="31"/>
      <c r="Y2656" s="31"/>
    </row>
    <row r="2657" spans="1:25" x14ac:dyDescent="0.2">
      <c r="A2657" s="29"/>
      <c r="B2657" s="29"/>
      <c r="C2657" s="29"/>
      <c r="D2657" s="29"/>
      <c r="E2657" s="29"/>
      <c r="F2657" s="30"/>
      <c r="G2657" s="30"/>
      <c r="H2657" s="30"/>
      <c r="I2657" s="30"/>
      <c r="J2657" s="30"/>
      <c r="K2657" s="30"/>
      <c r="L2657" s="29"/>
      <c r="M2657" s="29"/>
      <c r="N2657" s="29"/>
      <c r="O2657" s="29"/>
      <c r="P2657" s="29"/>
      <c r="Q2657" s="29"/>
      <c r="R2657" s="29"/>
      <c r="S2657" s="29"/>
      <c r="T2657" s="29"/>
      <c r="U2657" s="31"/>
      <c r="V2657" s="31"/>
      <c r="W2657" s="31"/>
      <c r="X2657" s="31"/>
      <c r="Y2657" s="31"/>
    </row>
    <row r="2658" spans="1:25" x14ac:dyDescent="0.2">
      <c r="A2658" s="29"/>
      <c r="B2658" s="29"/>
      <c r="C2658" s="29"/>
      <c r="D2658" s="29"/>
      <c r="E2658" s="29"/>
      <c r="F2658" s="30"/>
      <c r="G2658" s="30"/>
      <c r="H2658" s="30"/>
      <c r="I2658" s="30"/>
      <c r="J2658" s="30"/>
      <c r="K2658" s="30"/>
      <c r="L2658" s="29"/>
      <c r="M2658" s="29"/>
      <c r="N2658" s="29"/>
      <c r="O2658" s="29"/>
      <c r="P2658" s="29"/>
      <c r="Q2658" s="29"/>
      <c r="R2658" s="29"/>
      <c r="S2658" s="29"/>
      <c r="T2658" s="29"/>
      <c r="U2658" s="31"/>
      <c r="V2658" s="31"/>
      <c r="W2658" s="31"/>
      <c r="X2658" s="31"/>
      <c r="Y2658" s="31"/>
    </row>
    <row r="2659" spans="1:25" x14ac:dyDescent="0.2">
      <c r="A2659" s="29"/>
      <c r="B2659" s="29"/>
      <c r="C2659" s="29"/>
      <c r="D2659" s="29"/>
      <c r="E2659" s="29"/>
      <c r="F2659" s="30"/>
      <c r="G2659" s="30"/>
      <c r="H2659" s="30"/>
      <c r="I2659" s="30"/>
      <c r="J2659" s="30"/>
      <c r="K2659" s="30"/>
      <c r="L2659" s="29"/>
      <c r="M2659" s="29"/>
      <c r="N2659" s="29"/>
      <c r="O2659" s="29"/>
      <c r="P2659" s="29"/>
      <c r="Q2659" s="29"/>
      <c r="R2659" s="29"/>
      <c r="S2659" s="29"/>
      <c r="T2659" s="29"/>
      <c r="U2659" s="31"/>
      <c r="V2659" s="31"/>
      <c r="W2659" s="31"/>
      <c r="X2659" s="31"/>
      <c r="Y2659" s="31"/>
    </row>
    <row r="2660" spans="1:25" x14ac:dyDescent="0.2">
      <c r="A2660" s="29"/>
      <c r="B2660" s="29"/>
      <c r="C2660" s="29"/>
      <c r="D2660" s="29"/>
      <c r="E2660" s="29"/>
      <c r="F2660" s="30"/>
      <c r="G2660" s="30"/>
      <c r="H2660" s="30"/>
      <c r="I2660" s="30"/>
      <c r="J2660" s="30"/>
      <c r="K2660" s="30"/>
      <c r="L2660" s="29"/>
      <c r="M2660" s="29"/>
      <c r="N2660" s="29"/>
      <c r="O2660" s="29"/>
      <c r="P2660" s="29"/>
      <c r="Q2660" s="29"/>
      <c r="R2660" s="29"/>
      <c r="S2660" s="29"/>
      <c r="T2660" s="29"/>
      <c r="U2660" s="31"/>
      <c r="V2660" s="31"/>
      <c r="W2660" s="31"/>
      <c r="X2660" s="31"/>
      <c r="Y2660" s="31"/>
    </row>
    <row r="2661" spans="1:25" x14ac:dyDescent="0.2">
      <c r="A2661" s="29"/>
      <c r="B2661" s="29"/>
      <c r="C2661" s="29"/>
      <c r="D2661" s="29"/>
      <c r="E2661" s="29"/>
      <c r="F2661" s="30"/>
      <c r="G2661" s="30"/>
      <c r="H2661" s="30"/>
      <c r="I2661" s="30"/>
      <c r="J2661" s="30"/>
      <c r="K2661" s="30"/>
      <c r="L2661" s="29"/>
      <c r="M2661" s="29"/>
      <c r="N2661" s="29"/>
      <c r="O2661" s="29"/>
      <c r="P2661" s="29"/>
      <c r="Q2661" s="29"/>
      <c r="R2661" s="29"/>
      <c r="S2661" s="29"/>
      <c r="T2661" s="29"/>
      <c r="U2661" s="31"/>
      <c r="V2661" s="31"/>
      <c r="W2661" s="31"/>
      <c r="X2661" s="31"/>
      <c r="Y2661" s="31"/>
    </row>
    <row r="2662" spans="1:25" x14ac:dyDescent="0.2">
      <c r="A2662" s="29"/>
      <c r="B2662" s="29"/>
      <c r="C2662" s="29"/>
      <c r="D2662" s="29"/>
      <c r="E2662" s="29"/>
      <c r="F2662" s="30"/>
      <c r="G2662" s="30"/>
      <c r="H2662" s="30"/>
      <c r="I2662" s="30"/>
      <c r="J2662" s="30"/>
      <c r="K2662" s="30"/>
      <c r="L2662" s="29"/>
      <c r="M2662" s="29"/>
      <c r="N2662" s="29"/>
      <c r="O2662" s="29"/>
      <c r="P2662" s="29"/>
      <c r="Q2662" s="29"/>
      <c r="R2662" s="29"/>
      <c r="S2662" s="29"/>
      <c r="T2662" s="29"/>
      <c r="U2662" s="31"/>
      <c r="V2662" s="31"/>
      <c r="W2662" s="31"/>
      <c r="X2662" s="31"/>
      <c r="Y2662" s="31"/>
    </row>
    <row r="2663" spans="1:25" x14ac:dyDescent="0.2">
      <c r="A2663" s="29"/>
      <c r="B2663" s="29"/>
      <c r="C2663" s="29"/>
      <c r="D2663" s="29"/>
      <c r="E2663" s="29"/>
      <c r="F2663" s="30"/>
      <c r="G2663" s="30"/>
      <c r="H2663" s="30"/>
      <c r="I2663" s="30"/>
      <c r="J2663" s="30"/>
      <c r="K2663" s="30"/>
      <c r="L2663" s="29"/>
      <c r="M2663" s="29"/>
      <c r="N2663" s="29"/>
      <c r="O2663" s="29"/>
      <c r="P2663" s="29"/>
      <c r="Q2663" s="29"/>
      <c r="R2663" s="29"/>
      <c r="S2663" s="29"/>
      <c r="T2663" s="29"/>
      <c r="U2663" s="31"/>
      <c r="V2663" s="31"/>
      <c r="W2663" s="31"/>
      <c r="X2663" s="31"/>
      <c r="Y2663" s="31"/>
    </row>
    <row r="2664" spans="1:25" x14ac:dyDescent="0.2">
      <c r="A2664" s="29"/>
      <c r="B2664" s="29"/>
      <c r="C2664" s="29"/>
      <c r="D2664" s="29"/>
      <c r="E2664" s="29"/>
      <c r="F2664" s="30"/>
      <c r="G2664" s="30"/>
      <c r="H2664" s="30"/>
      <c r="I2664" s="30"/>
      <c r="J2664" s="30"/>
      <c r="K2664" s="30"/>
      <c r="L2664" s="29"/>
      <c r="M2664" s="29"/>
      <c r="N2664" s="29"/>
      <c r="O2664" s="29"/>
      <c r="P2664" s="29"/>
      <c r="Q2664" s="29"/>
      <c r="R2664" s="29"/>
      <c r="S2664" s="29"/>
      <c r="T2664" s="29"/>
      <c r="U2664" s="31"/>
      <c r="V2664" s="31"/>
      <c r="W2664" s="31"/>
      <c r="X2664" s="31"/>
      <c r="Y2664" s="31"/>
    </row>
    <row r="2665" spans="1:25" x14ac:dyDescent="0.2">
      <c r="A2665" s="29"/>
      <c r="B2665" s="29"/>
      <c r="C2665" s="29"/>
      <c r="D2665" s="29"/>
      <c r="E2665" s="29"/>
      <c r="F2665" s="30"/>
      <c r="G2665" s="30"/>
      <c r="H2665" s="30"/>
      <c r="I2665" s="30"/>
      <c r="J2665" s="30"/>
      <c r="K2665" s="30"/>
      <c r="L2665" s="29"/>
      <c r="M2665" s="29"/>
      <c r="N2665" s="29"/>
      <c r="O2665" s="29"/>
      <c r="P2665" s="29"/>
      <c r="Q2665" s="29"/>
      <c r="R2665" s="29"/>
      <c r="S2665" s="29"/>
      <c r="T2665" s="29"/>
      <c r="U2665" s="31"/>
      <c r="V2665" s="31"/>
      <c r="W2665" s="31"/>
      <c r="X2665" s="31"/>
      <c r="Y2665" s="31"/>
    </row>
    <row r="2666" spans="1:25" x14ac:dyDescent="0.2">
      <c r="A2666" s="29"/>
      <c r="B2666" s="29"/>
      <c r="C2666" s="29"/>
      <c r="D2666" s="29"/>
      <c r="E2666" s="29"/>
      <c r="F2666" s="30"/>
      <c r="G2666" s="30"/>
      <c r="H2666" s="30"/>
      <c r="I2666" s="30"/>
      <c r="J2666" s="30"/>
      <c r="K2666" s="30"/>
      <c r="L2666" s="29"/>
      <c r="M2666" s="29"/>
      <c r="N2666" s="29"/>
      <c r="O2666" s="29"/>
      <c r="P2666" s="29"/>
      <c r="Q2666" s="29"/>
      <c r="R2666" s="29"/>
      <c r="S2666" s="29"/>
      <c r="T2666" s="29"/>
      <c r="U2666" s="31"/>
      <c r="V2666" s="31"/>
      <c r="W2666" s="31"/>
      <c r="X2666" s="31"/>
      <c r="Y2666" s="31"/>
    </row>
    <row r="2667" spans="1:25" x14ac:dyDescent="0.2">
      <c r="A2667" s="29"/>
      <c r="B2667" s="29"/>
      <c r="C2667" s="29"/>
      <c r="D2667" s="29"/>
      <c r="E2667" s="29"/>
      <c r="F2667" s="30"/>
      <c r="G2667" s="30"/>
      <c r="H2667" s="30"/>
      <c r="I2667" s="30"/>
      <c r="J2667" s="30"/>
      <c r="K2667" s="30"/>
      <c r="L2667" s="29"/>
      <c r="M2667" s="29"/>
      <c r="N2667" s="29"/>
      <c r="O2667" s="29"/>
      <c r="P2667" s="29"/>
      <c r="Q2667" s="29"/>
      <c r="R2667" s="29"/>
      <c r="S2667" s="29"/>
      <c r="T2667" s="29"/>
      <c r="U2667" s="31"/>
      <c r="V2667" s="31"/>
      <c r="W2667" s="31"/>
      <c r="X2667" s="31"/>
      <c r="Y2667" s="31"/>
    </row>
    <row r="2668" spans="1:25" x14ac:dyDescent="0.2">
      <c r="A2668" s="29"/>
      <c r="B2668" s="29"/>
      <c r="C2668" s="29"/>
      <c r="D2668" s="29"/>
      <c r="E2668" s="29"/>
      <c r="F2668" s="30"/>
      <c r="G2668" s="30"/>
      <c r="H2668" s="30"/>
      <c r="I2668" s="30"/>
      <c r="J2668" s="30"/>
      <c r="K2668" s="30"/>
      <c r="L2668" s="29"/>
      <c r="M2668" s="29"/>
      <c r="N2668" s="29"/>
      <c r="O2668" s="29"/>
      <c r="P2668" s="29"/>
      <c r="Q2668" s="29"/>
      <c r="R2668" s="29"/>
      <c r="S2668" s="29"/>
      <c r="T2668" s="29"/>
      <c r="U2668" s="31"/>
      <c r="V2668" s="31"/>
      <c r="W2668" s="31"/>
      <c r="X2668" s="31"/>
      <c r="Y2668" s="31"/>
    </row>
    <row r="2669" spans="1:25" x14ac:dyDescent="0.2">
      <c r="A2669" s="29"/>
      <c r="B2669" s="29"/>
      <c r="C2669" s="29"/>
      <c r="D2669" s="29"/>
      <c r="E2669" s="29"/>
      <c r="F2669" s="30"/>
      <c r="G2669" s="30"/>
      <c r="H2669" s="30"/>
      <c r="I2669" s="30"/>
      <c r="J2669" s="30"/>
      <c r="K2669" s="30"/>
      <c r="L2669" s="29"/>
      <c r="M2669" s="29"/>
      <c r="N2669" s="29"/>
      <c r="O2669" s="29"/>
      <c r="P2669" s="29"/>
      <c r="Q2669" s="29"/>
      <c r="R2669" s="29"/>
      <c r="S2669" s="29"/>
      <c r="T2669" s="29"/>
      <c r="U2669" s="31"/>
      <c r="V2669" s="31"/>
      <c r="W2669" s="31"/>
      <c r="X2669" s="31"/>
      <c r="Y2669" s="31"/>
    </row>
    <row r="2670" spans="1:25" x14ac:dyDescent="0.2">
      <c r="A2670" s="29"/>
      <c r="B2670" s="29"/>
      <c r="C2670" s="29"/>
      <c r="D2670" s="29"/>
      <c r="E2670" s="29"/>
      <c r="F2670" s="30"/>
      <c r="G2670" s="30"/>
      <c r="H2670" s="30"/>
      <c r="I2670" s="30"/>
      <c r="J2670" s="30"/>
      <c r="K2670" s="30"/>
      <c r="L2670" s="29"/>
      <c r="M2670" s="29"/>
      <c r="N2670" s="29"/>
      <c r="O2670" s="29"/>
      <c r="P2670" s="29"/>
      <c r="Q2670" s="29"/>
      <c r="R2670" s="29"/>
      <c r="S2670" s="29"/>
      <c r="T2670" s="29"/>
      <c r="U2670" s="31"/>
      <c r="V2670" s="31"/>
      <c r="W2670" s="31"/>
      <c r="X2670" s="31"/>
      <c r="Y2670" s="31"/>
    </row>
    <row r="2671" spans="1:25" x14ac:dyDescent="0.2">
      <c r="A2671" s="29"/>
      <c r="B2671" s="29"/>
      <c r="C2671" s="29"/>
      <c r="D2671" s="29"/>
      <c r="E2671" s="29"/>
      <c r="F2671" s="30"/>
      <c r="G2671" s="30"/>
      <c r="H2671" s="30"/>
      <c r="I2671" s="30"/>
      <c r="J2671" s="30"/>
      <c r="K2671" s="30"/>
      <c r="L2671" s="29"/>
      <c r="M2671" s="29"/>
      <c r="N2671" s="29"/>
      <c r="O2671" s="29"/>
      <c r="P2671" s="29"/>
      <c r="Q2671" s="29"/>
      <c r="R2671" s="29"/>
      <c r="S2671" s="29"/>
      <c r="T2671" s="29"/>
      <c r="U2671" s="31"/>
      <c r="V2671" s="31"/>
      <c r="W2671" s="31"/>
      <c r="X2671" s="31"/>
      <c r="Y2671" s="31"/>
    </row>
    <row r="2672" spans="1:25" x14ac:dyDescent="0.2">
      <c r="A2672" s="29"/>
      <c r="B2672" s="29"/>
      <c r="C2672" s="29"/>
      <c r="D2672" s="29"/>
      <c r="E2672" s="29"/>
      <c r="F2672" s="30"/>
      <c r="G2672" s="30"/>
      <c r="H2672" s="30"/>
      <c r="I2672" s="30"/>
      <c r="J2672" s="30"/>
      <c r="K2672" s="30"/>
      <c r="L2672" s="29"/>
      <c r="M2672" s="29"/>
      <c r="N2672" s="29"/>
      <c r="O2672" s="29"/>
      <c r="P2672" s="29"/>
      <c r="Q2672" s="29"/>
      <c r="R2672" s="29"/>
      <c r="S2672" s="29"/>
      <c r="T2672" s="29"/>
      <c r="U2672" s="31"/>
      <c r="V2672" s="31"/>
      <c r="W2672" s="31"/>
      <c r="X2672" s="31"/>
      <c r="Y2672" s="31"/>
    </row>
    <row r="2673" spans="1:25" x14ac:dyDescent="0.2">
      <c r="A2673" s="29"/>
      <c r="B2673" s="29"/>
      <c r="C2673" s="29"/>
      <c r="D2673" s="29"/>
      <c r="E2673" s="29"/>
      <c r="F2673" s="30"/>
      <c r="G2673" s="30"/>
      <c r="H2673" s="30"/>
      <c r="I2673" s="30"/>
      <c r="J2673" s="30"/>
      <c r="K2673" s="30"/>
      <c r="L2673" s="29"/>
      <c r="M2673" s="29"/>
      <c r="N2673" s="29"/>
      <c r="O2673" s="29"/>
      <c r="P2673" s="29"/>
      <c r="Q2673" s="29"/>
      <c r="R2673" s="29"/>
      <c r="S2673" s="29"/>
      <c r="T2673" s="29"/>
      <c r="U2673" s="31"/>
      <c r="V2673" s="31"/>
      <c r="W2673" s="31"/>
      <c r="X2673" s="31"/>
      <c r="Y2673" s="31"/>
    </row>
    <row r="2674" spans="1:25" x14ac:dyDescent="0.2">
      <c r="A2674" s="29"/>
      <c r="B2674" s="29"/>
      <c r="C2674" s="29"/>
      <c r="D2674" s="29"/>
      <c r="E2674" s="29"/>
      <c r="F2674" s="30"/>
      <c r="G2674" s="30"/>
      <c r="H2674" s="30"/>
      <c r="I2674" s="30"/>
      <c r="J2674" s="30"/>
      <c r="K2674" s="30"/>
      <c r="L2674" s="29"/>
      <c r="M2674" s="29"/>
      <c r="N2674" s="29"/>
      <c r="O2674" s="29"/>
      <c r="P2674" s="29"/>
      <c r="Q2674" s="29"/>
      <c r="R2674" s="29"/>
      <c r="S2674" s="29"/>
      <c r="T2674" s="29"/>
      <c r="U2674" s="31"/>
      <c r="V2674" s="31"/>
      <c r="W2674" s="31"/>
      <c r="X2674" s="31"/>
      <c r="Y2674" s="31"/>
    </row>
    <row r="2675" spans="1:25" x14ac:dyDescent="0.2">
      <c r="A2675" s="29"/>
      <c r="B2675" s="29"/>
      <c r="C2675" s="29"/>
      <c r="D2675" s="29"/>
      <c r="E2675" s="29"/>
      <c r="F2675" s="30"/>
      <c r="G2675" s="30"/>
      <c r="H2675" s="30"/>
      <c r="I2675" s="30"/>
      <c r="J2675" s="30"/>
      <c r="K2675" s="30"/>
      <c r="L2675" s="29"/>
      <c r="M2675" s="29"/>
      <c r="N2675" s="29"/>
      <c r="O2675" s="29"/>
      <c r="P2675" s="29"/>
      <c r="Q2675" s="29"/>
      <c r="R2675" s="29"/>
      <c r="S2675" s="29"/>
      <c r="T2675" s="29"/>
      <c r="U2675" s="31"/>
      <c r="V2675" s="31"/>
      <c r="W2675" s="31"/>
      <c r="X2675" s="31"/>
      <c r="Y2675" s="31"/>
    </row>
    <row r="2676" spans="1:25" x14ac:dyDescent="0.2">
      <c r="A2676" s="29"/>
      <c r="B2676" s="29"/>
      <c r="C2676" s="29"/>
      <c r="D2676" s="29"/>
      <c r="E2676" s="29"/>
      <c r="F2676" s="30"/>
      <c r="G2676" s="30"/>
      <c r="H2676" s="30"/>
      <c r="I2676" s="30"/>
      <c r="J2676" s="30"/>
      <c r="K2676" s="30"/>
      <c r="L2676" s="29"/>
      <c r="M2676" s="29"/>
      <c r="N2676" s="29"/>
      <c r="O2676" s="29"/>
      <c r="P2676" s="29"/>
      <c r="Q2676" s="29"/>
      <c r="R2676" s="29"/>
      <c r="S2676" s="29"/>
      <c r="T2676" s="29"/>
      <c r="U2676" s="31"/>
      <c r="V2676" s="31"/>
      <c r="W2676" s="31"/>
      <c r="X2676" s="31"/>
      <c r="Y2676" s="31"/>
    </row>
    <row r="2677" spans="1:25" x14ac:dyDescent="0.2">
      <c r="A2677" s="29"/>
      <c r="B2677" s="29"/>
      <c r="C2677" s="29"/>
      <c r="D2677" s="29"/>
      <c r="E2677" s="29"/>
      <c r="F2677" s="30"/>
      <c r="G2677" s="30"/>
      <c r="H2677" s="30"/>
      <c r="I2677" s="30"/>
      <c r="J2677" s="30"/>
      <c r="K2677" s="30"/>
      <c r="L2677" s="29"/>
      <c r="M2677" s="29"/>
      <c r="N2677" s="29"/>
      <c r="O2677" s="29"/>
      <c r="P2677" s="29"/>
      <c r="Q2677" s="29"/>
      <c r="R2677" s="29"/>
      <c r="S2677" s="29"/>
      <c r="T2677" s="29"/>
      <c r="U2677" s="31"/>
      <c r="V2677" s="31"/>
      <c r="W2677" s="31"/>
      <c r="X2677" s="31"/>
      <c r="Y2677" s="31"/>
    </row>
    <row r="2678" spans="1:25" x14ac:dyDescent="0.2">
      <c r="A2678" s="29"/>
      <c r="B2678" s="29"/>
      <c r="C2678" s="29"/>
      <c r="D2678" s="29"/>
      <c r="E2678" s="29"/>
      <c r="F2678" s="30"/>
      <c r="G2678" s="30"/>
      <c r="H2678" s="30"/>
      <c r="I2678" s="30"/>
      <c r="J2678" s="30"/>
      <c r="K2678" s="30"/>
      <c r="L2678" s="29"/>
      <c r="M2678" s="29"/>
      <c r="N2678" s="29"/>
      <c r="O2678" s="29"/>
      <c r="P2678" s="29"/>
      <c r="Q2678" s="29"/>
      <c r="R2678" s="29"/>
      <c r="S2678" s="29"/>
      <c r="T2678" s="29"/>
      <c r="U2678" s="31"/>
      <c r="V2678" s="31"/>
      <c r="W2678" s="31"/>
      <c r="X2678" s="31"/>
      <c r="Y2678" s="31"/>
    </row>
    <row r="2679" spans="1:25" x14ac:dyDescent="0.2">
      <c r="A2679" s="29"/>
      <c r="B2679" s="29"/>
      <c r="C2679" s="29"/>
      <c r="D2679" s="29"/>
      <c r="E2679" s="29"/>
      <c r="F2679" s="30"/>
      <c r="G2679" s="30"/>
      <c r="H2679" s="30"/>
      <c r="I2679" s="30"/>
      <c r="J2679" s="30"/>
      <c r="K2679" s="30"/>
      <c r="L2679" s="29"/>
      <c r="M2679" s="29"/>
      <c r="N2679" s="29"/>
      <c r="O2679" s="29"/>
      <c r="P2679" s="29"/>
      <c r="Q2679" s="29"/>
      <c r="R2679" s="29"/>
      <c r="S2679" s="29"/>
      <c r="T2679" s="29"/>
      <c r="U2679" s="31"/>
      <c r="V2679" s="31"/>
      <c r="W2679" s="31"/>
      <c r="X2679" s="31"/>
      <c r="Y2679" s="31"/>
    </row>
    <row r="2680" spans="1:25" x14ac:dyDescent="0.2">
      <c r="A2680" s="29"/>
      <c r="B2680" s="29"/>
      <c r="C2680" s="29"/>
      <c r="D2680" s="29"/>
      <c r="E2680" s="29"/>
      <c r="F2680" s="30"/>
      <c r="G2680" s="30"/>
      <c r="H2680" s="30"/>
      <c r="I2680" s="30"/>
      <c r="J2680" s="30"/>
      <c r="K2680" s="30"/>
      <c r="L2680" s="29"/>
      <c r="M2680" s="29"/>
      <c r="N2680" s="29"/>
      <c r="O2680" s="29"/>
      <c r="P2680" s="29"/>
      <c r="Q2680" s="29"/>
      <c r="R2680" s="29"/>
      <c r="S2680" s="29"/>
      <c r="T2680" s="29"/>
      <c r="U2680" s="31"/>
      <c r="V2680" s="31"/>
      <c r="W2680" s="31"/>
      <c r="X2680" s="31"/>
      <c r="Y2680" s="31"/>
    </row>
    <row r="2681" spans="1:25" x14ac:dyDescent="0.2">
      <c r="A2681" s="29"/>
      <c r="B2681" s="29"/>
      <c r="C2681" s="29"/>
      <c r="D2681" s="29"/>
      <c r="E2681" s="29"/>
      <c r="F2681" s="30"/>
      <c r="G2681" s="30"/>
      <c r="H2681" s="30"/>
      <c r="I2681" s="30"/>
      <c r="J2681" s="30"/>
      <c r="K2681" s="30"/>
      <c r="L2681" s="29"/>
      <c r="M2681" s="29"/>
      <c r="N2681" s="29"/>
      <c r="O2681" s="29"/>
      <c r="P2681" s="29"/>
      <c r="Q2681" s="29"/>
      <c r="R2681" s="29"/>
      <c r="S2681" s="29"/>
      <c r="T2681" s="29"/>
      <c r="U2681" s="31"/>
      <c r="V2681" s="31"/>
      <c r="W2681" s="31"/>
      <c r="X2681" s="31"/>
      <c r="Y2681" s="31"/>
    </row>
    <row r="2682" spans="1:25" x14ac:dyDescent="0.2">
      <c r="A2682" s="29"/>
      <c r="B2682" s="29"/>
      <c r="C2682" s="29"/>
      <c r="D2682" s="29"/>
      <c r="E2682" s="29"/>
      <c r="F2682" s="30"/>
      <c r="G2682" s="30"/>
      <c r="H2682" s="30"/>
      <c r="I2682" s="30"/>
      <c r="J2682" s="30"/>
      <c r="K2682" s="30"/>
      <c r="L2682" s="29"/>
      <c r="M2682" s="29"/>
      <c r="N2682" s="29"/>
      <c r="O2682" s="29"/>
      <c r="P2682" s="29"/>
      <c r="Q2682" s="29"/>
      <c r="R2682" s="29"/>
      <c r="S2682" s="29"/>
      <c r="T2682" s="29"/>
      <c r="U2682" s="31"/>
      <c r="V2682" s="31"/>
      <c r="W2682" s="31"/>
      <c r="X2682" s="31"/>
      <c r="Y2682" s="31"/>
    </row>
    <row r="2683" spans="1:25" x14ac:dyDescent="0.2">
      <c r="A2683" s="29"/>
      <c r="B2683" s="29"/>
      <c r="C2683" s="29"/>
      <c r="D2683" s="29"/>
      <c r="E2683" s="29"/>
      <c r="F2683" s="30"/>
      <c r="G2683" s="30"/>
      <c r="H2683" s="30"/>
      <c r="I2683" s="30"/>
      <c r="J2683" s="30"/>
      <c r="K2683" s="30"/>
      <c r="L2683" s="29"/>
      <c r="M2683" s="29"/>
      <c r="N2683" s="29"/>
      <c r="O2683" s="29"/>
      <c r="P2683" s="29"/>
      <c r="Q2683" s="29"/>
      <c r="R2683" s="29"/>
      <c r="S2683" s="29"/>
      <c r="T2683" s="29"/>
      <c r="U2683" s="31"/>
      <c r="V2683" s="31"/>
      <c r="W2683" s="31"/>
      <c r="X2683" s="31"/>
      <c r="Y2683" s="31"/>
    </row>
    <row r="2684" spans="1:25" x14ac:dyDescent="0.2">
      <c r="A2684" s="29"/>
      <c r="B2684" s="29"/>
      <c r="C2684" s="29"/>
      <c r="D2684" s="29"/>
      <c r="E2684" s="29"/>
      <c r="F2684" s="30"/>
      <c r="G2684" s="30"/>
      <c r="H2684" s="30"/>
      <c r="I2684" s="30"/>
      <c r="J2684" s="30"/>
      <c r="K2684" s="30"/>
      <c r="L2684" s="29"/>
      <c r="M2684" s="29"/>
      <c r="N2684" s="29"/>
      <c r="O2684" s="29"/>
      <c r="P2684" s="29"/>
      <c r="Q2684" s="29"/>
      <c r="R2684" s="29"/>
      <c r="S2684" s="29"/>
      <c r="T2684" s="29"/>
      <c r="U2684" s="31"/>
      <c r="V2684" s="31"/>
      <c r="W2684" s="31"/>
      <c r="X2684" s="31"/>
      <c r="Y2684" s="31"/>
    </row>
    <row r="2685" spans="1:25" x14ac:dyDescent="0.2">
      <c r="A2685" s="29"/>
      <c r="B2685" s="29"/>
      <c r="C2685" s="29"/>
      <c r="D2685" s="29"/>
      <c r="E2685" s="29"/>
      <c r="F2685" s="30"/>
      <c r="G2685" s="30"/>
      <c r="H2685" s="30"/>
      <c r="I2685" s="30"/>
      <c r="J2685" s="30"/>
      <c r="K2685" s="30"/>
      <c r="L2685" s="29"/>
      <c r="M2685" s="29"/>
      <c r="N2685" s="29"/>
      <c r="O2685" s="29"/>
      <c r="P2685" s="29"/>
      <c r="Q2685" s="29"/>
      <c r="R2685" s="29"/>
      <c r="S2685" s="29"/>
      <c r="T2685" s="29"/>
      <c r="U2685" s="31"/>
      <c r="V2685" s="31"/>
      <c r="W2685" s="31"/>
      <c r="X2685" s="31"/>
      <c r="Y2685" s="31"/>
    </row>
    <row r="2686" spans="1:25" x14ac:dyDescent="0.2">
      <c r="A2686" s="29"/>
      <c r="B2686" s="29"/>
      <c r="C2686" s="29"/>
      <c r="D2686" s="29"/>
      <c r="E2686" s="29"/>
      <c r="F2686" s="30"/>
      <c r="G2686" s="30"/>
      <c r="H2686" s="30"/>
      <c r="I2686" s="30"/>
      <c r="J2686" s="30"/>
      <c r="K2686" s="30"/>
      <c r="L2686" s="29"/>
      <c r="M2686" s="29"/>
      <c r="N2686" s="29"/>
      <c r="O2686" s="29"/>
      <c r="P2686" s="29"/>
      <c r="Q2686" s="29"/>
      <c r="R2686" s="29"/>
      <c r="S2686" s="29"/>
      <c r="T2686" s="29"/>
      <c r="U2686" s="31"/>
      <c r="V2686" s="31"/>
      <c r="W2686" s="31"/>
      <c r="X2686" s="31"/>
      <c r="Y2686" s="31"/>
    </row>
    <row r="2687" spans="1:25" x14ac:dyDescent="0.2">
      <c r="A2687" s="29"/>
      <c r="B2687" s="29"/>
      <c r="C2687" s="29"/>
      <c r="D2687" s="29"/>
      <c r="E2687" s="29"/>
      <c r="F2687" s="30"/>
      <c r="G2687" s="30"/>
      <c r="H2687" s="30"/>
      <c r="I2687" s="30"/>
      <c r="J2687" s="30"/>
      <c r="K2687" s="30"/>
      <c r="L2687" s="29"/>
      <c r="M2687" s="29"/>
      <c r="N2687" s="29"/>
      <c r="O2687" s="29"/>
      <c r="P2687" s="29"/>
      <c r="Q2687" s="29"/>
      <c r="R2687" s="29"/>
      <c r="S2687" s="29"/>
      <c r="T2687" s="29"/>
      <c r="U2687" s="31"/>
      <c r="V2687" s="31"/>
      <c r="W2687" s="31"/>
      <c r="X2687" s="31"/>
      <c r="Y2687" s="31"/>
    </row>
    <row r="2688" spans="1:25" x14ac:dyDescent="0.2">
      <c r="A2688" s="29"/>
      <c r="B2688" s="29"/>
      <c r="C2688" s="29"/>
      <c r="D2688" s="29"/>
      <c r="E2688" s="29"/>
      <c r="F2688" s="30"/>
      <c r="G2688" s="30"/>
      <c r="H2688" s="30"/>
      <c r="I2688" s="30"/>
      <c r="J2688" s="30"/>
      <c r="K2688" s="30"/>
      <c r="L2688" s="29"/>
      <c r="M2688" s="29"/>
      <c r="N2688" s="29"/>
      <c r="O2688" s="29"/>
      <c r="P2688" s="29"/>
      <c r="Q2688" s="29"/>
      <c r="R2688" s="29"/>
      <c r="S2688" s="29"/>
      <c r="T2688" s="29"/>
      <c r="U2688" s="31"/>
      <c r="V2688" s="31"/>
      <c r="W2688" s="31"/>
      <c r="X2688" s="31"/>
      <c r="Y2688" s="31"/>
    </row>
    <row r="2689" spans="1:25" x14ac:dyDescent="0.2">
      <c r="A2689" s="29"/>
      <c r="B2689" s="29"/>
      <c r="C2689" s="29"/>
      <c r="D2689" s="29"/>
      <c r="E2689" s="29"/>
      <c r="F2689" s="30"/>
      <c r="G2689" s="30"/>
      <c r="H2689" s="30"/>
      <c r="I2689" s="30"/>
      <c r="J2689" s="30"/>
      <c r="K2689" s="30"/>
      <c r="L2689" s="29"/>
      <c r="M2689" s="29"/>
      <c r="N2689" s="29"/>
      <c r="O2689" s="29"/>
      <c r="P2689" s="29"/>
      <c r="Q2689" s="29"/>
      <c r="R2689" s="29"/>
      <c r="S2689" s="29"/>
      <c r="T2689" s="29"/>
      <c r="U2689" s="31"/>
      <c r="V2689" s="31"/>
      <c r="W2689" s="31"/>
      <c r="X2689" s="31"/>
      <c r="Y2689" s="31"/>
    </row>
    <row r="2690" spans="1:25" x14ac:dyDescent="0.2">
      <c r="A2690" s="29"/>
      <c r="B2690" s="29"/>
      <c r="C2690" s="29"/>
      <c r="D2690" s="29"/>
      <c r="E2690" s="29"/>
      <c r="F2690" s="30"/>
      <c r="G2690" s="30"/>
      <c r="H2690" s="30"/>
      <c r="I2690" s="30"/>
      <c r="J2690" s="30"/>
      <c r="K2690" s="30"/>
      <c r="L2690" s="29"/>
      <c r="M2690" s="29"/>
      <c r="N2690" s="29"/>
      <c r="O2690" s="29"/>
      <c r="P2690" s="29"/>
      <c r="Q2690" s="29"/>
      <c r="R2690" s="29"/>
      <c r="S2690" s="29"/>
      <c r="T2690" s="29"/>
      <c r="U2690" s="31"/>
      <c r="V2690" s="31"/>
      <c r="W2690" s="31"/>
      <c r="X2690" s="31"/>
      <c r="Y2690" s="31"/>
    </row>
    <row r="2691" spans="1:25" x14ac:dyDescent="0.2">
      <c r="A2691" s="29"/>
      <c r="B2691" s="29"/>
      <c r="C2691" s="29"/>
      <c r="D2691" s="29"/>
      <c r="E2691" s="29"/>
      <c r="F2691" s="30"/>
      <c r="G2691" s="30"/>
      <c r="H2691" s="30"/>
      <c r="I2691" s="30"/>
      <c r="J2691" s="30"/>
      <c r="K2691" s="30"/>
      <c r="L2691" s="29"/>
      <c r="M2691" s="29"/>
      <c r="N2691" s="29"/>
      <c r="O2691" s="29"/>
      <c r="P2691" s="29"/>
      <c r="Q2691" s="29"/>
      <c r="R2691" s="29"/>
      <c r="S2691" s="29"/>
      <c r="T2691" s="29"/>
      <c r="U2691" s="31"/>
      <c r="V2691" s="31"/>
      <c r="W2691" s="31"/>
      <c r="X2691" s="31"/>
      <c r="Y2691" s="31"/>
    </row>
    <row r="2692" spans="1:25" x14ac:dyDescent="0.2">
      <c r="A2692" s="29"/>
      <c r="B2692" s="29"/>
      <c r="C2692" s="29"/>
      <c r="D2692" s="29"/>
      <c r="E2692" s="29"/>
      <c r="F2692" s="30"/>
      <c r="G2692" s="30"/>
      <c r="H2692" s="30"/>
      <c r="I2692" s="30"/>
      <c r="J2692" s="30"/>
      <c r="K2692" s="30"/>
      <c r="L2692" s="29"/>
      <c r="M2692" s="29"/>
      <c r="N2692" s="29"/>
      <c r="O2692" s="29"/>
      <c r="P2692" s="29"/>
      <c r="Q2692" s="29"/>
      <c r="R2692" s="29"/>
      <c r="S2692" s="29"/>
      <c r="T2692" s="29"/>
      <c r="U2692" s="31"/>
      <c r="V2692" s="31"/>
      <c r="W2692" s="31"/>
      <c r="X2692" s="31"/>
      <c r="Y2692" s="31"/>
    </row>
    <row r="2693" spans="1:25" x14ac:dyDescent="0.2">
      <c r="A2693" s="29"/>
      <c r="B2693" s="29"/>
      <c r="C2693" s="29"/>
      <c r="D2693" s="29"/>
      <c r="E2693" s="29"/>
      <c r="F2693" s="30"/>
      <c r="G2693" s="30"/>
      <c r="H2693" s="30"/>
      <c r="I2693" s="30"/>
      <c r="J2693" s="30"/>
      <c r="K2693" s="30"/>
      <c r="L2693" s="29"/>
      <c r="M2693" s="29"/>
      <c r="N2693" s="29"/>
      <c r="O2693" s="29"/>
      <c r="P2693" s="29"/>
      <c r="Q2693" s="29"/>
      <c r="R2693" s="29"/>
      <c r="S2693" s="29"/>
      <c r="T2693" s="29"/>
      <c r="U2693" s="31"/>
      <c r="V2693" s="31"/>
      <c r="W2693" s="31"/>
      <c r="X2693" s="31"/>
      <c r="Y2693" s="31"/>
    </row>
    <row r="2694" spans="1:25" x14ac:dyDescent="0.2">
      <c r="A2694" s="29"/>
      <c r="B2694" s="29"/>
      <c r="C2694" s="29"/>
      <c r="D2694" s="29"/>
      <c r="E2694" s="29"/>
      <c r="F2694" s="30"/>
      <c r="G2694" s="30"/>
      <c r="H2694" s="30"/>
      <c r="I2694" s="30"/>
      <c r="J2694" s="30"/>
      <c r="K2694" s="30"/>
      <c r="L2694" s="29"/>
      <c r="M2694" s="29"/>
      <c r="N2694" s="29"/>
      <c r="O2694" s="29"/>
      <c r="P2694" s="29"/>
      <c r="Q2694" s="29"/>
      <c r="R2694" s="29"/>
      <c r="S2694" s="29"/>
      <c r="T2694" s="29"/>
      <c r="U2694" s="31"/>
      <c r="V2694" s="31"/>
      <c r="W2694" s="31"/>
      <c r="X2694" s="31"/>
      <c r="Y2694" s="31"/>
    </row>
    <row r="2695" spans="1:25" x14ac:dyDescent="0.2">
      <c r="A2695" s="29"/>
      <c r="B2695" s="29"/>
      <c r="C2695" s="29"/>
      <c r="D2695" s="29"/>
      <c r="E2695" s="29"/>
      <c r="F2695" s="30"/>
      <c r="G2695" s="30"/>
      <c r="H2695" s="30"/>
      <c r="I2695" s="30"/>
      <c r="J2695" s="30"/>
      <c r="K2695" s="30"/>
      <c r="L2695" s="29"/>
      <c r="M2695" s="29"/>
      <c r="N2695" s="29"/>
      <c r="O2695" s="29"/>
      <c r="P2695" s="29"/>
      <c r="Q2695" s="29"/>
      <c r="R2695" s="29"/>
      <c r="S2695" s="29"/>
      <c r="T2695" s="29"/>
      <c r="U2695" s="31"/>
      <c r="V2695" s="31"/>
      <c r="W2695" s="31"/>
      <c r="X2695" s="31"/>
      <c r="Y2695" s="31"/>
    </row>
    <row r="2696" spans="1:25" x14ac:dyDescent="0.2">
      <c r="A2696" s="29"/>
      <c r="B2696" s="29"/>
      <c r="C2696" s="29"/>
      <c r="D2696" s="29"/>
      <c r="E2696" s="29"/>
      <c r="F2696" s="30"/>
      <c r="G2696" s="30"/>
      <c r="H2696" s="30"/>
      <c r="I2696" s="30"/>
      <c r="J2696" s="30"/>
      <c r="K2696" s="30"/>
      <c r="L2696" s="29"/>
      <c r="M2696" s="29"/>
      <c r="N2696" s="29"/>
      <c r="O2696" s="29"/>
      <c r="P2696" s="29"/>
      <c r="Q2696" s="29"/>
      <c r="R2696" s="29"/>
      <c r="S2696" s="29"/>
      <c r="T2696" s="29"/>
      <c r="U2696" s="31"/>
      <c r="V2696" s="31"/>
      <c r="W2696" s="31"/>
      <c r="X2696" s="31"/>
      <c r="Y2696" s="31"/>
    </row>
    <row r="2697" spans="1:25" x14ac:dyDescent="0.2">
      <c r="A2697" s="29"/>
      <c r="B2697" s="29"/>
      <c r="C2697" s="29"/>
      <c r="D2697" s="29"/>
      <c r="E2697" s="29"/>
      <c r="F2697" s="30"/>
      <c r="G2697" s="30"/>
      <c r="H2697" s="30"/>
      <c r="I2697" s="30"/>
      <c r="J2697" s="30"/>
      <c r="K2697" s="30"/>
      <c r="L2697" s="29"/>
      <c r="M2697" s="29"/>
      <c r="N2697" s="29"/>
      <c r="O2697" s="29"/>
      <c r="P2697" s="29"/>
      <c r="Q2697" s="29"/>
      <c r="R2697" s="29"/>
      <c r="S2697" s="29"/>
      <c r="T2697" s="29"/>
      <c r="U2697" s="31"/>
      <c r="V2697" s="31"/>
      <c r="W2697" s="31"/>
      <c r="X2697" s="31"/>
      <c r="Y2697" s="31"/>
    </row>
    <row r="2698" spans="1:25" x14ac:dyDescent="0.2">
      <c r="A2698" s="29"/>
      <c r="B2698" s="29"/>
      <c r="C2698" s="29"/>
      <c r="D2698" s="29"/>
      <c r="E2698" s="29"/>
      <c r="F2698" s="30"/>
      <c r="G2698" s="30"/>
      <c r="H2698" s="30"/>
      <c r="I2698" s="30"/>
      <c r="J2698" s="30"/>
      <c r="K2698" s="30"/>
      <c r="L2698" s="29"/>
      <c r="M2698" s="29"/>
      <c r="N2698" s="29"/>
      <c r="O2698" s="29"/>
      <c r="P2698" s="29"/>
      <c r="Q2698" s="29"/>
      <c r="R2698" s="29"/>
      <c r="S2698" s="29"/>
      <c r="T2698" s="29"/>
      <c r="U2698" s="31"/>
      <c r="V2698" s="31"/>
      <c r="W2698" s="31"/>
      <c r="X2698" s="31"/>
      <c r="Y2698" s="31"/>
    </row>
    <row r="2699" spans="1:25" x14ac:dyDescent="0.2">
      <c r="A2699" s="29"/>
      <c r="B2699" s="29"/>
      <c r="C2699" s="29"/>
      <c r="D2699" s="29"/>
      <c r="E2699" s="29"/>
      <c r="F2699" s="30"/>
      <c r="G2699" s="30"/>
      <c r="H2699" s="30"/>
      <c r="I2699" s="30"/>
      <c r="J2699" s="30"/>
      <c r="K2699" s="30"/>
      <c r="L2699" s="29"/>
      <c r="M2699" s="29"/>
      <c r="N2699" s="29"/>
      <c r="O2699" s="29"/>
      <c r="P2699" s="29"/>
      <c r="Q2699" s="29"/>
      <c r="R2699" s="29"/>
      <c r="S2699" s="29"/>
      <c r="T2699" s="29"/>
      <c r="U2699" s="31"/>
      <c r="V2699" s="31"/>
      <c r="W2699" s="31"/>
      <c r="X2699" s="31"/>
      <c r="Y2699" s="31"/>
    </row>
    <row r="2700" spans="1:25" x14ac:dyDescent="0.2">
      <c r="A2700" s="29"/>
      <c r="B2700" s="29"/>
      <c r="C2700" s="29"/>
      <c r="D2700" s="29"/>
      <c r="E2700" s="29"/>
      <c r="F2700" s="30"/>
      <c r="G2700" s="30"/>
      <c r="H2700" s="30"/>
      <c r="I2700" s="30"/>
      <c r="J2700" s="30"/>
      <c r="K2700" s="30"/>
      <c r="L2700" s="29"/>
      <c r="M2700" s="29"/>
      <c r="N2700" s="29"/>
      <c r="O2700" s="29"/>
      <c r="P2700" s="29"/>
      <c r="Q2700" s="29"/>
      <c r="R2700" s="29"/>
      <c r="S2700" s="29"/>
      <c r="T2700" s="29"/>
      <c r="U2700" s="31"/>
      <c r="V2700" s="31"/>
      <c r="W2700" s="31"/>
      <c r="X2700" s="31"/>
      <c r="Y2700" s="31"/>
    </row>
    <row r="2701" spans="1:25" x14ac:dyDescent="0.2">
      <c r="A2701" s="29"/>
      <c r="B2701" s="29"/>
      <c r="C2701" s="29"/>
      <c r="D2701" s="29"/>
      <c r="E2701" s="29"/>
      <c r="F2701" s="30"/>
      <c r="G2701" s="30"/>
      <c r="H2701" s="30"/>
      <c r="I2701" s="30"/>
      <c r="J2701" s="30"/>
      <c r="K2701" s="30"/>
      <c r="L2701" s="29"/>
      <c r="M2701" s="29"/>
      <c r="N2701" s="29"/>
      <c r="O2701" s="29"/>
      <c r="P2701" s="29"/>
      <c r="Q2701" s="29"/>
      <c r="R2701" s="29"/>
      <c r="S2701" s="29"/>
      <c r="T2701" s="29"/>
      <c r="U2701" s="31"/>
      <c r="V2701" s="31"/>
      <c r="W2701" s="31"/>
      <c r="X2701" s="31"/>
      <c r="Y2701" s="31"/>
    </row>
    <row r="2702" spans="1:25" x14ac:dyDescent="0.2">
      <c r="A2702" s="29"/>
      <c r="B2702" s="29"/>
      <c r="C2702" s="29"/>
      <c r="D2702" s="29"/>
      <c r="E2702" s="29"/>
      <c r="F2702" s="30"/>
      <c r="G2702" s="30"/>
      <c r="H2702" s="30"/>
      <c r="I2702" s="30"/>
      <c r="J2702" s="30"/>
      <c r="K2702" s="30"/>
      <c r="L2702" s="29"/>
      <c r="M2702" s="29"/>
      <c r="N2702" s="29"/>
      <c r="O2702" s="29"/>
      <c r="P2702" s="29"/>
      <c r="Q2702" s="29"/>
      <c r="R2702" s="29"/>
      <c r="S2702" s="29"/>
      <c r="T2702" s="29"/>
      <c r="U2702" s="31"/>
      <c r="V2702" s="31"/>
      <c r="W2702" s="31"/>
      <c r="X2702" s="31"/>
      <c r="Y2702" s="31"/>
    </row>
    <row r="2703" spans="1:25" x14ac:dyDescent="0.2">
      <c r="A2703" s="29"/>
      <c r="B2703" s="29"/>
      <c r="C2703" s="29"/>
      <c r="D2703" s="29"/>
      <c r="E2703" s="29"/>
      <c r="F2703" s="30"/>
      <c r="G2703" s="30"/>
      <c r="H2703" s="30"/>
      <c r="I2703" s="30"/>
      <c r="J2703" s="30"/>
      <c r="K2703" s="30"/>
      <c r="L2703" s="29"/>
      <c r="M2703" s="29"/>
      <c r="N2703" s="29"/>
      <c r="O2703" s="29"/>
      <c r="P2703" s="29"/>
      <c r="Q2703" s="29"/>
      <c r="R2703" s="29"/>
      <c r="S2703" s="29"/>
      <c r="T2703" s="29"/>
      <c r="U2703" s="31"/>
      <c r="V2703" s="31"/>
      <c r="W2703" s="31"/>
      <c r="X2703" s="31"/>
      <c r="Y2703" s="31"/>
    </row>
    <row r="2704" spans="1:25" x14ac:dyDescent="0.2">
      <c r="A2704" s="29"/>
      <c r="B2704" s="29"/>
      <c r="C2704" s="29"/>
      <c r="D2704" s="29"/>
      <c r="E2704" s="29"/>
      <c r="F2704" s="30"/>
      <c r="G2704" s="30"/>
      <c r="H2704" s="30"/>
      <c r="I2704" s="30"/>
      <c r="J2704" s="30"/>
      <c r="K2704" s="30"/>
      <c r="L2704" s="29"/>
      <c r="M2704" s="29"/>
      <c r="N2704" s="29"/>
      <c r="O2704" s="29"/>
      <c r="P2704" s="29"/>
      <c r="Q2704" s="29"/>
      <c r="R2704" s="29"/>
      <c r="S2704" s="29"/>
      <c r="T2704" s="29"/>
      <c r="U2704" s="31"/>
      <c r="V2704" s="31"/>
      <c r="W2704" s="31"/>
      <c r="X2704" s="31"/>
      <c r="Y2704" s="31"/>
    </row>
    <row r="2705" spans="1:25" x14ac:dyDescent="0.2">
      <c r="A2705" s="29"/>
      <c r="B2705" s="29"/>
      <c r="C2705" s="29"/>
      <c r="D2705" s="29"/>
      <c r="E2705" s="29"/>
      <c r="F2705" s="30"/>
      <c r="G2705" s="30"/>
      <c r="H2705" s="30"/>
      <c r="I2705" s="30"/>
      <c r="J2705" s="30"/>
      <c r="K2705" s="30"/>
      <c r="L2705" s="29"/>
      <c r="M2705" s="29"/>
      <c r="N2705" s="29"/>
      <c r="O2705" s="29"/>
      <c r="P2705" s="29"/>
      <c r="Q2705" s="29"/>
      <c r="R2705" s="29"/>
      <c r="S2705" s="29"/>
      <c r="T2705" s="29"/>
      <c r="U2705" s="31"/>
      <c r="V2705" s="31"/>
      <c r="W2705" s="31"/>
      <c r="X2705" s="31"/>
      <c r="Y2705" s="31"/>
    </row>
    <row r="2706" spans="1:25" x14ac:dyDescent="0.2">
      <c r="A2706" s="29"/>
      <c r="B2706" s="29"/>
      <c r="C2706" s="29"/>
      <c r="D2706" s="29"/>
      <c r="E2706" s="29"/>
      <c r="F2706" s="30"/>
      <c r="G2706" s="30"/>
      <c r="H2706" s="30"/>
      <c r="I2706" s="30"/>
      <c r="J2706" s="30"/>
      <c r="K2706" s="30"/>
      <c r="L2706" s="29"/>
      <c r="M2706" s="29"/>
      <c r="N2706" s="29"/>
      <c r="O2706" s="29"/>
      <c r="P2706" s="29"/>
      <c r="Q2706" s="29"/>
      <c r="R2706" s="29"/>
      <c r="S2706" s="29"/>
      <c r="T2706" s="29"/>
      <c r="U2706" s="31"/>
      <c r="V2706" s="31"/>
      <c r="W2706" s="31"/>
      <c r="X2706" s="31"/>
      <c r="Y2706" s="31"/>
    </row>
    <row r="2707" spans="1:25" x14ac:dyDescent="0.2">
      <c r="A2707" s="29"/>
      <c r="B2707" s="29"/>
      <c r="C2707" s="29"/>
      <c r="D2707" s="29"/>
      <c r="E2707" s="29"/>
      <c r="F2707" s="30"/>
      <c r="G2707" s="30"/>
      <c r="H2707" s="30"/>
      <c r="I2707" s="30"/>
      <c r="J2707" s="30"/>
      <c r="K2707" s="30"/>
      <c r="L2707" s="29"/>
      <c r="M2707" s="29"/>
      <c r="N2707" s="29"/>
      <c r="O2707" s="29"/>
      <c r="P2707" s="29"/>
      <c r="Q2707" s="29"/>
      <c r="R2707" s="29"/>
      <c r="S2707" s="29"/>
      <c r="T2707" s="29"/>
      <c r="U2707" s="31"/>
      <c r="V2707" s="31"/>
      <c r="W2707" s="31"/>
      <c r="X2707" s="31"/>
      <c r="Y2707" s="31"/>
    </row>
    <row r="2708" spans="1:25" x14ac:dyDescent="0.2">
      <c r="A2708" s="29"/>
      <c r="B2708" s="29"/>
      <c r="C2708" s="29"/>
      <c r="D2708" s="29"/>
      <c r="E2708" s="29"/>
      <c r="F2708" s="30"/>
      <c r="G2708" s="30"/>
      <c r="H2708" s="30"/>
      <c r="I2708" s="30"/>
      <c r="J2708" s="30"/>
      <c r="K2708" s="30"/>
      <c r="L2708" s="29"/>
      <c r="M2708" s="29"/>
      <c r="N2708" s="29"/>
      <c r="O2708" s="29"/>
      <c r="P2708" s="29"/>
      <c r="Q2708" s="29"/>
      <c r="R2708" s="29"/>
      <c r="S2708" s="29"/>
      <c r="T2708" s="29"/>
      <c r="U2708" s="31"/>
      <c r="V2708" s="31"/>
      <c r="W2708" s="31"/>
      <c r="X2708" s="31"/>
      <c r="Y2708" s="31"/>
    </row>
    <row r="2709" spans="1:25" x14ac:dyDescent="0.2">
      <c r="A2709" s="29"/>
      <c r="B2709" s="29"/>
      <c r="C2709" s="29"/>
      <c r="D2709" s="29"/>
      <c r="E2709" s="29"/>
      <c r="F2709" s="30"/>
      <c r="G2709" s="30"/>
      <c r="H2709" s="30"/>
      <c r="I2709" s="30"/>
      <c r="J2709" s="30"/>
      <c r="K2709" s="30"/>
      <c r="L2709" s="29"/>
      <c r="M2709" s="29"/>
      <c r="N2709" s="29"/>
      <c r="O2709" s="29"/>
      <c r="P2709" s="29"/>
      <c r="Q2709" s="29"/>
      <c r="R2709" s="29"/>
      <c r="S2709" s="29"/>
      <c r="T2709" s="29"/>
      <c r="U2709" s="31"/>
      <c r="V2709" s="31"/>
      <c r="W2709" s="31"/>
      <c r="X2709" s="31"/>
      <c r="Y2709" s="31"/>
    </row>
    <row r="2710" spans="1:25" x14ac:dyDescent="0.2">
      <c r="A2710" s="29"/>
      <c r="B2710" s="29"/>
      <c r="C2710" s="29"/>
      <c r="D2710" s="29"/>
      <c r="E2710" s="29"/>
      <c r="F2710" s="30"/>
      <c r="G2710" s="30"/>
      <c r="H2710" s="30"/>
      <c r="I2710" s="30"/>
      <c r="J2710" s="30"/>
      <c r="K2710" s="30"/>
      <c r="L2710" s="29"/>
      <c r="M2710" s="29"/>
      <c r="N2710" s="29"/>
      <c r="O2710" s="29"/>
      <c r="P2710" s="29"/>
      <c r="Q2710" s="29"/>
      <c r="R2710" s="29"/>
      <c r="S2710" s="29"/>
      <c r="T2710" s="29"/>
      <c r="U2710" s="31"/>
      <c r="V2710" s="31"/>
      <c r="W2710" s="31"/>
      <c r="X2710" s="31"/>
      <c r="Y2710" s="31"/>
    </row>
    <row r="2711" spans="1:25" x14ac:dyDescent="0.2">
      <c r="A2711" s="29"/>
      <c r="B2711" s="29"/>
      <c r="C2711" s="29"/>
      <c r="D2711" s="29"/>
      <c r="E2711" s="29"/>
      <c r="F2711" s="30"/>
      <c r="G2711" s="30"/>
      <c r="H2711" s="30"/>
      <c r="I2711" s="30"/>
      <c r="J2711" s="30"/>
      <c r="K2711" s="30"/>
      <c r="L2711" s="29"/>
      <c r="M2711" s="29"/>
      <c r="N2711" s="29"/>
      <c r="O2711" s="29"/>
      <c r="P2711" s="29"/>
      <c r="Q2711" s="29"/>
      <c r="R2711" s="29"/>
      <c r="S2711" s="29"/>
      <c r="T2711" s="29"/>
      <c r="U2711" s="31"/>
      <c r="V2711" s="31"/>
      <c r="W2711" s="31"/>
      <c r="X2711" s="31"/>
      <c r="Y2711" s="31"/>
    </row>
    <row r="2712" spans="1:25" x14ac:dyDescent="0.2">
      <c r="A2712" s="29"/>
      <c r="B2712" s="29"/>
      <c r="C2712" s="29"/>
      <c r="D2712" s="29"/>
      <c r="E2712" s="29"/>
      <c r="F2712" s="30"/>
      <c r="G2712" s="30"/>
      <c r="H2712" s="30"/>
      <c r="I2712" s="30"/>
      <c r="J2712" s="30"/>
      <c r="K2712" s="30"/>
      <c r="L2712" s="29"/>
      <c r="M2712" s="29"/>
      <c r="N2712" s="29"/>
      <c r="O2712" s="29"/>
      <c r="P2712" s="29"/>
      <c r="Q2712" s="29"/>
      <c r="R2712" s="29"/>
      <c r="S2712" s="29"/>
      <c r="T2712" s="29"/>
      <c r="U2712" s="31"/>
      <c r="V2712" s="31"/>
      <c r="W2712" s="31"/>
      <c r="X2712" s="31"/>
      <c r="Y2712" s="31"/>
    </row>
    <row r="2713" spans="1:25" x14ac:dyDescent="0.2">
      <c r="A2713" s="29"/>
      <c r="B2713" s="29"/>
      <c r="C2713" s="29"/>
      <c r="D2713" s="29"/>
      <c r="E2713" s="29"/>
      <c r="F2713" s="30"/>
      <c r="G2713" s="30"/>
      <c r="H2713" s="30"/>
      <c r="I2713" s="30"/>
      <c r="J2713" s="30"/>
      <c r="K2713" s="30"/>
      <c r="L2713" s="29"/>
      <c r="M2713" s="29"/>
      <c r="N2713" s="29"/>
      <c r="O2713" s="29"/>
      <c r="P2713" s="29"/>
      <c r="Q2713" s="29"/>
      <c r="R2713" s="29"/>
      <c r="S2713" s="29"/>
      <c r="T2713" s="29"/>
      <c r="U2713" s="31"/>
      <c r="V2713" s="31"/>
      <c r="W2713" s="31"/>
      <c r="X2713" s="31"/>
      <c r="Y2713" s="31"/>
    </row>
    <row r="2714" spans="1:25" x14ac:dyDescent="0.2">
      <c r="A2714" s="29"/>
      <c r="B2714" s="29"/>
      <c r="C2714" s="29"/>
      <c r="D2714" s="29"/>
      <c r="E2714" s="29"/>
      <c r="F2714" s="30"/>
      <c r="G2714" s="30"/>
      <c r="H2714" s="30"/>
      <c r="I2714" s="30"/>
      <c r="J2714" s="30"/>
      <c r="K2714" s="30"/>
      <c r="L2714" s="29"/>
      <c r="M2714" s="29"/>
      <c r="N2714" s="29"/>
      <c r="O2714" s="29"/>
      <c r="P2714" s="29"/>
      <c r="Q2714" s="29"/>
      <c r="R2714" s="29"/>
      <c r="S2714" s="29"/>
      <c r="T2714" s="29"/>
      <c r="U2714" s="31"/>
      <c r="V2714" s="31"/>
      <c r="W2714" s="31"/>
      <c r="X2714" s="31"/>
      <c r="Y2714" s="31"/>
    </row>
    <row r="2715" spans="1:25" x14ac:dyDescent="0.2">
      <c r="A2715" s="29"/>
      <c r="B2715" s="29"/>
      <c r="C2715" s="29"/>
      <c r="D2715" s="29"/>
      <c r="E2715" s="29"/>
      <c r="F2715" s="30"/>
      <c r="G2715" s="30"/>
      <c r="H2715" s="30"/>
      <c r="I2715" s="30"/>
      <c r="J2715" s="30"/>
      <c r="K2715" s="30"/>
      <c r="L2715" s="29"/>
      <c r="M2715" s="29"/>
      <c r="N2715" s="29"/>
      <c r="O2715" s="29"/>
      <c r="P2715" s="29"/>
      <c r="Q2715" s="29"/>
      <c r="R2715" s="29"/>
      <c r="S2715" s="29"/>
      <c r="T2715" s="29"/>
      <c r="U2715" s="31"/>
      <c r="V2715" s="31"/>
      <c r="W2715" s="31"/>
      <c r="X2715" s="31"/>
      <c r="Y2715" s="31"/>
    </row>
    <row r="2716" spans="1:25" x14ac:dyDescent="0.2">
      <c r="A2716" s="29"/>
      <c r="B2716" s="29"/>
      <c r="C2716" s="29"/>
      <c r="D2716" s="29"/>
      <c r="E2716" s="29"/>
      <c r="F2716" s="30"/>
      <c r="G2716" s="30"/>
      <c r="H2716" s="30"/>
      <c r="I2716" s="30"/>
      <c r="J2716" s="30"/>
      <c r="K2716" s="30"/>
      <c r="L2716" s="29"/>
      <c r="M2716" s="29"/>
      <c r="N2716" s="29"/>
      <c r="O2716" s="29"/>
      <c r="P2716" s="29"/>
      <c r="Q2716" s="29"/>
      <c r="R2716" s="29"/>
      <c r="S2716" s="29"/>
      <c r="T2716" s="29"/>
      <c r="U2716" s="31"/>
      <c r="V2716" s="31"/>
      <c r="W2716" s="31"/>
      <c r="X2716" s="31"/>
      <c r="Y2716" s="31"/>
    </row>
    <row r="2717" spans="1:25" x14ac:dyDescent="0.2">
      <c r="A2717" s="29"/>
      <c r="B2717" s="29"/>
      <c r="C2717" s="29"/>
      <c r="D2717" s="29"/>
      <c r="E2717" s="29"/>
      <c r="F2717" s="30"/>
      <c r="G2717" s="30"/>
      <c r="H2717" s="30"/>
      <c r="I2717" s="30"/>
      <c r="J2717" s="30"/>
      <c r="K2717" s="30"/>
      <c r="L2717" s="29"/>
      <c r="M2717" s="29"/>
      <c r="N2717" s="29"/>
      <c r="O2717" s="29"/>
      <c r="P2717" s="29"/>
      <c r="Q2717" s="29"/>
      <c r="R2717" s="29"/>
      <c r="S2717" s="29"/>
      <c r="T2717" s="29"/>
      <c r="U2717" s="31"/>
      <c r="V2717" s="31"/>
      <c r="W2717" s="31"/>
      <c r="X2717" s="31"/>
      <c r="Y2717" s="31"/>
    </row>
    <row r="2718" spans="1:25" x14ac:dyDescent="0.2">
      <c r="A2718" s="29"/>
      <c r="B2718" s="29"/>
      <c r="C2718" s="29"/>
      <c r="D2718" s="29"/>
      <c r="E2718" s="29"/>
      <c r="F2718" s="30"/>
      <c r="G2718" s="30"/>
      <c r="H2718" s="30"/>
      <c r="I2718" s="30"/>
      <c r="J2718" s="30"/>
      <c r="K2718" s="30"/>
      <c r="L2718" s="29"/>
      <c r="M2718" s="29"/>
      <c r="N2718" s="29"/>
      <c r="O2718" s="29"/>
      <c r="P2718" s="29"/>
      <c r="Q2718" s="29"/>
      <c r="R2718" s="29"/>
      <c r="S2718" s="29"/>
      <c r="T2718" s="29"/>
      <c r="U2718" s="31"/>
      <c r="V2718" s="31"/>
      <c r="W2718" s="31"/>
      <c r="X2718" s="31"/>
      <c r="Y2718" s="31"/>
    </row>
    <row r="2719" spans="1:25" x14ac:dyDescent="0.2">
      <c r="A2719" s="29"/>
      <c r="B2719" s="29"/>
      <c r="C2719" s="29"/>
      <c r="D2719" s="29"/>
      <c r="E2719" s="29"/>
      <c r="F2719" s="30"/>
      <c r="G2719" s="30"/>
      <c r="H2719" s="30"/>
      <c r="I2719" s="30"/>
      <c r="J2719" s="30"/>
      <c r="K2719" s="30"/>
      <c r="L2719" s="29"/>
      <c r="M2719" s="29"/>
      <c r="N2719" s="29"/>
      <c r="O2719" s="29"/>
      <c r="P2719" s="29"/>
      <c r="Q2719" s="29"/>
      <c r="R2719" s="29"/>
      <c r="S2719" s="29"/>
      <c r="T2719" s="29"/>
      <c r="U2719" s="31"/>
      <c r="V2719" s="31"/>
      <c r="W2719" s="31"/>
      <c r="X2719" s="31"/>
      <c r="Y2719" s="31"/>
    </row>
    <row r="2720" spans="1:25" x14ac:dyDescent="0.2">
      <c r="A2720" s="29"/>
      <c r="B2720" s="29"/>
      <c r="C2720" s="29"/>
      <c r="D2720" s="29"/>
      <c r="E2720" s="29"/>
      <c r="F2720" s="30"/>
      <c r="G2720" s="30"/>
      <c r="H2720" s="30"/>
      <c r="I2720" s="30"/>
      <c r="J2720" s="30"/>
      <c r="K2720" s="30"/>
      <c r="L2720" s="29"/>
      <c r="M2720" s="29"/>
      <c r="N2720" s="29"/>
      <c r="O2720" s="29"/>
      <c r="P2720" s="29"/>
      <c r="Q2720" s="29"/>
      <c r="R2720" s="29"/>
      <c r="S2720" s="29"/>
      <c r="T2720" s="29"/>
      <c r="U2720" s="31"/>
      <c r="V2720" s="31"/>
      <c r="W2720" s="31"/>
      <c r="X2720" s="31"/>
      <c r="Y2720" s="31"/>
    </row>
    <row r="2721" spans="1:25" x14ac:dyDescent="0.2">
      <c r="A2721" s="29"/>
      <c r="B2721" s="29"/>
      <c r="C2721" s="29"/>
      <c r="D2721" s="29"/>
      <c r="E2721" s="29"/>
      <c r="F2721" s="30"/>
      <c r="G2721" s="30"/>
      <c r="H2721" s="30"/>
      <c r="I2721" s="30"/>
      <c r="J2721" s="30"/>
      <c r="K2721" s="30"/>
      <c r="L2721" s="29"/>
      <c r="M2721" s="29"/>
      <c r="N2721" s="29"/>
      <c r="O2721" s="29"/>
      <c r="P2721" s="29"/>
      <c r="Q2721" s="29"/>
      <c r="R2721" s="29"/>
      <c r="S2721" s="29"/>
      <c r="T2721" s="29"/>
      <c r="U2721" s="31"/>
      <c r="V2721" s="31"/>
      <c r="W2721" s="31"/>
      <c r="X2721" s="31"/>
      <c r="Y2721" s="31"/>
    </row>
    <row r="2722" spans="1:25" x14ac:dyDescent="0.2">
      <c r="A2722" s="29"/>
      <c r="B2722" s="29"/>
      <c r="C2722" s="29"/>
      <c r="D2722" s="29"/>
      <c r="E2722" s="29"/>
      <c r="F2722" s="30"/>
      <c r="G2722" s="30"/>
      <c r="H2722" s="30"/>
      <c r="I2722" s="30"/>
      <c r="J2722" s="30"/>
      <c r="K2722" s="30"/>
      <c r="L2722" s="29"/>
      <c r="M2722" s="29"/>
      <c r="N2722" s="29"/>
      <c r="O2722" s="29"/>
      <c r="P2722" s="29"/>
      <c r="Q2722" s="29"/>
      <c r="R2722" s="29"/>
      <c r="S2722" s="29"/>
      <c r="T2722" s="29"/>
      <c r="U2722" s="31"/>
      <c r="V2722" s="31"/>
      <c r="W2722" s="31"/>
      <c r="X2722" s="31"/>
      <c r="Y2722" s="31"/>
    </row>
    <row r="2723" spans="1:25" x14ac:dyDescent="0.2">
      <c r="A2723" s="29"/>
      <c r="B2723" s="29"/>
      <c r="C2723" s="29"/>
      <c r="D2723" s="29"/>
      <c r="E2723" s="29"/>
      <c r="F2723" s="30"/>
      <c r="G2723" s="30"/>
      <c r="H2723" s="30"/>
      <c r="I2723" s="30"/>
      <c r="J2723" s="30"/>
      <c r="K2723" s="30"/>
      <c r="L2723" s="29"/>
      <c r="M2723" s="29"/>
      <c r="N2723" s="29"/>
      <c r="O2723" s="29"/>
      <c r="P2723" s="29"/>
      <c r="Q2723" s="29"/>
      <c r="R2723" s="29"/>
      <c r="S2723" s="29"/>
      <c r="T2723" s="29"/>
      <c r="U2723" s="31"/>
      <c r="V2723" s="31"/>
      <c r="W2723" s="31"/>
      <c r="X2723" s="31"/>
      <c r="Y2723" s="31"/>
    </row>
    <row r="2724" spans="1:25" x14ac:dyDescent="0.2">
      <c r="A2724" s="29"/>
      <c r="B2724" s="29"/>
      <c r="C2724" s="29"/>
      <c r="D2724" s="29"/>
      <c r="E2724" s="29"/>
      <c r="F2724" s="30"/>
      <c r="G2724" s="30"/>
      <c r="H2724" s="30"/>
      <c r="I2724" s="30"/>
      <c r="J2724" s="30"/>
      <c r="K2724" s="30"/>
      <c r="L2724" s="29"/>
      <c r="M2724" s="29"/>
      <c r="N2724" s="29"/>
      <c r="O2724" s="29"/>
      <c r="P2724" s="29"/>
      <c r="Q2724" s="29"/>
      <c r="R2724" s="29"/>
      <c r="S2724" s="29"/>
      <c r="T2724" s="29"/>
      <c r="U2724" s="31"/>
      <c r="V2724" s="31"/>
      <c r="W2724" s="31"/>
      <c r="X2724" s="31"/>
      <c r="Y2724" s="31"/>
    </row>
    <row r="2725" spans="1:25" x14ac:dyDescent="0.2">
      <c r="A2725" s="29"/>
      <c r="B2725" s="29"/>
      <c r="C2725" s="29"/>
      <c r="D2725" s="29"/>
      <c r="E2725" s="29"/>
      <c r="F2725" s="30"/>
      <c r="G2725" s="30"/>
      <c r="H2725" s="30"/>
      <c r="I2725" s="30"/>
      <c r="J2725" s="30"/>
      <c r="K2725" s="30"/>
      <c r="L2725" s="29"/>
      <c r="M2725" s="29"/>
      <c r="N2725" s="29"/>
      <c r="O2725" s="29"/>
      <c r="P2725" s="29"/>
      <c r="Q2725" s="29"/>
      <c r="R2725" s="29"/>
      <c r="S2725" s="29"/>
      <c r="T2725" s="29"/>
      <c r="U2725" s="31"/>
      <c r="V2725" s="31"/>
      <c r="W2725" s="31"/>
      <c r="X2725" s="31"/>
      <c r="Y2725" s="31"/>
    </row>
    <row r="2726" spans="1:25" x14ac:dyDescent="0.2">
      <c r="A2726" s="29"/>
      <c r="B2726" s="29"/>
      <c r="C2726" s="29"/>
      <c r="D2726" s="29"/>
      <c r="E2726" s="29"/>
      <c r="F2726" s="30"/>
      <c r="G2726" s="30"/>
      <c r="H2726" s="30"/>
      <c r="I2726" s="30"/>
      <c r="J2726" s="30"/>
      <c r="K2726" s="30"/>
      <c r="L2726" s="29"/>
      <c r="M2726" s="29"/>
      <c r="N2726" s="29"/>
      <c r="O2726" s="29"/>
      <c r="P2726" s="29"/>
      <c r="Q2726" s="29"/>
      <c r="R2726" s="29"/>
      <c r="S2726" s="29"/>
      <c r="T2726" s="29"/>
      <c r="U2726" s="31"/>
      <c r="V2726" s="31"/>
      <c r="W2726" s="31"/>
      <c r="X2726" s="31"/>
      <c r="Y2726" s="31"/>
    </row>
    <row r="2727" spans="1:25" x14ac:dyDescent="0.2">
      <c r="A2727" s="29"/>
      <c r="B2727" s="29"/>
      <c r="C2727" s="29"/>
      <c r="D2727" s="29"/>
      <c r="E2727" s="29"/>
      <c r="F2727" s="30"/>
      <c r="G2727" s="30"/>
      <c r="H2727" s="30"/>
      <c r="I2727" s="30"/>
      <c r="J2727" s="30"/>
      <c r="K2727" s="30"/>
      <c r="L2727" s="29"/>
      <c r="M2727" s="29"/>
      <c r="N2727" s="29"/>
      <c r="O2727" s="29"/>
      <c r="P2727" s="29"/>
      <c r="Q2727" s="29"/>
      <c r="R2727" s="29"/>
      <c r="S2727" s="29"/>
      <c r="T2727" s="29"/>
      <c r="U2727" s="31"/>
      <c r="V2727" s="31"/>
      <c r="W2727" s="31"/>
      <c r="X2727" s="31"/>
      <c r="Y2727" s="31"/>
    </row>
    <row r="2728" spans="1:25" x14ac:dyDescent="0.2">
      <c r="A2728" s="29"/>
      <c r="B2728" s="29"/>
      <c r="C2728" s="29"/>
      <c r="D2728" s="29"/>
      <c r="E2728" s="29"/>
      <c r="F2728" s="30"/>
      <c r="G2728" s="30"/>
      <c r="H2728" s="30"/>
      <c r="I2728" s="30"/>
      <c r="J2728" s="30"/>
      <c r="K2728" s="30"/>
      <c r="L2728" s="29"/>
      <c r="M2728" s="29"/>
      <c r="N2728" s="29"/>
      <c r="O2728" s="29"/>
      <c r="P2728" s="29"/>
      <c r="Q2728" s="29"/>
      <c r="R2728" s="29"/>
      <c r="S2728" s="29"/>
      <c r="T2728" s="29"/>
      <c r="U2728" s="31"/>
      <c r="V2728" s="31"/>
      <c r="W2728" s="31"/>
      <c r="X2728" s="31"/>
      <c r="Y2728" s="31"/>
    </row>
    <row r="2729" spans="1:25" x14ac:dyDescent="0.2">
      <c r="A2729" s="29"/>
      <c r="B2729" s="29"/>
      <c r="C2729" s="29"/>
      <c r="D2729" s="29"/>
      <c r="E2729" s="29"/>
      <c r="F2729" s="30"/>
      <c r="G2729" s="30"/>
      <c r="H2729" s="30"/>
      <c r="I2729" s="30"/>
      <c r="J2729" s="30"/>
      <c r="K2729" s="30"/>
      <c r="L2729" s="29"/>
      <c r="M2729" s="29"/>
      <c r="N2729" s="29"/>
      <c r="O2729" s="29"/>
      <c r="P2729" s="29"/>
      <c r="Q2729" s="29"/>
      <c r="R2729" s="29"/>
      <c r="S2729" s="29"/>
      <c r="T2729" s="29"/>
      <c r="U2729" s="31"/>
      <c r="V2729" s="31"/>
      <c r="W2729" s="31"/>
      <c r="X2729" s="31"/>
      <c r="Y2729" s="31"/>
    </row>
    <row r="2730" spans="1:25" x14ac:dyDescent="0.2">
      <c r="A2730" s="29"/>
      <c r="B2730" s="29"/>
      <c r="C2730" s="29"/>
      <c r="D2730" s="29"/>
      <c r="E2730" s="29"/>
      <c r="F2730" s="30"/>
      <c r="G2730" s="30"/>
      <c r="H2730" s="30"/>
      <c r="I2730" s="30"/>
      <c r="J2730" s="30"/>
      <c r="K2730" s="30"/>
      <c r="L2730" s="29"/>
      <c r="M2730" s="29"/>
      <c r="N2730" s="29"/>
      <c r="O2730" s="29"/>
      <c r="P2730" s="29"/>
      <c r="Q2730" s="29"/>
      <c r="R2730" s="29"/>
      <c r="S2730" s="29"/>
      <c r="T2730" s="29"/>
      <c r="U2730" s="31"/>
      <c r="V2730" s="31"/>
      <c r="W2730" s="31"/>
      <c r="X2730" s="31"/>
      <c r="Y2730" s="31"/>
    </row>
    <row r="2731" spans="1:25" x14ac:dyDescent="0.2">
      <c r="A2731" s="29"/>
      <c r="B2731" s="29"/>
      <c r="C2731" s="29"/>
      <c r="D2731" s="29"/>
      <c r="E2731" s="29"/>
      <c r="F2731" s="30"/>
      <c r="G2731" s="30"/>
      <c r="H2731" s="30"/>
      <c r="I2731" s="30"/>
      <c r="J2731" s="30"/>
      <c r="K2731" s="30"/>
      <c r="L2731" s="29"/>
      <c r="M2731" s="29"/>
      <c r="N2731" s="29"/>
      <c r="O2731" s="29"/>
      <c r="P2731" s="29"/>
      <c r="Q2731" s="29"/>
      <c r="R2731" s="29"/>
      <c r="S2731" s="29"/>
      <c r="T2731" s="29"/>
      <c r="U2731" s="31"/>
      <c r="V2731" s="31"/>
      <c r="W2731" s="31"/>
      <c r="X2731" s="31"/>
      <c r="Y2731" s="31"/>
    </row>
    <row r="2732" spans="1:25" x14ac:dyDescent="0.2">
      <c r="A2732" s="29"/>
      <c r="B2732" s="29"/>
      <c r="C2732" s="29"/>
      <c r="D2732" s="29"/>
      <c r="E2732" s="29"/>
      <c r="F2732" s="30"/>
      <c r="G2732" s="30"/>
      <c r="H2732" s="30"/>
      <c r="I2732" s="30"/>
      <c r="J2732" s="30"/>
      <c r="K2732" s="30"/>
      <c r="L2732" s="29"/>
      <c r="M2732" s="29"/>
      <c r="N2732" s="29"/>
      <c r="O2732" s="29"/>
      <c r="P2732" s="29"/>
      <c r="Q2732" s="29"/>
      <c r="R2732" s="29"/>
      <c r="S2732" s="29"/>
      <c r="T2732" s="29"/>
      <c r="U2732" s="31"/>
      <c r="V2732" s="31"/>
      <c r="W2732" s="31"/>
      <c r="X2732" s="31"/>
      <c r="Y2732" s="31"/>
    </row>
    <row r="2733" spans="1:25" x14ac:dyDescent="0.2">
      <c r="A2733" s="29"/>
      <c r="B2733" s="29"/>
      <c r="C2733" s="29"/>
      <c r="D2733" s="29"/>
      <c r="E2733" s="29"/>
      <c r="F2733" s="30"/>
      <c r="G2733" s="30"/>
      <c r="H2733" s="30"/>
      <c r="I2733" s="30"/>
      <c r="J2733" s="30"/>
      <c r="K2733" s="30"/>
      <c r="L2733" s="29"/>
      <c r="M2733" s="29"/>
      <c r="N2733" s="29"/>
      <c r="O2733" s="29"/>
      <c r="P2733" s="29"/>
      <c r="Q2733" s="29"/>
      <c r="R2733" s="29"/>
      <c r="S2733" s="29"/>
      <c r="T2733" s="29"/>
      <c r="U2733" s="31"/>
      <c r="V2733" s="31"/>
      <c r="W2733" s="31"/>
      <c r="X2733" s="31"/>
      <c r="Y2733" s="31"/>
    </row>
    <row r="2734" spans="1:25" x14ac:dyDescent="0.2">
      <c r="A2734" s="29"/>
      <c r="B2734" s="29"/>
      <c r="C2734" s="29"/>
      <c r="D2734" s="29"/>
      <c r="E2734" s="29"/>
      <c r="F2734" s="30"/>
      <c r="G2734" s="30"/>
      <c r="H2734" s="30"/>
      <c r="I2734" s="30"/>
      <c r="J2734" s="30"/>
      <c r="K2734" s="30"/>
      <c r="L2734" s="29"/>
      <c r="M2734" s="29"/>
      <c r="N2734" s="29"/>
      <c r="O2734" s="29"/>
      <c r="P2734" s="29"/>
      <c r="Q2734" s="29"/>
      <c r="R2734" s="29"/>
      <c r="S2734" s="29"/>
      <c r="T2734" s="29"/>
      <c r="U2734" s="31"/>
      <c r="V2734" s="31"/>
      <c r="W2734" s="31"/>
      <c r="X2734" s="31"/>
      <c r="Y2734" s="31"/>
    </row>
    <row r="2735" spans="1:25" x14ac:dyDescent="0.2">
      <c r="A2735" s="29"/>
      <c r="B2735" s="29"/>
      <c r="C2735" s="29"/>
      <c r="D2735" s="29"/>
      <c r="E2735" s="29"/>
      <c r="F2735" s="30"/>
      <c r="G2735" s="30"/>
      <c r="H2735" s="30"/>
      <c r="I2735" s="30"/>
      <c r="J2735" s="30"/>
      <c r="K2735" s="30"/>
      <c r="L2735" s="29"/>
      <c r="M2735" s="29"/>
      <c r="N2735" s="29"/>
      <c r="O2735" s="29"/>
      <c r="P2735" s="29"/>
      <c r="Q2735" s="29"/>
      <c r="R2735" s="29"/>
      <c r="S2735" s="29"/>
      <c r="T2735" s="29"/>
      <c r="U2735" s="31"/>
      <c r="V2735" s="31"/>
      <c r="W2735" s="31"/>
      <c r="X2735" s="31"/>
      <c r="Y2735" s="31"/>
    </row>
    <row r="2736" spans="1:25" x14ac:dyDescent="0.2">
      <c r="A2736" s="29"/>
      <c r="B2736" s="29"/>
      <c r="C2736" s="29"/>
      <c r="D2736" s="29"/>
      <c r="E2736" s="29"/>
      <c r="F2736" s="30"/>
      <c r="G2736" s="30"/>
      <c r="H2736" s="30"/>
      <c r="I2736" s="30"/>
      <c r="J2736" s="30"/>
      <c r="K2736" s="30"/>
      <c r="L2736" s="29"/>
      <c r="M2736" s="29"/>
      <c r="N2736" s="29"/>
      <c r="O2736" s="29"/>
      <c r="P2736" s="29"/>
      <c r="Q2736" s="29"/>
      <c r="R2736" s="29"/>
      <c r="S2736" s="29"/>
      <c r="T2736" s="29"/>
      <c r="U2736" s="31"/>
      <c r="V2736" s="31"/>
      <c r="W2736" s="31"/>
      <c r="X2736" s="31"/>
      <c r="Y2736" s="31"/>
    </row>
    <row r="2737" spans="1:25" x14ac:dyDescent="0.2">
      <c r="A2737" s="29"/>
      <c r="B2737" s="29"/>
      <c r="C2737" s="29"/>
      <c r="D2737" s="29"/>
      <c r="E2737" s="29"/>
      <c r="F2737" s="30"/>
      <c r="G2737" s="30"/>
      <c r="H2737" s="30"/>
      <c r="I2737" s="30"/>
      <c r="J2737" s="30"/>
      <c r="K2737" s="30"/>
      <c r="L2737" s="29"/>
      <c r="M2737" s="29"/>
      <c r="N2737" s="29"/>
      <c r="O2737" s="29"/>
      <c r="P2737" s="29"/>
      <c r="Q2737" s="29"/>
      <c r="R2737" s="29"/>
      <c r="S2737" s="29"/>
      <c r="T2737" s="29"/>
      <c r="U2737" s="31"/>
      <c r="V2737" s="31"/>
      <c r="W2737" s="31"/>
      <c r="X2737" s="31"/>
      <c r="Y2737" s="31"/>
    </row>
    <row r="2738" spans="1:25" x14ac:dyDescent="0.2">
      <c r="A2738" s="29"/>
      <c r="B2738" s="29"/>
      <c r="C2738" s="29"/>
      <c r="D2738" s="29"/>
      <c r="E2738" s="29"/>
      <c r="F2738" s="30"/>
      <c r="G2738" s="30"/>
      <c r="H2738" s="30"/>
      <c r="I2738" s="30"/>
      <c r="J2738" s="30"/>
      <c r="K2738" s="30"/>
      <c r="L2738" s="29"/>
      <c r="M2738" s="29"/>
      <c r="N2738" s="29"/>
      <c r="O2738" s="29"/>
      <c r="P2738" s="29"/>
      <c r="Q2738" s="29"/>
      <c r="R2738" s="29"/>
      <c r="S2738" s="29"/>
      <c r="T2738" s="29"/>
      <c r="U2738" s="31"/>
      <c r="V2738" s="31"/>
      <c r="W2738" s="31"/>
      <c r="X2738" s="31"/>
      <c r="Y2738" s="31"/>
    </row>
    <row r="2739" spans="1:25" x14ac:dyDescent="0.2">
      <c r="A2739" s="29"/>
      <c r="B2739" s="29"/>
      <c r="C2739" s="29"/>
      <c r="D2739" s="29"/>
      <c r="E2739" s="29"/>
      <c r="F2739" s="30"/>
      <c r="G2739" s="30"/>
      <c r="H2739" s="30"/>
      <c r="I2739" s="30"/>
      <c r="J2739" s="30"/>
      <c r="K2739" s="30"/>
      <c r="L2739" s="29"/>
      <c r="M2739" s="29"/>
      <c r="N2739" s="29"/>
      <c r="O2739" s="29"/>
      <c r="P2739" s="29"/>
      <c r="Q2739" s="29"/>
      <c r="R2739" s="29"/>
      <c r="S2739" s="29"/>
      <c r="T2739" s="29"/>
      <c r="U2739" s="31"/>
      <c r="V2739" s="31"/>
      <c r="W2739" s="31"/>
      <c r="X2739" s="31"/>
      <c r="Y2739" s="31"/>
    </row>
    <row r="2740" spans="1:25" x14ac:dyDescent="0.2">
      <c r="A2740" s="29"/>
      <c r="B2740" s="29"/>
      <c r="C2740" s="29"/>
      <c r="D2740" s="29"/>
      <c r="E2740" s="29"/>
      <c r="F2740" s="30"/>
      <c r="G2740" s="30"/>
      <c r="H2740" s="30"/>
      <c r="I2740" s="30"/>
      <c r="J2740" s="30"/>
      <c r="K2740" s="30"/>
      <c r="L2740" s="29"/>
      <c r="M2740" s="29"/>
      <c r="N2740" s="29"/>
      <c r="O2740" s="29"/>
      <c r="P2740" s="29"/>
      <c r="Q2740" s="29"/>
      <c r="R2740" s="29"/>
      <c r="S2740" s="29"/>
      <c r="T2740" s="29"/>
      <c r="U2740" s="31"/>
      <c r="V2740" s="31"/>
      <c r="W2740" s="31"/>
      <c r="X2740" s="31"/>
      <c r="Y2740" s="31"/>
    </row>
    <row r="2741" spans="1:25" x14ac:dyDescent="0.2">
      <c r="A2741" s="29"/>
      <c r="B2741" s="29"/>
      <c r="C2741" s="29"/>
      <c r="D2741" s="29"/>
      <c r="E2741" s="29"/>
      <c r="F2741" s="30"/>
      <c r="G2741" s="30"/>
      <c r="H2741" s="30"/>
      <c r="I2741" s="30"/>
      <c r="J2741" s="30"/>
      <c r="K2741" s="30"/>
      <c r="L2741" s="29"/>
      <c r="M2741" s="29"/>
      <c r="N2741" s="29"/>
      <c r="O2741" s="29"/>
      <c r="P2741" s="29"/>
      <c r="Q2741" s="29"/>
      <c r="R2741" s="29"/>
      <c r="S2741" s="29"/>
      <c r="T2741" s="29"/>
      <c r="U2741" s="31"/>
      <c r="V2741" s="31"/>
      <c r="W2741" s="31"/>
      <c r="X2741" s="31"/>
      <c r="Y2741" s="31"/>
    </row>
    <row r="2742" spans="1:25" x14ac:dyDescent="0.2">
      <c r="A2742" s="29"/>
      <c r="B2742" s="29"/>
      <c r="C2742" s="29"/>
      <c r="D2742" s="29"/>
      <c r="E2742" s="29"/>
      <c r="F2742" s="30"/>
      <c r="G2742" s="30"/>
      <c r="H2742" s="30"/>
      <c r="I2742" s="30"/>
      <c r="J2742" s="30"/>
      <c r="K2742" s="30"/>
      <c r="L2742" s="29"/>
      <c r="M2742" s="29"/>
      <c r="N2742" s="29"/>
      <c r="O2742" s="29"/>
      <c r="P2742" s="29"/>
      <c r="Q2742" s="29"/>
      <c r="R2742" s="29"/>
      <c r="S2742" s="29"/>
      <c r="T2742" s="29"/>
      <c r="U2742" s="31"/>
      <c r="V2742" s="31"/>
      <c r="W2742" s="31"/>
      <c r="X2742" s="31"/>
      <c r="Y2742" s="31"/>
    </row>
    <row r="2743" spans="1:25" x14ac:dyDescent="0.2">
      <c r="A2743" s="29"/>
      <c r="B2743" s="29"/>
      <c r="C2743" s="29"/>
      <c r="D2743" s="29"/>
      <c r="E2743" s="29"/>
      <c r="F2743" s="30"/>
      <c r="G2743" s="30"/>
      <c r="H2743" s="30"/>
      <c r="I2743" s="30"/>
      <c r="J2743" s="30"/>
      <c r="K2743" s="30"/>
      <c r="L2743" s="29"/>
      <c r="M2743" s="29"/>
      <c r="N2743" s="29"/>
      <c r="O2743" s="29"/>
      <c r="P2743" s="29"/>
      <c r="Q2743" s="29"/>
      <c r="R2743" s="29"/>
      <c r="S2743" s="29"/>
      <c r="T2743" s="29"/>
      <c r="U2743" s="31"/>
      <c r="V2743" s="31"/>
      <c r="W2743" s="31"/>
      <c r="X2743" s="31"/>
      <c r="Y2743" s="31"/>
    </row>
    <row r="2744" spans="1:25" x14ac:dyDescent="0.2">
      <c r="A2744" s="29"/>
      <c r="B2744" s="29"/>
      <c r="C2744" s="29"/>
      <c r="D2744" s="29"/>
      <c r="E2744" s="29"/>
      <c r="F2744" s="30"/>
      <c r="G2744" s="30"/>
      <c r="H2744" s="30"/>
      <c r="I2744" s="30"/>
      <c r="J2744" s="30"/>
      <c r="K2744" s="30"/>
      <c r="L2744" s="29"/>
      <c r="M2744" s="29"/>
      <c r="N2744" s="29"/>
      <c r="O2744" s="29"/>
      <c r="P2744" s="29"/>
      <c r="Q2744" s="29"/>
      <c r="R2744" s="29"/>
      <c r="S2744" s="29"/>
      <c r="T2744" s="29"/>
      <c r="U2744" s="31"/>
      <c r="V2744" s="31"/>
      <c r="W2744" s="31"/>
      <c r="X2744" s="31"/>
      <c r="Y2744" s="31"/>
    </row>
    <row r="2745" spans="1:25" x14ac:dyDescent="0.2">
      <c r="A2745" s="29"/>
      <c r="B2745" s="29"/>
      <c r="C2745" s="29"/>
      <c r="D2745" s="29"/>
      <c r="E2745" s="29"/>
      <c r="F2745" s="30"/>
      <c r="G2745" s="30"/>
      <c r="H2745" s="30"/>
      <c r="I2745" s="30"/>
      <c r="J2745" s="30"/>
      <c r="K2745" s="30"/>
      <c r="L2745" s="29"/>
      <c r="M2745" s="29"/>
      <c r="N2745" s="29"/>
      <c r="O2745" s="29"/>
      <c r="P2745" s="29"/>
      <c r="Q2745" s="29"/>
      <c r="R2745" s="29"/>
      <c r="S2745" s="29"/>
      <c r="T2745" s="29"/>
      <c r="U2745" s="31"/>
      <c r="V2745" s="31"/>
      <c r="W2745" s="31"/>
      <c r="X2745" s="31"/>
      <c r="Y2745" s="31"/>
    </row>
    <row r="2746" spans="1:25" x14ac:dyDescent="0.2">
      <c r="A2746" s="29"/>
      <c r="B2746" s="29"/>
      <c r="C2746" s="29"/>
      <c r="D2746" s="29"/>
      <c r="E2746" s="29"/>
      <c r="F2746" s="30"/>
      <c r="G2746" s="30"/>
      <c r="H2746" s="30"/>
      <c r="I2746" s="30"/>
      <c r="J2746" s="30"/>
      <c r="K2746" s="30"/>
      <c r="L2746" s="29"/>
      <c r="M2746" s="29"/>
      <c r="N2746" s="29"/>
      <c r="O2746" s="29"/>
      <c r="P2746" s="29"/>
      <c r="Q2746" s="29"/>
      <c r="R2746" s="29"/>
      <c r="S2746" s="29"/>
      <c r="T2746" s="29"/>
      <c r="U2746" s="31"/>
      <c r="V2746" s="31"/>
      <c r="W2746" s="31"/>
      <c r="X2746" s="31"/>
      <c r="Y2746" s="31"/>
    </row>
    <row r="2747" spans="1:25" x14ac:dyDescent="0.2">
      <c r="A2747" s="29"/>
      <c r="B2747" s="29"/>
      <c r="C2747" s="29"/>
      <c r="D2747" s="29"/>
      <c r="E2747" s="29"/>
      <c r="F2747" s="30"/>
      <c r="G2747" s="30"/>
      <c r="H2747" s="30"/>
      <c r="I2747" s="30"/>
      <c r="J2747" s="30"/>
      <c r="K2747" s="30"/>
      <c r="L2747" s="29"/>
      <c r="M2747" s="29"/>
      <c r="N2747" s="29"/>
      <c r="O2747" s="29"/>
      <c r="P2747" s="29"/>
      <c r="Q2747" s="29"/>
      <c r="R2747" s="29"/>
      <c r="S2747" s="29"/>
      <c r="T2747" s="29"/>
      <c r="U2747" s="31"/>
      <c r="V2747" s="31"/>
      <c r="W2747" s="31"/>
      <c r="X2747" s="31"/>
      <c r="Y2747" s="31"/>
    </row>
    <row r="2748" spans="1:25" x14ac:dyDescent="0.2">
      <c r="A2748" s="29"/>
      <c r="B2748" s="29"/>
      <c r="C2748" s="29"/>
      <c r="D2748" s="29"/>
      <c r="E2748" s="29"/>
      <c r="F2748" s="30"/>
      <c r="G2748" s="30"/>
      <c r="H2748" s="30"/>
      <c r="I2748" s="30"/>
      <c r="J2748" s="30"/>
      <c r="K2748" s="30"/>
      <c r="L2748" s="29"/>
      <c r="M2748" s="29"/>
      <c r="N2748" s="29"/>
      <c r="O2748" s="29"/>
      <c r="P2748" s="29"/>
      <c r="Q2748" s="29"/>
      <c r="R2748" s="29"/>
      <c r="S2748" s="29"/>
      <c r="T2748" s="29"/>
      <c r="U2748" s="31"/>
      <c r="V2748" s="31"/>
      <c r="W2748" s="31"/>
      <c r="X2748" s="31"/>
      <c r="Y2748" s="31"/>
    </row>
    <row r="2749" spans="1:25" x14ac:dyDescent="0.2">
      <c r="A2749" s="29"/>
      <c r="B2749" s="29"/>
      <c r="C2749" s="29"/>
      <c r="D2749" s="29"/>
      <c r="E2749" s="29"/>
      <c r="F2749" s="30"/>
      <c r="G2749" s="30"/>
      <c r="H2749" s="30"/>
      <c r="I2749" s="30"/>
      <c r="J2749" s="30"/>
      <c r="K2749" s="30"/>
      <c r="L2749" s="29"/>
      <c r="M2749" s="29"/>
      <c r="N2749" s="29"/>
      <c r="O2749" s="29"/>
      <c r="P2749" s="29"/>
      <c r="Q2749" s="29"/>
      <c r="R2749" s="29"/>
      <c r="S2749" s="29"/>
      <c r="T2749" s="29"/>
      <c r="U2749" s="31"/>
      <c r="V2749" s="31"/>
      <c r="W2749" s="31"/>
      <c r="X2749" s="31"/>
      <c r="Y2749" s="31"/>
    </row>
    <row r="2750" spans="1:25" x14ac:dyDescent="0.2">
      <c r="A2750" s="29"/>
      <c r="B2750" s="29"/>
      <c r="C2750" s="29"/>
      <c r="D2750" s="29"/>
      <c r="E2750" s="29"/>
      <c r="F2750" s="30"/>
      <c r="G2750" s="30"/>
      <c r="H2750" s="30"/>
      <c r="I2750" s="30"/>
      <c r="J2750" s="30"/>
      <c r="K2750" s="30"/>
      <c r="L2750" s="29"/>
      <c r="M2750" s="29"/>
      <c r="N2750" s="29"/>
      <c r="O2750" s="29"/>
      <c r="P2750" s="29"/>
      <c r="Q2750" s="29"/>
      <c r="R2750" s="29"/>
      <c r="S2750" s="29"/>
      <c r="T2750" s="29"/>
      <c r="U2750" s="31"/>
      <c r="V2750" s="31"/>
      <c r="W2750" s="31"/>
      <c r="X2750" s="31"/>
      <c r="Y2750" s="31"/>
    </row>
    <row r="2751" spans="1:25" x14ac:dyDescent="0.2">
      <c r="A2751" s="29"/>
      <c r="B2751" s="29"/>
      <c r="C2751" s="29"/>
      <c r="D2751" s="29"/>
      <c r="E2751" s="29"/>
      <c r="F2751" s="30"/>
      <c r="G2751" s="30"/>
      <c r="H2751" s="30"/>
      <c r="I2751" s="30"/>
      <c r="J2751" s="30"/>
      <c r="K2751" s="30"/>
      <c r="L2751" s="29"/>
      <c r="M2751" s="29"/>
      <c r="N2751" s="29"/>
      <c r="O2751" s="29"/>
      <c r="P2751" s="29"/>
      <c r="Q2751" s="29"/>
      <c r="R2751" s="29"/>
      <c r="S2751" s="29"/>
      <c r="T2751" s="29"/>
      <c r="U2751" s="31"/>
      <c r="V2751" s="31"/>
      <c r="W2751" s="31"/>
      <c r="X2751" s="31"/>
      <c r="Y2751" s="31"/>
    </row>
    <row r="2752" spans="1:25" x14ac:dyDescent="0.2">
      <c r="A2752" s="29"/>
      <c r="B2752" s="29"/>
      <c r="C2752" s="29"/>
      <c r="D2752" s="29"/>
      <c r="E2752" s="29"/>
      <c r="F2752" s="30"/>
      <c r="G2752" s="30"/>
      <c r="H2752" s="30"/>
      <c r="I2752" s="30"/>
      <c r="J2752" s="30"/>
      <c r="K2752" s="30"/>
      <c r="L2752" s="29"/>
      <c r="M2752" s="29"/>
      <c r="N2752" s="29"/>
      <c r="O2752" s="29"/>
      <c r="P2752" s="29"/>
      <c r="Q2752" s="29"/>
      <c r="R2752" s="29"/>
      <c r="S2752" s="29"/>
      <c r="T2752" s="29"/>
      <c r="U2752" s="31"/>
      <c r="V2752" s="31"/>
      <c r="W2752" s="31"/>
      <c r="X2752" s="31"/>
      <c r="Y2752" s="31"/>
    </row>
    <row r="2753" spans="1:25" x14ac:dyDescent="0.2">
      <c r="A2753" s="29"/>
      <c r="B2753" s="29"/>
      <c r="C2753" s="29"/>
      <c r="D2753" s="29"/>
      <c r="E2753" s="29"/>
      <c r="F2753" s="30"/>
      <c r="G2753" s="30"/>
      <c r="H2753" s="30"/>
      <c r="I2753" s="30"/>
      <c r="J2753" s="30"/>
      <c r="K2753" s="30"/>
      <c r="L2753" s="29"/>
      <c r="M2753" s="29"/>
      <c r="N2753" s="29"/>
      <c r="O2753" s="29"/>
      <c r="P2753" s="29"/>
      <c r="Q2753" s="29"/>
      <c r="R2753" s="29"/>
      <c r="S2753" s="29"/>
      <c r="T2753" s="29"/>
      <c r="U2753" s="31"/>
      <c r="V2753" s="31"/>
      <c r="W2753" s="31"/>
      <c r="X2753" s="31"/>
      <c r="Y2753" s="31"/>
    </row>
    <row r="2754" spans="1:25" x14ac:dyDescent="0.2">
      <c r="A2754" s="29"/>
      <c r="B2754" s="29"/>
      <c r="C2754" s="29"/>
      <c r="D2754" s="29"/>
      <c r="E2754" s="29"/>
      <c r="F2754" s="30"/>
      <c r="G2754" s="30"/>
      <c r="H2754" s="30"/>
      <c r="I2754" s="30"/>
      <c r="J2754" s="30"/>
      <c r="K2754" s="30"/>
      <c r="L2754" s="29"/>
      <c r="M2754" s="29"/>
      <c r="N2754" s="29"/>
      <c r="O2754" s="29"/>
      <c r="P2754" s="29"/>
      <c r="Q2754" s="29"/>
      <c r="R2754" s="29"/>
      <c r="S2754" s="29"/>
      <c r="T2754" s="29"/>
      <c r="U2754" s="31"/>
      <c r="V2754" s="31"/>
      <c r="W2754" s="31"/>
      <c r="X2754" s="31"/>
      <c r="Y2754" s="31"/>
    </row>
    <row r="2755" spans="1:25" x14ac:dyDescent="0.2">
      <c r="A2755" s="29"/>
      <c r="B2755" s="29"/>
      <c r="C2755" s="29"/>
      <c r="D2755" s="29"/>
      <c r="E2755" s="29"/>
      <c r="F2755" s="30"/>
      <c r="G2755" s="30"/>
      <c r="H2755" s="30"/>
      <c r="I2755" s="30"/>
      <c r="J2755" s="30"/>
      <c r="K2755" s="30"/>
      <c r="L2755" s="29"/>
      <c r="M2755" s="29"/>
      <c r="N2755" s="29"/>
      <c r="O2755" s="29"/>
      <c r="P2755" s="29"/>
      <c r="Q2755" s="29"/>
      <c r="R2755" s="29"/>
      <c r="S2755" s="29"/>
      <c r="T2755" s="29"/>
      <c r="U2755" s="31"/>
      <c r="V2755" s="31"/>
      <c r="W2755" s="31"/>
      <c r="X2755" s="31"/>
      <c r="Y2755" s="31"/>
    </row>
    <row r="2756" spans="1:25" x14ac:dyDescent="0.2">
      <c r="A2756" s="29"/>
      <c r="B2756" s="29"/>
      <c r="C2756" s="29"/>
      <c r="D2756" s="29"/>
      <c r="E2756" s="29"/>
      <c r="F2756" s="30"/>
      <c r="G2756" s="30"/>
      <c r="H2756" s="30"/>
      <c r="I2756" s="30"/>
      <c r="J2756" s="30"/>
      <c r="K2756" s="30"/>
      <c r="L2756" s="29"/>
      <c r="M2756" s="29"/>
      <c r="N2756" s="29"/>
      <c r="O2756" s="29"/>
      <c r="P2756" s="29"/>
      <c r="Q2756" s="29"/>
      <c r="R2756" s="29"/>
      <c r="S2756" s="29"/>
      <c r="T2756" s="29"/>
      <c r="U2756" s="31"/>
      <c r="V2756" s="31"/>
      <c r="W2756" s="31"/>
      <c r="X2756" s="31"/>
      <c r="Y2756" s="31"/>
    </row>
    <row r="2757" spans="1:25" x14ac:dyDescent="0.2">
      <c r="A2757" s="29"/>
      <c r="B2757" s="29"/>
      <c r="C2757" s="29"/>
      <c r="D2757" s="29"/>
      <c r="E2757" s="29"/>
      <c r="F2757" s="30"/>
      <c r="G2757" s="30"/>
      <c r="H2757" s="30"/>
      <c r="I2757" s="30"/>
      <c r="J2757" s="30"/>
      <c r="K2757" s="30"/>
      <c r="L2757" s="29"/>
      <c r="M2757" s="29"/>
      <c r="N2757" s="29"/>
      <c r="O2757" s="29"/>
      <c r="P2757" s="29"/>
      <c r="Q2757" s="29"/>
      <c r="R2757" s="29"/>
      <c r="S2757" s="29"/>
      <c r="T2757" s="29"/>
      <c r="U2757" s="31"/>
      <c r="V2757" s="31"/>
      <c r="W2757" s="31"/>
      <c r="X2757" s="31"/>
      <c r="Y2757" s="31"/>
    </row>
    <row r="2758" spans="1:25" x14ac:dyDescent="0.2">
      <c r="A2758" s="29"/>
      <c r="B2758" s="29"/>
      <c r="C2758" s="29"/>
      <c r="D2758" s="29"/>
      <c r="E2758" s="29"/>
      <c r="F2758" s="30"/>
      <c r="G2758" s="30"/>
      <c r="H2758" s="30"/>
      <c r="I2758" s="30"/>
      <c r="J2758" s="30"/>
      <c r="K2758" s="30"/>
      <c r="L2758" s="29"/>
      <c r="M2758" s="29"/>
      <c r="N2758" s="29"/>
      <c r="O2758" s="29"/>
      <c r="P2758" s="29"/>
      <c r="Q2758" s="29"/>
      <c r="R2758" s="29"/>
      <c r="S2758" s="29"/>
      <c r="T2758" s="29"/>
      <c r="U2758" s="31"/>
      <c r="V2758" s="31"/>
      <c r="W2758" s="31"/>
      <c r="X2758" s="31"/>
      <c r="Y2758" s="31"/>
    </row>
    <row r="2759" spans="1:25" x14ac:dyDescent="0.2">
      <c r="A2759" s="29"/>
      <c r="B2759" s="29"/>
      <c r="C2759" s="29"/>
      <c r="D2759" s="29"/>
      <c r="E2759" s="29"/>
      <c r="F2759" s="30"/>
      <c r="G2759" s="30"/>
      <c r="H2759" s="30"/>
      <c r="I2759" s="30"/>
      <c r="J2759" s="30"/>
      <c r="K2759" s="30"/>
      <c r="L2759" s="29"/>
      <c r="M2759" s="29"/>
      <c r="N2759" s="29"/>
      <c r="O2759" s="29"/>
      <c r="P2759" s="29"/>
      <c r="Q2759" s="29"/>
      <c r="R2759" s="29"/>
      <c r="S2759" s="29"/>
      <c r="T2759" s="29"/>
      <c r="U2759" s="31"/>
      <c r="V2759" s="31"/>
      <c r="W2759" s="31"/>
      <c r="X2759" s="31"/>
      <c r="Y2759" s="31"/>
    </row>
    <row r="2760" spans="1:25" x14ac:dyDescent="0.2">
      <c r="A2760" s="29"/>
      <c r="B2760" s="29"/>
      <c r="C2760" s="29"/>
      <c r="D2760" s="29"/>
      <c r="E2760" s="29"/>
      <c r="F2760" s="30"/>
      <c r="G2760" s="30"/>
      <c r="H2760" s="30"/>
      <c r="I2760" s="30"/>
      <c r="J2760" s="30"/>
      <c r="K2760" s="30"/>
      <c r="L2760" s="29"/>
      <c r="M2760" s="29"/>
      <c r="N2760" s="29"/>
      <c r="O2760" s="29"/>
      <c r="P2760" s="29"/>
      <c r="Q2760" s="29"/>
      <c r="R2760" s="29"/>
      <c r="S2760" s="29"/>
      <c r="T2760" s="29"/>
      <c r="U2760" s="31"/>
      <c r="V2760" s="31"/>
      <c r="W2760" s="31"/>
      <c r="X2760" s="31"/>
      <c r="Y2760" s="31"/>
    </row>
    <row r="2761" spans="1:25" x14ac:dyDescent="0.2">
      <c r="A2761" s="29"/>
      <c r="B2761" s="29"/>
      <c r="C2761" s="29"/>
      <c r="D2761" s="29"/>
      <c r="E2761" s="29"/>
      <c r="F2761" s="30"/>
      <c r="G2761" s="30"/>
      <c r="H2761" s="30"/>
      <c r="I2761" s="30"/>
      <c r="J2761" s="30"/>
      <c r="K2761" s="30"/>
      <c r="L2761" s="29"/>
      <c r="M2761" s="29"/>
      <c r="N2761" s="29"/>
      <c r="O2761" s="29"/>
      <c r="P2761" s="29"/>
      <c r="Q2761" s="29"/>
      <c r="R2761" s="29"/>
      <c r="S2761" s="29"/>
      <c r="T2761" s="29"/>
      <c r="U2761" s="31"/>
      <c r="V2761" s="31"/>
      <c r="W2761" s="31"/>
      <c r="X2761" s="31"/>
      <c r="Y2761" s="31"/>
    </row>
    <row r="2762" spans="1:25" x14ac:dyDescent="0.2">
      <c r="A2762" s="29"/>
      <c r="B2762" s="29"/>
      <c r="C2762" s="29"/>
      <c r="D2762" s="29"/>
      <c r="E2762" s="29"/>
      <c r="F2762" s="30"/>
      <c r="G2762" s="30"/>
      <c r="H2762" s="30"/>
      <c r="I2762" s="30"/>
      <c r="J2762" s="30"/>
      <c r="K2762" s="30"/>
      <c r="L2762" s="29"/>
      <c r="M2762" s="29"/>
      <c r="N2762" s="29"/>
      <c r="O2762" s="29"/>
      <c r="P2762" s="29"/>
      <c r="Q2762" s="29"/>
      <c r="R2762" s="29"/>
      <c r="S2762" s="29"/>
      <c r="T2762" s="29"/>
      <c r="U2762" s="31"/>
      <c r="V2762" s="31"/>
      <c r="W2762" s="31"/>
      <c r="X2762" s="31"/>
      <c r="Y2762" s="31"/>
    </row>
    <row r="2763" spans="1:25" x14ac:dyDescent="0.2">
      <c r="A2763" s="29"/>
      <c r="B2763" s="29"/>
      <c r="C2763" s="29"/>
      <c r="D2763" s="29"/>
      <c r="E2763" s="29"/>
      <c r="F2763" s="30"/>
      <c r="G2763" s="30"/>
      <c r="H2763" s="30"/>
      <c r="I2763" s="30"/>
      <c r="J2763" s="30"/>
      <c r="K2763" s="30"/>
      <c r="L2763" s="29"/>
      <c r="M2763" s="29"/>
      <c r="N2763" s="29"/>
      <c r="O2763" s="29"/>
      <c r="P2763" s="29"/>
      <c r="Q2763" s="29"/>
      <c r="R2763" s="29"/>
      <c r="S2763" s="29"/>
      <c r="T2763" s="29"/>
      <c r="U2763" s="31"/>
      <c r="V2763" s="31"/>
      <c r="W2763" s="31"/>
      <c r="X2763" s="31"/>
      <c r="Y2763" s="31"/>
    </row>
    <row r="2764" spans="1:25" x14ac:dyDescent="0.2">
      <c r="A2764" s="29"/>
      <c r="B2764" s="29"/>
      <c r="C2764" s="29"/>
      <c r="D2764" s="29"/>
      <c r="E2764" s="29"/>
      <c r="F2764" s="30"/>
      <c r="G2764" s="30"/>
      <c r="H2764" s="30"/>
      <c r="I2764" s="30"/>
      <c r="J2764" s="30"/>
      <c r="K2764" s="30"/>
      <c r="L2764" s="29"/>
      <c r="M2764" s="29"/>
      <c r="N2764" s="29"/>
      <c r="O2764" s="29"/>
      <c r="P2764" s="29"/>
      <c r="Q2764" s="29"/>
      <c r="R2764" s="29"/>
      <c r="S2764" s="29"/>
      <c r="T2764" s="29"/>
      <c r="U2764" s="31"/>
      <c r="V2764" s="31"/>
      <c r="W2764" s="31"/>
      <c r="X2764" s="31"/>
      <c r="Y2764" s="31"/>
    </row>
    <row r="2765" spans="1:25" x14ac:dyDescent="0.2">
      <c r="A2765" s="29"/>
      <c r="B2765" s="29"/>
      <c r="C2765" s="29"/>
      <c r="D2765" s="29"/>
      <c r="E2765" s="29"/>
      <c r="F2765" s="30"/>
      <c r="G2765" s="30"/>
      <c r="H2765" s="30"/>
      <c r="I2765" s="30"/>
      <c r="J2765" s="30"/>
      <c r="K2765" s="30"/>
      <c r="L2765" s="29"/>
      <c r="M2765" s="29"/>
      <c r="N2765" s="29"/>
      <c r="O2765" s="29"/>
      <c r="P2765" s="29"/>
      <c r="Q2765" s="29"/>
      <c r="R2765" s="29"/>
      <c r="S2765" s="29"/>
      <c r="T2765" s="29"/>
      <c r="U2765" s="31"/>
      <c r="V2765" s="31"/>
      <c r="W2765" s="31"/>
      <c r="X2765" s="31"/>
      <c r="Y2765" s="31"/>
    </row>
    <row r="2766" spans="1:25" x14ac:dyDescent="0.2">
      <c r="A2766" s="29"/>
      <c r="B2766" s="29"/>
      <c r="C2766" s="29"/>
      <c r="D2766" s="29"/>
      <c r="E2766" s="29"/>
      <c r="F2766" s="30"/>
      <c r="G2766" s="30"/>
      <c r="H2766" s="30"/>
      <c r="I2766" s="30"/>
      <c r="J2766" s="30"/>
      <c r="K2766" s="30"/>
      <c r="L2766" s="29"/>
      <c r="M2766" s="29"/>
      <c r="N2766" s="29"/>
      <c r="O2766" s="29"/>
      <c r="P2766" s="29"/>
      <c r="Q2766" s="29"/>
      <c r="R2766" s="29"/>
      <c r="S2766" s="29"/>
      <c r="T2766" s="29"/>
      <c r="U2766" s="31"/>
      <c r="V2766" s="31"/>
      <c r="W2766" s="31"/>
      <c r="X2766" s="31"/>
      <c r="Y2766" s="31"/>
    </row>
    <row r="2767" spans="1:25" x14ac:dyDescent="0.2">
      <c r="A2767" s="29"/>
      <c r="B2767" s="29"/>
      <c r="C2767" s="29"/>
      <c r="D2767" s="29"/>
      <c r="E2767" s="29"/>
      <c r="F2767" s="30"/>
      <c r="G2767" s="30"/>
      <c r="H2767" s="30"/>
      <c r="I2767" s="30"/>
      <c r="J2767" s="30"/>
      <c r="K2767" s="30"/>
      <c r="L2767" s="29"/>
      <c r="M2767" s="29"/>
      <c r="N2767" s="29"/>
      <c r="O2767" s="29"/>
      <c r="P2767" s="29"/>
      <c r="Q2767" s="29"/>
      <c r="R2767" s="29"/>
      <c r="S2767" s="29"/>
      <c r="T2767" s="29"/>
      <c r="U2767" s="31"/>
      <c r="V2767" s="31"/>
      <c r="W2767" s="31"/>
      <c r="X2767" s="31"/>
      <c r="Y2767" s="31"/>
    </row>
    <row r="2768" spans="1:25" x14ac:dyDescent="0.2">
      <c r="A2768" s="29"/>
      <c r="B2768" s="29"/>
      <c r="C2768" s="29"/>
      <c r="D2768" s="29"/>
      <c r="E2768" s="29"/>
      <c r="F2768" s="30"/>
      <c r="G2768" s="30"/>
      <c r="H2768" s="30"/>
      <c r="I2768" s="30"/>
      <c r="J2768" s="30"/>
      <c r="K2768" s="30"/>
      <c r="L2768" s="29"/>
      <c r="M2768" s="29"/>
      <c r="N2768" s="29"/>
      <c r="O2768" s="29"/>
      <c r="P2768" s="29"/>
      <c r="Q2768" s="29"/>
      <c r="R2768" s="29"/>
      <c r="S2768" s="29"/>
      <c r="T2768" s="29"/>
      <c r="U2768" s="31"/>
      <c r="V2768" s="31"/>
      <c r="W2768" s="31"/>
      <c r="X2768" s="31"/>
      <c r="Y2768" s="31"/>
    </row>
    <row r="2769" spans="1:25" x14ac:dyDescent="0.2">
      <c r="A2769" s="29"/>
      <c r="B2769" s="29"/>
      <c r="C2769" s="29"/>
      <c r="D2769" s="29"/>
      <c r="E2769" s="29"/>
      <c r="F2769" s="30"/>
      <c r="G2769" s="30"/>
      <c r="H2769" s="30"/>
      <c r="I2769" s="30"/>
      <c r="J2769" s="30"/>
      <c r="K2769" s="30"/>
      <c r="L2769" s="29"/>
      <c r="M2769" s="29"/>
      <c r="N2769" s="29"/>
      <c r="O2769" s="29"/>
      <c r="P2769" s="29"/>
      <c r="Q2769" s="29"/>
      <c r="R2769" s="29"/>
      <c r="S2769" s="29"/>
      <c r="T2769" s="29"/>
      <c r="U2769" s="31"/>
      <c r="V2769" s="31"/>
      <c r="W2769" s="31"/>
      <c r="X2769" s="31"/>
      <c r="Y2769" s="31"/>
    </row>
    <row r="2770" spans="1:25" x14ac:dyDescent="0.2">
      <c r="A2770" s="29"/>
      <c r="B2770" s="29"/>
      <c r="C2770" s="29"/>
      <c r="D2770" s="29"/>
      <c r="E2770" s="29"/>
      <c r="F2770" s="30"/>
      <c r="G2770" s="30"/>
      <c r="H2770" s="30"/>
      <c r="I2770" s="30"/>
      <c r="J2770" s="30"/>
      <c r="K2770" s="30"/>
      <c r="L2770" s="29"/>
      <c r="M2770" s="29"/>
      <c r="N2770" s="29"/>
      <c r="O2770" s="29"/>
      <c r="P2770" s="29"/>
      <c r="Q2770" s="29"/>
      <c r="R2770" s="29"/>
      <c r="S2770" s="29"/>
      <c r="T2770" s="29"/>
      <c r="U2770" s="31"/>
      <c r="V2770" s="31"/>
      <c r="W2770" s="31"/>
      <c r="X2770" s="31"/>
      <c r="Y2770" s="31"/>
    </row>
    <row r="2771" spans="1:25" x14ac:dyDescent="0.2">
      <c r="A2771" s="29"/>
      <c r="B2771" s="29"/>
      <c r="C2771" s="29"/>
      <c r="D2771" s="29"/>
      <c r="E2771" s="29"/>
      <c r="F2771" s="30"/>
      <c r="G2771" s="30"/>
      <c r="H2771" s="30"/>
      <c r="I2771" s="30"/>
      <c r="J2771" s="30"/>
      <c r="K2771" s="30"/>
      <c r="L2771" s="29"/>
      <c r="M2771" s="29"/>
      <c r="N2771" s="29"/>
      <c r="O2771" s="29"/>
      <c r="P2771" s="29"/>
      <c r="Q2771" s="29"/>
      <c r="R2771" s="29"/>
      <c r="S2771" s="29"/>
      <c r="T2771" s="29"/>
      <c r="U2771" s="31"/>
      <c r="V2771" s="31"/>
      <c r="W2771" s="31"/>
      <c r="X2771" s="31"/>
      <c r="Y2771" s="31"/>
    </row>
    <row r="2772" spans="1:25" x14ac:dyDescent="0.2">
      <c r="A2772" s="29"/>
      <c r="B2772" s="29"/>
      <c r="C2772" s="29"/>
      <c r="D2772" s="29"/>
      <c r="E2772" s="29"/>
      <c r="F2772" s="30"/>
      <c r="G2772" s="30"/>
      <c r="H2772" s="30"/>
      <c r="I2772" s="30"/>
      <c r="J2772" s="30"/>
      <c r="K2772" s="30"/>
      <c r="L2772" s="29"/>
      <c r="M2772" s="29"/>
      <c r="N2772" s="29"/>
      <c r="O2772" s="29"/>
      <c r="P2772" s="29"/>
      <c r="Q2772" s="29"/>
      <c r="R2772" s="29"/>
      <c r="S2772" s="29"/>
      <c r="T2772" s="29"/>
      <c r="U2772" s="31"/>
      <c r="V2772" s="31"/>
      <c r="W2772" s="31"/>
      <c r="X2772" s="31"/>
      <c r="Y2772" s="31"/>
    </row>
    <row r="2773" spans="1:25" x14ac:dyDescent="0.2">
      <c r="A2773" s="29"/>
      <c r="B2773" s="29"/>
      <c r="C2773" s="29"/>
      <c r="D2773" s="29"/>
      <c r="E2773" s="29"/>
      <c r="F2773" s="30"/>
      <c r="G2773" s="30"/>
      <c r="H2773" s="30"/>
      <c r="I2773" s="30"/>
      <c r="J2773" s="30"/>
      <c r="K2773" s="30"/>
      <c r="L2773" s="29"/>
      <c r="M2773" s="29"/>
      <c r="N2773" s="29"/>
      <c r="O2773" s="29"/>
      <c r="P2773" s="29"/>
      <c r="Q2773" s="29"/>
      <c r="R2773" s="29"/>
      <c r="S2773" s="29"/>
      <c r="T2773" s="29"/>
      <c r="U2773" s="31"/>
      <c r="V2773" s="31"/>
      <c r="W2773" s="31"/>
      <c r="X2773" s="31"/>
      <c r="Y2773" s="31"/>
    </row>
    <row r="2774" spans="1:25" x14ac:dyDescent="0.2">
      <c r="A2774" s="29"/>
      <c r="B2774" s="29"/>
      <c r="C2774" s="29"/>
      <c r="D2774" s="29"/>
      <c r="E2774" s="29"/>
      <c r="F2774" s="30"/>
      <c r="G2774" s="30"/>
      <c r="H2774" s="30"/>
      <c r="I2774" s="30"/>
      <c r="J2774" s="30"/>
      <c r="K2774" s="30"/>
      <c r="L2774" s="29"/>
      <c r="M2774" s="29"/>
      <c r="N2774" s="29"/>
      <c r="O2774" s="29"/>
      <c r="P2774" s="29"/>
      <c r="Q2774" s="29"/>
      <c r="R2774" s="29"/>
      <c r="S2774" s="29"/>
      <c r="T2774" s="29"/>
      <c r="U2774" s="31"/>
      <c r="V2774" s="31"/>
      <c r="W2774" s="31"/>
      <c r="X2774" s="31"/>
      <c r="Y2774" s="31"/>
    </row>
    <row r="2775" spans="1:25" x14ac:dyDescent="0.2">
      <c r="A2775" s="29"/>
      <c r="B2775" s="29"/>
      <c r="C2775" s="29"/>
      <c r="D2775" s="29"/>
      <c r="E2775" s="29"/>
      <c r="F2775" s="30"/>
      <c r="G2775" s="30"/>
      <c r="H2775" s="30"/>
      <c r="I2775" s="30"/>
      <c r="J2775" s="30"/>
      <c r="K2775" s="30"/>
      <c r="L2775" s="29"/>
      <c r="M2775" s="29"/>
      <c r="N2775" s="29"/>
      <c r="O2775" s="29"/>
      <c r="P2775" s="29"/>
      <c r="Q2775" s="29"/>
      <c r="R2775" s="29"/>
      <c r="S2775" s="29"/>
      <c r="T2775" s="29"/>
      <c r="U2775" s="31"/>
      <c r="V2775" s="31"/>
      <c r="W2775" s="31"/>
      <c r="X2775" s="31"/>
      <c r="Y2775" s="31"/>
    </row>
    <row r="2776" spans="1:25" x14ac:dyDescent="0.2">
      <c r="A2776" s="29"/>
      <c r="B2776" s="29"/>
      <c r="C2776" s="29"/>
      <c r="D2776" s="29"/>
      <c r="E2776" s="29"/>
      <c r="F2776" s="30"/>
      <c r="G2776" s="30"/>
      <c r="H2776" s="30"/>
      <c r="I2776" s="30"/>
      <c r="J2776" s="30"/>
      <c r="K2776" s="30"/>
      <c r="L2776" s="29"/>
      <c r="M2776" s="29"/>
      <c r="N2776" s="29"/>
      <c r="O2776" s="29"/>
      <c r="P2776" s="29"/>
      <c r="Q2776" s="29"/>
      <c r="R2776" s="29"/>
      <c r="S2776" s="29"/>
      <c r="T2776" s="29"/>
      <c r="U2776" s="31"/>
      <c r="V2776" s="31"/>
      <c r="W2776" s="31"/>
      <c r="X2776" s="31"/>
      <c r="Y2776" s="31"/>
    </row>
    <row r="2777" spans="1:25" x14ac:dyDescent="0.2">
      <c r="A2777" s="29"/>
      <c r="B2777" s="29"/>
      <c r="C2777" s="29"/>
      <c r="D2777" s="29"/>
      <c r="E2777" s="29"/>
      <c r="F2777" s="30"/>
      <c r="G2777" s="30"/>
      <c r="H2777" s="30"/>
      <c r="I2777" s="30"/>
      <c r="J2777" s="30"/>
      <c r="K2777" s="30"/>
      <c r="L2777" s="29"/>
      <c r="M2777" s="29"/>
      <c r="N2777" s="29"/>
      <c r="O2777" s="29"/>
      <c r="P2777" s="29"/>
      <c r="Q2777" s="29"/>
      <c r="R2777" s="29"/>
      <c r="S2777" s="29"/>
      <c r="T2777" s="29"/>
      <c r="U2777" s="31"/>
      <c r="V2777" s="31"/>
      <c r="W2777" s="31"/>
      <c r="X2777" s="31"/>
      <c r="Y2777" s="31"/>
    </row>
    <row r="2778" spans="1:25" x14ac:dyDescent="0.2">
      <c r="A2778" s="29"/>
      <c r="B2778" s="29"/>
      <c r="C2778" s="29"/>
      <c r="D2778" s="29"/>
      <c r="E2778" s="29"/>
      <c r="F2778" s="30"/>
      <c r="G2778" s="30"/>
      <c r="H2778" s="30"/>
      <c r="I2778" s="30"/>
      <c r="J2778" s="30"/>
      <c r="K2778" s="30"/>
      <c r="L2778" s="29"/>
      <c r="M2778" s="29"/>
      <c r="N2778" s="29"/>
      <c r="O2778" s="29"/>
      <c r="P2778" s="29"/>
      <c r="Q2778" s="29"/>
      <c r="R2778" s="29"/>
      <c r="S2778" s="29"/>
      <c r="T2778" s="29"/>
      <c r="U2778" s="31"/>
      <c r="V2778" s="31"/>
      <c r="W2778" s="31"/>
      <c r="X2778" s="31"/>
      <c r="Y2778" s="31"/>
    </row>
    <row r="2779" spans="1:25" x14ac:dyDescent="0.2">
      <c r="A2779" s="29"/>
      <c r="B2779" s="29"/>
      <c r="C2779" s="29"/>
      <c r="D2779" s="29"/>
      <c r="E2779" s="29"/>
      <c r="F2779" s="30"/>
      <c r="G2779" s="30"/>
      <c r="H2779" s="30"/>
      <c r="I2779" s="30"/>
      <c r="J2779" s="30"/>
      <c r="K2779" s="30"/>
      <c r="L2779" s="29"/>
      <c r="M2779" s="29"/>
      <c r="N2779" s="29"/>
      <c r="O2779" s="29"/>
      <c r="P2779" s="29"/>
      <c r="Q2779" s="29"/>
      <c r="R2779" s="29"/>
      <c r="S2779" s="29"/>
      <c r="T2779" s="29"/>
      <c r="U2779" s="31"/>
      <c r="V2779" s="31"/>
      <c r="W2779" s="31"/>
      <c r="X2779" s="31"/>
      <c r="Y2779" s="31"/>
    </row>
    <row r="2780" spans="1:25" x14ac:dyDescent="0.2">
      <c r="A2780" s="29"/>
      <c r="B2780" s="29"/>
      <c r="C2780" s="29"/>
      <c r="D2780" s="29"/>
      <c r="E2780" s="29"/>
      <c r="F2780" s="30"/>
      <c r="G2780" s="30"/>
      <c r="H2780" s="30"/>
      <c r="I2780" s="30"/>
      <c r="J2780" s="30"/>
      <c r="K2780" s="30"/>
      <c r="L2780" s="29"/>
      <c r="M2780" s="29"/>
      <c r="N2780" s="29"/>
      <c r="O2780" s="29"/>
      <c r="P2780" s="29"/>
      <c r="Q2780" s="29"/>
      <c r="R2780" s="29"/>
      <c r="S2780" s="29"/>
      <c r="T2780" s="29"/>
      <c r="U2780" s="31"/>
      <c r="V2780" s="31"/>
      <c r="W2780" s="31"/>
      <c r="X2780" s="31"/>
      <c r="Y2780" s="31"/>
    </row>
    <row r="2781" spans="1:25" x14ac:dyDescent="0.2">
      <c r="A2781" s="29"/>
      <c r="B2781" s="29"/>
      <c r="C2781" s="29"/>
      <c r="D2781" s="29"/>
      <c r="E2781" s="29"/>
      <c r="F2781" s="30"/>
      <c r="G2781" s="30"/>
      <c r="H2781" s="30"/>
      <c r="I2781" s="30"/>
      <c r="J2781" s="30"/>
      <c r="K2781" s="30"/>
      <c r="L2781" s="29"/>
      <c r="M2781" s="29"/>
      <c r="N2781" s="29"/>
      <c r="O2781" s="29"/>
      <c r="P2781" s="29"/>
      <c r="Q2781" s="29"/>
      <c r="R2781" s="29"/>
      <c r="S2781" s="29"/>
      <c r="T2781" s="29"/>
      <c r="U2781" s="31"/>
      <c r="V2781" s="31"/>
      <c r="W2781" s="31"/>
      <c r="X2781" s="31"/>
      <c r="Y2781" s="31"/>
    </row>
    <row r="2782" spans="1:25" x14ac:dyDescent="0.2">
      <c r="A2782" s="29"/>
      <c r="B2782" s="29"/>
      <c r="C2782" s="29"/>
      <c r="D2782" s="29"/>
      <c r="E2782" s="29"/>
      <c r="F2782" s="30"/>
      <c r="G2782" s="30"/>
      <c r="H2782" s="30"/>
      <c r="I2782" s="30"/>
      <c r="J2782" s="30"/>
      <c r="K2782" s="30"/>
      <c r="L2782" s="29"/>
      <c r="M2782" s="29"/>
      <c r="N2782" s="29"/>
      <c r="O2782" s="29"/>
      <c r="P2782" s="29"/>
      <c r="Q2782" s="29"/>
      <c r="R2782" s="29"/>
      <c r="S2782" s="29"/>
      <c r="T2782" s="29"/>
      <c r="U2782" s="31"/>
      <c r="V2782" s="31"/>
      <c r="W2782" s="31"/>
      <c r="X2782" s="31"/>
      <c r="Y2782" s="31"/>
    </row>
    <row r="2783" spans="1:25" x14ac:dyDescent="0.2">
      <c r="A2783" s="29"/>
      <c r="B2783" s="29"/>
      <c r="C2783" s="29"/>
      <c r="D2783" s="29"/>
      <c r="E2783" s="29"/>
      <c r="F2783" s="30"/>
      <c r="G2783" s="30"/>
      <c r="H2783" s="30"/>
      <c r="I2783" s="30"/>
      <c r="J2783" s="30"/>
      <c r="K2783" s="30"/>
      <c r="L2783" s="29"/>
      <c r="M2783" s="29"/>
      <c r="N2783" s="29"/>
      <c r="O2783" s="29"/>
      <c r="P2783" s="29"/>
      <c r="Q2783" s="29"/>
      <c r="R2783" s="29"/>
      <c r="S2783" s="29"/>
      <c r="T2783" s="29"/>
      <c r="U2783" s="31"/>
      <c r="V2783" s="31"/>
      <c r="W2783" s="31"/>
      <c r="X2783" s="31"/>
      <c r="Y2783" s="31"/>
    </row>
    <row r="2784" spans="1:25" x14ac:dyDescent="0.2">
      <c r="A2784" s="29"/>
      <c r="B2784" s="29"/>
      <c r="C2784" s="29"/>
      <c r="D2784" s="29"/>
      <c r="E2784" s="29"/>
      <c r="F2784" s="30"/>
      <c r="G2784" s="30"/>
      <c r="H2784" s="30"/>
      <c r="I2784" s="30"/>
      <c r="J2784" s="30"/>
      <c r="K2784" s="30"/>
      <c r="L2784" s="29"/>
      <c r="M2784" s="29"/>
      <c r="N2784" s="29"/>
      <c r="O2784" s="29"/>
      <c r="P2784" s="29"/>
      <c r="Q2784" s="29"/>
      <c r="R2784" s="29"/>
      <c r="S2784" s="29"/>
      <c r="T2784" s="29"/>
      <c r="U2784" s="31"/>
      <c r="V2784" s="31"/>
      <c r="W2784" s="31"/>
      <c r="X2784" s="31"/>
      <c r="Y2784" s="31"/>
    </row>
    <row r="2785" spans="1:25" x14ac:dyDescent="0.2">
      <c r="A2785" s="29"/>
      <c r="B2785" s="29"/>
      <c r="C2785" s="29"/>
      <c r="D2785" s="29"/>
      <c r="E2785" s="29"/>
      <c r="F2785" s="30"/>
      <c r="G2785" s="30"/>
      <c r="H2785" s="30"/>
      <c r="I2785" s="30"/>
      <c r="J2785" s="30"/>
      <c r="K2785" s="30"/>
      <c r="L2785" s="29"/>
      <c r="M2785" s="29"/>
      <c r="N2785" s="29"/>
      <c r="O2785" s="29"/>
      <c r="P2785" s="29"/>
      <c r="Q2785" s="29"/>
      <c r="R2785" s="29"/>
      <c r="S2785" s="29"/>
      <c r="T2785" s="29"/>
      <c r="U2785" s="31"/>
      <c r="V2785" s="31"/>
      <c r="W2785" s="31"/>
      <c r="X2785" s="31"/>
      <c r="Y2785" s="31"/>
    </row>
    <row r="2786" spans="1:25" x14ac:dyDescent="0.2">
      <c r="A2786" s="29"/>
      <c r="B2786" s="29"/>
      <c r="C2786" s="29"/>
      <c r="D2786" s="29"/>
      <c r="E2786" s="29"/>
      <c r="F2786" s="30"/>
      <c r="G2786" s="30"/>
      <c r="H2786" s="30"/>
      <c r="I2786" s="30"/>
      <c r="J2786" s="30"/>
      <c r="K2786" s="30"/>
      <c r="L2786" s="29"/>
      <c r="M2786" s="29"/>
      <c r="N2786" s="29"/>
      <c r="O2786" s="29"/>
      <c r="P2786" s="29"/>
      <c r="Q2786" s="29"/>
      <c r="R2786" s="29"/>
      <c r="S2786" s="29"/>
      <c r="T2786" s="29"/>
      <c r="U2786" s="31"/>
      <c r="V2786" s="31"/>
      <c r="W2786" s="31"/>
      <c r="X2786" s="31"/>
      <c r="Y2786" s="31"/>
    </row>
    <row r="2787" spans="1:25" x14ac:dyDescent="0.2">
      <c r="A2787" s="29"/>
      <c r="B2787" s="29"/>
      <c r="C2787" s="29"/>
      <c r="D2787" s="29"/>
      <c r="E2787" s="29"/>
      <c r="F2787" s="30"/>
      <c r="G2787" s="30"/>
      <c r="H2787" s="30"/>
      <c r="I2787" s="30"/>
      <c r="J2787" s="30"/>
      <c r="K2787" s="30"/>
      <c r="L2787" s="29"/>
      <c r="M2787" s="29"/>
      <c r="N2787" s="29"/>
      <c r="O2787" s="29"/>
      <c r="P2787" s="29"/>
      <c r="Q2787" s="29"/>
      <c r="R2787" s="29"/>
      <c r="S2787" s="29"/>
      <c r="T2787" s="29"/>
      <c r="U2787" s="31"/>
      <c r="V2787" s="31"/>
      <c r="W2787" s="31"/>
      <c r="X2787" s="31"/>
      <c r="Y2787" s="31"/>
    </row>
    <row r="2788" spans="1:25" x14ac:dyDescent="0.2">
      <c r="A2788" s="29"/>
      <c r="B2788" s="29"/>
      <c r="C2788" s="29"/>
      <c r="D2788" s="29"/>
      <c r="E2788" s="29"/>
      <c r="F2788" s="30"/>
      <c r="G2788" s="30"/>
      <c r="H2788" s="30"/>
      <c r="I2788" s="30"/>
      <c r="J2788" s="30"/>
      <c r="K2788" s="30"/>
      <c r="L2788" s="29"/>
      <c r="M2788" s="29"/>
      <c r="N2788" s="29"/>
      <c r="O2788" s="29"/>
      <c r="P2788" s="29"/>
      <c r="Q2788" s="29"/>
      <c r="R2788" s="29"/>
      <c r="S2788" s="29"/>
      <c r="T2788" s="29"/>
      <c r="U2788" s="31"/>
      <c r="V2788" s="31"/>
      <c r="W2788" s="31"/>
      <c r="X2788" s="31"/>
      <c r="Y2788" s="31"/>
    </row>
    <row r="2789" spans="1:25" x14ac:dyDescent="0.2">
      <c r="A2789" s="29"/>
      <c r="B2789" s="29"/>
      <c r="C2789" s="29"/>
      <c r="D2789" s="29"/>
      <c r="E2789" s="29"/>
      <c r="F2789" s="30"/>
      <c r="G2789" s="30"/>
      <c r="H2789" s="30"/>
      <c r="I2789" s="30"/>
      <c r="J2789" s="30"/>
      <c r="K2789" s="30"/>
      <c r="L2789" s="29"/>
      <c r="M2789" s="29"/>
      <c r="N2789" s="29"/>
      <c r="O2789" s="29"/>
      <c r="P2789" s="29"/>
      <c r="Q2789" s="29"/>
      <c r="R2789" s="29"/>
      <c r="S2789" s="29"/>
      <c r="T2789" s="29"/>
      <c r="U2789" s="31"/>
      <c r="V2789" s="31"/>
      <c r="W2789" s="31"/>
      <c r="X2789" s="31"/>
      <c r="Y2789" s="31"/>
    </row>
    <row r="2790" spans="1:25" x14ac:dyDescent="0.2">
      <c r="A2790" s="29"/>
      <c r="B2790" s="29"/>
      <c r="C2790" s="29"/>
      <c r="D2790" s="29"/>
      <c r="E2790" s="29"/>
      <c r="F2790" s="30"/>
      <c r="G2790" s="30"/>
      <c r="H2790" s="30"/>
      <c r="I2790" s="30"/>
      <c r="J2790" s="30"/>
      <c r="K2790" s="30"/>
      <c r="L2790" s="29"/>
      <c r="M2790" s="29"/>
      <c r="N2790" s="29"/>
      <c r="O2790" s="29"/>
      <c r="P2790" s="29"/>
      <c r="Q2790" s="29"/>
      <c r="R2790" s="29"/>
      <c r="S2790" s="29"/>
      <c r="T2790" s="29"/>
      <c r="U2790" s="31"/>
      <c r="V2790" s="31"/>
      <c r="W2790" s="31"/>
      <c r="X2790" s="31"/>
      <c r="Y2790" s="31"/>
    </row>
    <row r="2791" spans="1:25" x14ac:dyDescent="0.2">
      <c r="A2791" s="29"/>
      <c r="B2791" s="29"/>
      <c r="C2791" s="29"/>
      <c r="D2791" s="29"/>
      <c r="E2791" s="29"/>
      <c r="F2791" s="30"/>
      <c r="G2791" s="30"/>
      <c r="H2791" s="30"/>
      <c r="I2791" s="30"/>
      <c r="J2791" s="30"/>
      <c r="K2791" s="30"/>
      <c r="L2791" s="29"/>
      <c r="M2791" s="29"/>
      <c r="N2791" s="29"/>
      <c r="O2791" s="29"/>
      <c r="P2791" s="29"/>
      <c r="Q2791" s="29"/>
      <c r="R2791" s="29"/>
      <c r="S2791" s="29"/>
      <c r="T2791" s="29"/>
      <c r="U2791" s="31"/>
      <c r="V2791" s="31"/>
      <c r="W2791" s="31"/>
      <c r="X2791" s="31"/>
      <c r="Y2791" s="31"/>
    </row>
    <row r="2792" spans="1:25" x14ac:dyDescent="0.2">
      <c r="A2792" s="29"/>
      <c r="B2792" s="29"/>
      <c r="C2792" s="29"/>
      <c r="D2792" s="29"/>
      <c r="E2792" s="29"/>
      <c r="F2792" s="30"/>
      <c r="G2792" s="30"/>
      <c r="H2792" s="30"/>
      <c r="I2792" s="30"/>
      <c r="J2792" s="30"/>
      <c r="K2792" s="30"/>
      <c r="L2792" s="29"/>
      <c r="M2792" s="29"/>
      <c r="N2792" s="29"/>
      <c r="O2792" s="29"/>
      <c r="P2792" s="29"/>
      <c r="Q2792" s="29"/>
      <c r="R2792" s="29"/>
      <c r="S2792" s="29"/>
      <c r="T2792" s="29"/>
      <c r="U2792" s="31"/>
      <c r="V2792" s="31"/>
      <c r="W2792" s="31"/>
      <c r="X2792" s="31"/>
      <c r="Y2792" s="31"/>
    </row>
    <row r="2793" spans="1:25" x14ac:dyDescent="0.2">
      <c r="A2793" s="29"/>
      <c r="B2793" s="29"/>
      <c r="C2793" s="29"/>
      <c r="D2793" s="29"/>
      <c r="E2793" s="29"/>
      <c r="F2793" s="30"/>
      <c r="G2793" s="30"/>
      <c r="H2793" s="30"/>
      <c r="I2793" s="30"/>
      <c r="J2793" s="30"/>
      <c r="K2793" s="30"/>
      <c r="L2793" s="29"/>
      <c r="M2793" s="29"/>
      <c r="N2793" s="29"/>
      <c r="O2793" s="29"/>
      <c r="P2793" s="29"/>
      <c r="Q2793" s="29"/>
      <c r="R2793" s="29"/>
      <c r="S2793" s="29"/>
      <c r="T2793" s="29"/>
      <c r="U2793" s="31"/>
      <c r="V2793" s="31"/>
      <c r="W2793" s="31"/>
      <c r="X2793" s="31"/>
      <c r="Y2793" s="31"/>
    </row>
    <row r="2794" spans="1:25" x14ac:dyDescent="0.2">
      <c r="A2794" s="29"/>
      <c r="B2794" s="29"/>
      <c r="C2794" s="29"/>
      <c r="D2794" s="29"/>
      <c r="E2794" s="29"/>
      <c r="F2794" s="30"/>
      <c r="G2794" s="30"/>
      <c r="H2794" s="30"/>
      <c r="I2794" s="30"/>
      <c r="J2794" s="30"/>
      <c r="K2794" s="30"/>
      <c r="L2794" s="29"/>
      <c r="M2794" s="29"/>
      <c r="N2794" s="29"/>
      <c r="O2794" s="29"/>
      <c r="P2794" s="29"/>
      <c r="Q2794" s="29"/>
      <c r="R2794" s="29"/>
      <c r="S2794" s="29"/>
      <c r="T2794" s="29"/>
      <c r="U2794" s="31"/>
      <c r="V2794" s="31"/>
      <c r="W2794" s="31"/>
      <c r="X2794" s="31"/>
      <c r="Y2794" s="31"/>
    </row>
    <row r="2795" spans="1:25" x14ac:dyDescent="0.2">
      <c r="A2795" s="29"/>
      <c r="B2795" s="29"/>
      <c r="C2795" s="29"/>
      <c r="D2795" s="29"/>
      <c r="E2795" s="29"/>
      <c r="F2795" s="30"/>
      <c r="G2795" s="30"/>
      <c r="H2795" s="30"/>
      <c r="I2795" s="30"/>
      <c r="J2795" s="30"/>
      <c r="K2795" s="30"/>
      <c r="L2795" s="29"/>
      <c r="M2795" s="29"/>
      <c r="N2795" s="29"/>
      <c r="O2795" s="29"/>
      <c r="P2795" s="29"/>
      <c r="Q2795" s="29"/>
      <c r="R2795" s="29"/>
      <c r="S2795" s="29"/>
      <c r="T2795" s="29"/>
      <c r="U2795" s="31"/>
      <c r="V2795" s="31"/>
      <c r="W2795" s="31"/>
      <c r="X2795" s="31"/>
      <c r="Y2795" s="31"/>
    </row>
    <row r="2796" spans="1:25" x14ac:dyDescent="0.2">
      <c r="A2796" s="29"/>
      <c r="B2796" s="29"/>
      <c r="C2796" s="29"/>
      <c r="D2796" s="29"/>
      <c r="E2796" s="29"/>
      <c r="F2796" s="30"/>
      <c r="G2796" s="30"/>
      <c r="H2796" s="30"/>
      <c r="I2796" s="30"/>
      <c r="J2796" s="30"/>
      <c r="K2796" s="30"/>
      <c r="L2796" s="29"/>
      <c r="M2796" s="29"/>
      <c r="N2796" s="29"/>
      <c r="O2796" s="29"/>
      <c r="P2796" s="29"/>
      <c r="Q2796" s="29"/>
      <c r="R2796" s="29"/>
      <c r="S2796" s="29"/>
      <c r="T2796" s="29"/>
      <c r="U2796" s="31"/>
      <c r="V2796" s="31"/>
      <c r="W2796" s="31"/>
      <c r="X2796" s="31"/>
      <c r="Y2796" s="31"/>
    </row>
    <row r="2797" spans="1:25" x14ac:dyDescent="0.2">
      <c r="A2797" s="29"/>
      <c r="B2797" s="29"/>
      <c r="C2797" s="29"/>
      <c r="D2797" s="29"/>
      <c r="E2797" s="29"/>
      <c r="F2797" s="30"/>
      <c r="G2797" s="30"/>
      <c r="H2797" s="30"/>
      <c r="I2797" s="30"/>
      <c r="J2797" s="30"/>
      <c r="K2797" s="30"/>
      <c r="L2797" s="29"/>
      <c r="M2797" s="29"/>
      <c r="N2797" s="29"/>
      <c r="O2797" s="29"/>
      <c r="P2797" s="29"/>
      <c r="Q2797" s="29"/>
      <c r="R2797" s="29"/>
      <c r="S2797" s="29"/>
      <c r="T2797" s="29"/>
      <c r="U2797" s="31"/>
      <c r="V2797" s="31"/>
      <c r="W2797" s="31"/>
      <c r="X2797" s="31"/>
      <c r="Y2797" s="31"/>
    </row>
    <row r="2798" spans="1:25" x14ac:dyDescent="0.2">
      <c r="A2798" s="29"/>
      <c r="B2798" s="29"/>
      <c r="C2798" s="29"/>
      <c r="D2798" s="29"/>
      <c r="E2798" s="29"/>
      <c r="F2798" s="30"/>
      <c r="G2798" s="30"/>
      <c r="H2798" s="30"/>
      <c r="I2798" s="30"/>
      <c r="J2798" s="30"/>
      <c r="K2798" s="30"/>
      <c r="L2798" s="29"/>
      <c r="M2798" s="29"/>
      <c r="N2798" s="29"/>
      <c r="O2798" s="29"/>
      <c r="P2798" s="29"/>
      <c r="Q2798" s="29"/>
      <c r="R2798" s="29"/>
      <c r="S2798" s="29"/>
      <c r="T2798" s="29"/>
      <c r="U2798" s="31"/>
      <c r="V2798" s="31"/>
      <c r="W2798" s="31"/>
      <c r="X2798" s="31"/>
      <c r="Y2798" s="31"/>
    </row>
    <row r="2799" spans="1:25" x14ac:dyDescent="0.2">
      <c r="A2799" s="29"/>
      <c r="B2799" s="29"/>
      <c r="C2799" s="29"/>
      <c r="D2799" s="29"/>
      <c r="E2799" s="29"/>
      <c r="F2799" s="30"/>
      <c r="G2799" s="30"/>
      <c r="H2799" s="30"/>
      <c r="I2799" s="30"/>
      <c r="J2799" s="30"/>
      <c r="K2799" s="30"/>
      <c r="L2799" s="29"/>
      <c r="M2799" s="29"/>
      <c r="N2799" s="29"/>
      <c r="O2799" s="29"/>
      <c r="P2799" s="29"/>
      <c r="Q2799" s="29"/>
      <c r="R2799" s="29"/>
      <c r="S2799" s="29"/>
      <c r="T2799" s="29"/>
      <c r="U2799" s="31"/>
      <c r="V2799" s="31"/>
      <c r="W2799" s="31"/>
      <c r="X2799" s="31"/>
      <c r="Y2799" s="31"/>
    </row>
    <row r="2800" spans="1:25" x14ac:dyDescent="0.2">
      <c r="A2800" s="29"/>
      <c r="B2800" s="29"/>
      <c r="C2800" s="29"/>
      <c r="D2800" s="29"/>
      <c r="E2800" s="29"/>
      <c r="F2800" s="30"/>
      <c r="G2800" s="30"/>
      <c r="H2800" s="30"/>
      <c r="I2800" s="30"/>
      <c r="J2800" s="30"/>
      <c r="K2800" s="30"/>
      <c r="L2800" s="29"/>
      <c r="M2800" s="29"/>
      <c r="N2800" s="29"/>
      <c r="O2800" s="29"/>
      <c r="P2800" s="29"/>
      <c r="Q2800" s="29"/>
      <c r="R2800" s="29"/>
      <c r="S2800" s="29"/>
      <c r="T2800" s="29"/>
      <c r="U2800" s="31"/>
      <c r="V2800" s="31"/>
      <c r="W2800" s="31"/>
      <c r="X2800" s="31"/>
      <c r="Y2800" s="31"/>
    </row>
    <row r="2801" spans="1:25" x14ac:dyDescent="0.2">
      <c r="A2801" s="29"/>
      <c r="B2801" s="29"/>
      <c r="C2801" s="29"/>
      <c r="D2801" s="29"/>
      <c r="E2801" s="29"/>
      <c r="F2801" s="30"/>
      <c r="G2801" s="30"/>
      <c r="H2801" s="30"/>
      <c r="I2801" s="30"/>
      <c r="J2801" s="30"/>
      <c r="K2801" s="30"/>
      <c r="L2801" s="29"/>
      <c r="M2801" s="29"/>
      <c r="N2801" s="29"/>
      <c r="O2801" s="29"/>
      <c r="P2801" s="29"/>
      <c r="Q2801" s="29"/>
      <c r="R2801" s="29"/>
      <c r="S2801" s="29"/>
      <c r="T2801" s="29"/>
      <c r="U2801" s="31"/>
      <c r="V2801" s="31"/>
      <c r="W2801" s="31"/>
      <c r="X2801" s="31"/>
      <c r="Y2801" s="31"/>
    </row>
    <row r="2802" spans="1:25" x14ac:dyDescent="0.2">
      <c r="A2802" s="29"/>
      <c r="B2802" s="29"/>
      <c r="C2802" s="29"/>
      <c r="D2802" s="29"/>
      <c r="E2802" s="29"/>
      <c r="F2802" s="30"/>
      <c r="G2802" s="30"/>
      <c r="H2802" s="30"/>
      <c r="I2802" s="30"/>
      <c r="J2802" s="30"/>
      <c r="K2802" s="30"/>
      <c r="L2802" s="29"/>
      <c r="M2802" s="29"/>
      <c r="N2802" s="29"/>
      <c r="O2802" s="29"/>
      <c r="P2802" s="29"/>
      <c r="Q2802" s="29"/>
      <c r="R2802" s="29"/>
      <c r="S2802" s="29"/>
      <c r="T2802" s="29"/>
      <c r="U2802" s="31"/>
      <c r="V2802" s="31"/>
      <c r="W2802" s="31"/>
      <c r="X2802" s="31"/>
      <c r="Y2802" s="31"/>
    </row>
    <row r="2803" spans="1:25" x14ac:dyDescent="0.2">
      <c r="A2803" s="29"/>
      <c r="B2803" s="29"/>
      <c r="C2803" s="29"/>
      <c r="D2803" s="29"/>
      <c r="E2803" s="29"/>
      <c r="F2803" s="30"/>
      <c r="G2803" s="30"/>
      <c r="H2803" s="30"/>
      <c r="I2803" s="30"/>
      <c r="J2803" s="30"/>
      <c r="K2803" s="30"/>
      <c r="L2803" s="29"/>
      <c r="M2803" s="29"/>
      <c r="N2803" s="29"/>
      <c r="O2803" s="29"/>
      <c r="P2803" s="29"/>
      <c r="Q2803" s="29"/>
      <c r="R2803" s="29"/>
      <c r="S2803" s="29"/>
      <c r="T2803" s="29"/>
      <c r="U2803" s="31"/>
      <c r="V2803" s="31"/>
      <c r="W2803" s="31"/>
      <c r="X2803" s="31"/>
      <c r="Y2803" s="31"/>
    </row>
    <row r="2804" spans="1:25" x14ac:dyDescent="0.2">
      <c r="A2804" s="29"/>
      <c r="B2804" s="29"/>
      <c r="C2804" s="29"/>
      <c r="D2804" s="29"/>
      <c r="E2804" s="29"/>
      <c r="F2804" s="30"/>
      <c r="G2804" s="30"/>
      <c r="H2804" s="30"/>
      <c r="I2804" s="30"/>
      <c r="J2804" s="30"/>
      <c r="K2804" s="30"/>
      <c r="L2804" s="29"/>
      <c r="M2804" s="29"/>
      <c r="N2804" s="29"/>
      <c r="O2804" s="29"/>
      <c r="P2804" s="29"/>
      <c r="Q2804" s="29"/>
      <c r="R2804" s="29"/>
      <c r="S2804" s="29"/>
      <c r="T2804" s="29"/>
      <c r="U2804" s="31"/>
      <c r="V2804" s="31"/>
      <c r="W2804" s="31"/>
      <c r="X2804" s="31"/>
      <c r="Y2804" s="31"/>
    </row>
    <row r="2805" spans="1:25" x14ac:dyDescent="0.2">
      <c r="A2805" s="29"/>
      <c r="B2805" s="29"/>
      <c r="C2805" s="29"/>
      <c r="D2805" s="29"/>
      <c r="E2805" s="29"/>
      <c r="F2805" s="30"/>
      <c r="G2805" s="30"/>
      <c r="H2805" s="30"/>
      <c r="I2805" s="30"/>
      <c r="J2805" s="30"/>
      <c r="K2805" s="30"/>
      <c r="L2805" s="29"/>
      <c r="M2805" s="29"/>
      <c r="N2805" s="29"/>
      <c r="O2805" s="29"/>
      <c r="P2805" s="29"/>
      <c r="Q2805" s="29"/>
      <c r="R2805" s="29"/>
      <c r="S2805" s="29"/>
      <c r="T2805" s="29"/>
      <c r="U2805" s="31"/>
      <c r="V2805" s="31"/>
      <c r="W2805" s="31"/>
      <c r="X2805" s="31"/>
      <c r="Y2805" s="31"/>
    </row>
    <row r="2806" spans="1:25" x14ac:dyDescent="0.2">
      <c r="A2806" s="29"/>
      <c r="B2806" s="29"/>
      <c r="C2806" s="29"/>
      <c r="D2806" s="29"/>
      <c r="E2806" s="29"/>
      <c r="F2806" s="30"/>
      <c r="G2806" s="30"/>
      <c r="H2806" s="30"/>
      <c r="I2806" s="30"/>
      <c r="J2806" s="30"/>
      <c r="K2806" s="30"/>
      <c r="L2806" s="29"/>
      <c r="M2806" s="29"/>
      <c r="N2806" s="29"/>
      <c r="O2806" s="29"/>
      <c r="P2806" s="29"/>
      <c r="Q2806" s="29"/>
      <c r="R2806" s="29"/>
      <c r="S2806" s="29"/>
      <c r="T2806" s="29"/>
      <c r="U2806" s="31"/>
      <c r="V2806" s="31"/>
      <c r="W2806" s="31"/>
      <c r="X2806" s="31"/>
      <c r="Y2806" s="31"/>
    </row>
    <row r="2807" spans="1:25" x14ac:dyDescent="0.2">
      <c r="A2807" s="29"/>
      <c r="B2807" s="29"/>
      <c r="C2807" s="29"/>
      <c r="D2807" s="29"/>
      <c r="E2807" s="29"/>
      <c r="F2807" s="30"/>
      <c r="G2807" s="30"/>
      <c r="H2807" s="30"/>
      <c r="I2807" s="30"/>
      <c r="J2807" s="30"/>
      <c r="K2807" s="30"/>
      <c r="L2807" s="29"/>
      <c r="M2807" s="29"/>
      <c r="N2807" s="29"/>
      <c r="O2807" s="29"/>
      <c r="P2807" s="29"/>
      <c r="Q2807" s="29"/>
      <c r="R2807" s="29"/>
      <c r="S2807" s="29"/>
      <c r="T2807" s="29"/>
      <c r="U2807" s="31"/>
      <c r="V2807" s="31"/>
      <c r="W2807" s="31"/>
      <c r="X2807" s="31"/>
      <c r="Y2807" s="31"/>
    </row>
    <row r="2808" spans="1:25" x14ac:dyDescent="0.2">
      <c r="A2808" s="29"/>
      <c r="B2808" s="29"/>
      <c r="C2808" s="29"/>
      <c r="D2808" s="29"/>
      <c r="E2808" s="29"/>
      <c r="F2808" s="30"/>
      <c r="G2808" s="30"/>
      <c r="H2808" s="30"/>
      <c r="I2808" s="30"/>
      <c r="J2808" s="30"/>
      <c r="K2808" s="30"/>
      <c r="L2808" s="29"/>
      <c r="M2808" s="29"/>
      <c r="N2808" s="29"/>
      <c r="O2808" s="29"/>
      <c r="P2808" s="29"/>
      <c r="Q2808" s="29"/>
      <c r="R2808" s="29"/>
      <c r="S2808" s="29"/>
      <c r="T2808" s="29"/>
      <c r="U2808" s="31"/>
      <c r="V2808" s="31"/>
      <c r="W2808" s="31"/>
      <c r="X2808" s="31"/>
      <c r="Y2808" s="31"/>
    </row>
    <row r="2809" spans="1:25" x14ac:dyDescent="0.2">
      <c r="A2809" s="29"/>
      <c r="B2809" s="29"/>
      <c r="C2809" s="29"/>
      <c r="D2809" s="29"/>
      <c r="E2809" s="29"/>
      <c r="F2809" s="30"/>
      <c r="G2809" s="30"/>
      <c r="H2809" s="30"/>
      <c r="I2809" s="30"/>
      <c r="J2809" s="30"/>
      <c r="K2809" s="30"/>
      <c r="L2809" s="29"/>
      <c r="M2809" s="29"/>
      <c r="N2809" s="29"/>
      <c r="O2809" s="29"/>
      <c r="P2809" s="29"/>
      <c r="Q2809" s="29"/>
      <c r="R2809" s="29"/>
      <c r="S2809" s="29"/>
      <c r="T2809" s="29"/>
      <c r="U2809" s="31"/>
      <c r="V2809" s="31"/>
      <c r="W2809" s="31"/>
      <c r="X2809" s="31"/>
      <c r="Y2809" s="31"/>
    </row>
    <row r="2810" spans="1:25" x14ac:dyDescent="0.2">
      <c r="A2810" s="29"/>
      <c r="B2810" s="29"/>
      <c r="C2810" s="29"/>
      <c r="D2810" s="29"/>
      <c r="E2810" s="29"/>
      <c r="F2810" s="30"/>
      <c r="G2810" s="30"/>
      <c r="H2810" s="30"/>
      <c r="I2810" s="30"/>
      <c r="J2810" s="30"/>
      <c r="K2810" s="30"/>
      <c r="L2810" s="29"/>
      <c r="M2810" s="29"/>
      <c r="N2810" s="29"/>
      <c r="O2810" s="29"/>
      <c r="P2810" s="29"/>
      <c r="Q2810" s="29"/>
      <c r="R2810" s="29"/>
      <c r="S2810" s="29"/>
      <c r="T2810" s="29"/>
      <c r="U2810" s="31"/>
      <c r="V2810" s="31"/>
      <c r="W2810" s="31"/>
      <c r="X2810" s="31"/>
      <c r="Y2810" s="31"/>
    </row>
    <row r="2811" spans="1:25" x14ac:dyDescent="0.2">
      <c r="A2811" s="29"/>
      <c r="B2811" s="29"/>
      <c r="C2811" s="29"/>
      <c r="D2811" s="29"/>
      <c r="E2811" s="29"/>
      <c r="F2811" s="30"/>
      <c r="G2811" s="30"/>
      <c r="H2811" s="30"/>
      <c r="I2811" s="30"/>
      <c r="J2811" s="30"/>
      <c r="K2811" s="30"/>
      <c r="L2811" s="29"/>
      <c r="M2811" s="29"/>
      <c r="N2811" s="29"/>
      <c r="O2811" s="29"/>
      <c r="P2811" s="29"/>
      <c r="Q2811" s="29"/>
      <c r="R2811" s="29"/>
      <c r="S2811" s="29"/>
      <c r="T2811" s="29"/>
      <c r="U2811" s="31"/>
      <c r="V2811" s="31"/>
      <c r="W2811" s="31"/>
      <c r="X2811" s="31"/>
      <c r="Y2811" s="31"/>
    </row>
    <row r="2812" spans="1:25" x14ac:dyDescent="0.2">
      <c r="A2812" s="29"/>
      <c r="B2812" s="29"/>
      <c r="C2812" s="29"/>
      <c r="D2812" s="29"/>
      <c r="E2812" s="29"/>
      <c r="F2812" s="30"/>
      <c r="G2812" s="30"/>
      <c r="H2812" s="30"/>
      <c r="I2812" s="30"/>
      <c r="J2812" s="30"/>
      <c r="K2812" s="30"/>
      <c r="L2812" s="29"/>
      <c r="M2812" s="29"/>
      <c r="N2812" s="29"/>
      <c r="O2812" s="29"/>
      <c r="P2812" s="29"/>
      <c r="Q2812" s="29"/>
      <c r="R2812" s="29"/>
      <c r="S2812" s="29"/>
      <c r="T2812" s="29"/>
      <c r="U2812" s="31"/>
      <c r="V2812" s="31"/>
      <c r="W2812" s="31"/>
      <c r="X2812" s="31"/>
      <c r="Y2812" s="31"/>
    </row>
    <row r="2813" spans="1:25" x14ac:dyDescent="0.2">
      <c r="A2813" s="29"/>
      <c r="B2813" s="29"/>
      <c r="C2813" s="29"/>
      <c r="D2813" s="29"/>
      <c r="E2813" s="29"/>
      <c r="F2813" s="30"/>
      <c r="G2813" s="30"/>
      <c r="H2813" s="30"/>
      <c r="I2813" s="30"/>
      <c r="J2813" s="30"/>
      <c r="K2813" s="30"/>
      <c r="L2813" s="29"/>
      <c r="M2813" s="29"/>
      <c r="N2813" s="29"/>
      <c r="O2813" s="29"/>
      <c r="P2813" s="29"/>
      <c r="Q2813" s="29"/>
      <c r="R2813" s="29"/>
      <c r="S2813" s="29"/>
      <c r="T2813" s="29"/>
      <c r="U2813" s="31"/>
      <c r="V2813" s="31"/>
      <c r="W2813" s="31"/>
      <c r="X2813" s="31"/>
      <c r="Y2813" s="31"/>
    </row>
    <row r="2814" spans="1:25" x14ac:dyDescent="0.2">
      <c r="A2814" s="29"/>
      <c r="B2814" s="29"/>
      <c r="C2814" s="29"/>
      <c r="D2814" s="29"/>
      <c r="E2814" s="29"/>
      <c r="F2814" s="30"/>
      <c r="G2814" s="30"/>
      <c r="H2814" s="30"/>
      <c r="I2814" s="30"/>
      <c r="J2814" s="30"/>
      <c r="K2814" s="30"/>
      <c r="L2814" s="29"/>
      <c r="M2814" s="29"/>
      <c r="N2814" s="29"/>
      <c r="O2814" s="29"/>
      <c r="P2814" s="29"/>
      <c r="Q2814" s="29"/>
      <c r="R2814" s="29"/>
      <c r="S2814" s="29"/>
      <c r="T2814" s="29"/>
      <c r="U2814" s="31"/>
      <c r="V2814" s="31"/>
      <c r="W2814" s="31"/>
      <c r="X2814" s="31"/>
      <c r="Y2814" s="31"/>
    </row>
    <row r="2815" spans="1:25" x14ac:dyDescent="0.2">
      <c r="A2815" s="29"/>
      <c r="B2815" s="29"/>
      <c r="C2815" s="29"/>
      <c r="D2815" s="29"/>
      <c r="E2815" s="29"/>
      <c r="F2815" s="30"/>
      <c r="G2815" s="30"/>
      <c r="H2815" s="30"/>
      <c r="I2815" s="30"/>
      <c r="J2815" s="30"/>
      <c r="K2815" s="30"/>
      <c r="L2815" s="29"/>
      <c r="M2815" s="29"/>
      <c r="N2815" s="29"/>
      <c r="O2815" s="29"/>
      <c r="P2815" s="29"/>
      <c r="Q2815" s="29"/>
      <c r="R2815" s="29"/>
      <c r="S2815" s="29"/>
      <c r="T2815" s="29"/>
      <c r="U2815" s="31"/>
      <c r="V2815" s="31"/>
      <c r="W2815" s="31"/>
      <c r="X2815" s="31"/>
      <c r="Y2815" s="31"/>
    </row>
    <row r="2816" spans="1:25" x14ac:dyDescent="0.2">
      <c r="A2816" s="29"/>
      <c r="B2816" s="29"/>
      <c r="C2816" s="29"/>
      <c r="D2816" s="29"/>
      <c r="E2816" s="29"/>
      <c r="F2816" s="30"/>
      <c r="G2816" s="30"/>
      <c r="H2816" s="30"/>
      <c r="I2816" s="30"/>
      <c r="J2816" s="30"/>
      <c r="K2816" s="30"/>
      <c r="L2816" s="29"/>
      <c r="M2816" s="29"/>
      <c r="N2816" s="29"/>
      <c r="O2816" s="29"/>
      <c r="P2816" s="29"/>
      <c r="Q2816" s="29"/>
      <c r="R2816" s="29"/>
      <c r="S2816" s="29"/>
      <c r="T2816" s="29"/>
      <c r="U2816" s="31"/>
      <c r="V2816" s="31"/>
      <c r="W2816" s="31"/>
      <c r="X2816" s="31"/>
      <c r="Y2816" s="31"/>
    </row>
    <row r="2817" spans="1:25" x14ac:dyDescent="0.2">
      <c r="A2817" s="29"/>
      <c r="B2817" s="29"/>
      <c r="C2817" s="29"/>
      <c r="D2817" s="29"/>
      <c r="E2817" s="29"/>
      <c r="F2817" s="30"/>
      <c r="G2817" s="30"/>
      <c r="H2817" s="30"/>
      <c r="I2817" s="30"/>
      <c r="J2817" s="30"/>
      <c r="K2817" s="30"/>
      <c r="L2817" s="29"/>
      <c r="M2817" s="29"/>
      <c r="N2817" s="29"/>
      <c r="O2817" s="29"/>
      <c r="P2817" s="29"/>
      <c r="Q2817" s="29"/>
      <c r="R2817" s="29"/>
      <c r="S2817" s="29"/>
      <c r="T2817" s="29"/>
      <c r="U2817" s="31"/>
      <c r="V2817" s="31"/>
      <c r="W2817" s="31"/>
      <c r="X2817" s="31"/>
      <c r="Y2817" s="31"/>
    </row>
    <row r="2818" spans="1:25" x14ac:dyDescent="0.2">
      <c r="A2818" s="29"/>
      <c r="B2818" s="29"/>
      <c r="C2818" s="29"/>
      <c r="D2818" s="29"/>
      <c r="E2818" s="29"/>
      <c r="F2818" s="30"/>
      <c r="G2818" s="30"/>
      <c r="H2818" s="30"/>
      <c r="I2818" s="30"/>
      <c r="J2818" s="30"/>
      <c r="K2818" s="30"/>
      <c r="L2818" s="29"/>
      <c r="M2818" s="29"/>
      <c r="N2818" s="29"/>
      <c r="O2818" s="29"/>
      <c r="P2818" s="29"/>
      <c r="Q2818" s="29"/>
      <c r="R2818" s="29"/>
      <c r="S2818" s="29"/>
      <c r="T2818" s="29"/>
      <c r="U2818" s="31"/>
      <c r="V2818" s="31"/>
      <c r="W2818" s="31"/>
      <c r="X2818" s="31"/>
      <c r="Y2818" s="31"/>
    </row>
    <row r="2819" spans="1:25" x14ac:dyDescent="0.2">
      <c r="A2819" s="29"/>
      <c r="B2819" s="29"/>
      <c r="C2819" s="29"/>
      <c r="D2819" s="29"/>
      <c r="E2819" s="29"/>
      <c r="F2819" s="30"/>
      <c r="G2819" s="30"/>
      <c r="H2819" s="30"/>
      <c r="I2819" s="30"/>
      <c r="J2819" s="30"/>
      <c r="K2819" s="30"/>
      <c r="L2819" s="29"/>
      <c r="M2819" s="29"/>
      <c r="N2819" s="29"/>
      <c r="O2819" s="29"/>
      <c r="P2819" s="29"/>
      <c r="Q2819" s="29"/>
      <c r="R2819" s="29"/>
      <c r="S2819" s="29"/>
      <c r="T2819" s="29"/>
      <c r="U2819" s="31"/>
      <c r="V2819" s="31"/>
      <c r="W2819" s="31"/>
      <c r="X2819" s="31"/>
      <c r="Y2819" s="31"/>
    </row>
    <row r="2820" spans="1:25" x14ac:dyDescent="0.2">
      <c r="A2820" s="29"/>
      <c r="B2820" s="29"/>
      <c r="C2820" s="29"/>
      <c r="D2820" s="29"/>
      <c r="E2820" s="29"/>
      <c r="F2820" s="30"/>
      <c r="G2820" s="30"/>
      <c r="H2820" s="30"/>
      <c r="I2820" s="30"/>
      <c r="J2820" s="30"/>
      <c r="K2820" s="30"/>
      <c r="L2820" s="29"/>
      <c r="M2820" s="29"/>
      <c r="N2820" s="29"/>
      <c r="O2820" s="29"/>
      <c r="P2820" s="29"/>
      <c r="Q2820" s="29"/>
      <c r="R2820" s="29"/>
      <c r="S2820" s="29"/>
      <c r="T2820" s="29"/>
      <c r="U2820" s="31"/>
      <c r="V2820" s="31"/>
      <c r="W2820" s="31"/>
      <c r="X2820" s="31"/>
      <c r="Y2820" s="31"/>
    </row>
    <row r="2821" spans="1:25" x14ac:dyDescent="0.2">
      <c r="A2821" s="29"/>
      <c r="B2821" s="29"/>
      <c r="C2821" s="29"/>
      <c r="D2821" s="29"/>
      <c r="E2821" s="29"/>
      <c r="F2821" s="30"/>
      <c r="G2821" s="30"/>
      <c r="H2821" s="30"/>
      <c r="I2821" s="30"/>
      <c r="J2821" s="30"/>
      <c r="K2821" s="30"/>
      <c r="L2821" s="29"/>
      <c r="M2821" s="29"/>
      <c r="N2821" s="29"/>
      <c r="O2821" s="29"/>
      <c r="P2821" s="29"/>
      <c r="Q2821" s="29"/>
      <c r="R2821" s="29"/>
      <c r="S2821" s="29"/>
      <c r="T2821" s="29"/>
      <c r="U2821" s="31"/>
      <c r="V2821" s="31"/>
      <c r="W2821" s="31"/>
      <c r="X2821" s="31"/>
      <c r="Y2821" s="31"/>
    </row>
    <row r="2822" spans="1:25" x14ac:dyDescent="0.2">
      <c r="A2822" s="29"/>
      <c r="B2822" s="29"/>
      <c r="C2822" s="29"/>
      <c r="D2822" s="29"/>
      <c r="E2822" s="29"/>
      <c r="F2822" s="30"/>
      <c r="G2822" s="30"/>
      <c r="H2822" s="30"/>
      <c r="I2822" s="30"/>
      <c r="J2822" s="30"/>
      <c r="K2822" s="30"/>
      <c r="L2822" s="29"/>
      <c r="M2822" s="29"/>
      <c r="N2822" s="29"/>
      <c r="O2822" s="29"/>
      <c r="P2822" s="29"/>
      <c r="Q2822" s="29"/>
      <c r="R2822" s="29"/>
      <c r="S2822" s="29"/>
      <c r="T2822" s="29"/>
      <c r="U2822" s="31"/>
      <c r="V2822" s="31"/>
      <c r="W2822" s="31"/>
      <c r="X2822" s="31"/>
      <c r="Y2822" s="31"/>
    </row>
    <row r="2823" spans="1:25" x14ac:dyDescent="0.2">
      <c r="A2823" s="29"/>
      <c r="B2823" s="29"/>
      <c r="C2823" s="29"/>
      <c r="D2823" s="29"/>
      <c r="E2823" s="29"/>
      <c r="F2823" s="30"/>
      <c r="G2823" s="30"/>
      <c r="H2823" s="30"/>
      <c r="I2823" s="30"/>
      <c r="J2823" s="30"/>
      <c r="K2823" s="30"/>
      <c r="L2823" s="29"/>
      <c r="M2823" s="29"/>
      <c r="N2823" s="29"/>
      <c r="O2823" s="29"/>
      <c r="P2823" s="29"/>
      <c r="Q2823" s="29"/>
      <c r="R2823" s="29"/>
      <c r="S2823" s="29"/>
      <c r="T2823" s="29"/>
      <c r="U2823" s="31"/>
      <c r="V2823" s="31"/>
      <c r="W2823" s="31"/>
      <c r="X2823" s="31"/>
      <c r="Y2823" s="31"/>
    </row>
    <row r="2824" spans="1:25" x14ac:dyDescent="0.2">
      <c r="A2824" s="29"/>
      <c r="B2824" s="29"/>
      <c r="C2824" s="29"/>
      <c r="D2824" s="29"/>
      <c r="E2824" s="29"/>
      <c r="F2824" s="30"/>
      <c r="G2824" s="30"/>
      <c r="H2824" s="30"/>
      <c r="I2824" s="30"/>
      <c r="J2824" s="30"/>
      <c r="K2824" s="30"/>
      <c r="L2824" s="29"/>
      <c r="M2824" s="29"/>
      <c r="N2824" s="29"/>
      <c r="O2824" s="29"/>
      <c r="P2824" s="29"/>
      <c r="Q2824" s="29"/>
      <c r="R2824" s="29"/>
      <c r="S2824" s="29"/>
      <c r="T2824" s="29"/>
      <c r="U2824" s="31"/>
      <c r="V2824" s="31"/>
      <c r="W2824" s="31"/>
      <c r="X2824" s="31"/>
      <c r="Y2824" s="31"/>
    </row>
    <row r="2825" spans="1:25" x14ac:dyDescent="0.2">
      <c r="A2825" s="29"/>
      <c r="B2825" s="29"/>
      <c r="C2825" s="29"/>
      <c r="D2825" s="29"/>
      <c r="E2825" s="29"/>
      <c r="F2825" s="30"/>
      <c r="G2825" s="30"/>
      <c r="H2825" s="30"/>
      <c r="I2825" s="30"/>
      <c r="J2825" s="30"/>
      <c r="K2825" s="30"/>
      <c r="L2825" s="29"/>
      <c r="M2825" s="29"/>
      <c r="N2825" s="29"/>
      <c r="O2825" s="29"/>
      <c r="P2825" s="29"/>
      <c r="Q2825" s="29"/>
      <c r="R2825" s="29"/>
      <c r="S2825" s="29"/>
      <c r="T2825" s="29"/>
      <c r="U2825" s="31"/>
      <c r="V2825" s="31"/>
      <c r="W2825" s="31"/>
      <c r="X2825" s="31"/>
      <c r="Y2825" s="31"/>
    </row>
    <row r="2826" spans="1:25" x14ac:dyDescent="0.2">
      <c r="A2826" s="29"/>
      <c r="B2826" s="29"/>
      <c r="C2826" s="29"/>
      <c r="D2826" s="29"/>
      <c r="E2826" s="29"/>
      <c r="F2826" s="30"/>
      <c r="G2826" s="30"/>
      <c r="H2826" s="30"/>
      <c r="I2826" s="30"/>
      <c r="J2826" s="30"/>
      <c r="K2826" s="30"/>
      <c r="L2826" s="29"/>
      <c r="M2826" s="29"/>
      <c r="N2826" s="29"/>
      <c r="O2826" s="29"/>
      <c r="P2826" s="29"/>
      <c r="Q2826" s="29"/>
      <c r="R2826" s="29"/>
      <c r="S2826" s="29"/>
      <c r="T2826" s="29"/>
      <c r="U2826" s="31"/>
      <c r="V2826" s="31"/>
      <c r="W2826" s="31"/>
      <c r="X2826" s="31"/>
      <c r="Y2826" s="31"/>
    </row>
    <row r="2827" spans="1:25" x14ac:dyDescent="0.2">
      <c r="A2827" s="29"/>
      <c r="B2827" s="29"/>
      <c r="C2827" s="29"/>
      <c r="D2827" s="29"/>
      <c r="E2827" s="29"/>
      <c r="F2827" s="30"/>
      <c r="G2827" s="30"/>
      <c r="H2827" s="30"/>
      <c r="I2827" s="30"/>
      <c r="J2827" s="30"/>
      <c r="K2827" s="30"/>
      <c r="L2827" s="29"/>
      <c r="M2827" s="29"/>
      <c r="N2827" s="29"/>
      <c r="O2827" s="29"/>
      <c r="P2827" s="29"/>
      <c r="Q2827" s="29"/>
      <c r="R2827" s="29"/>
      <c r="S2827" s="29"/>
      <c r="T2827" s="29"/>
      <c r="U2827" s="31"/>
      <c r="V2827" s="31"/>
      <c r="W2827" s="31"/>
      <c r="X2827" s="31"/>
      <c r="Y2827" s="31"/>
    </row>
    <row r="2828" spans="1:25" x14ac:dyDescent="0.2">
      <c r="A2828" s="29"/>
      <c r="B2828" s="29"/>
      <c r="C2828" s="29"/>
      <c r="D2828" s="29"/>
      <c r="E2828" s="29"/>
      <c r="F2828" s="30"/>
      <c r="G2828" s="30"/>
      <c r="H2828" s="30"/>
      <c r="I2828" s="30"/>
      <c r="J2828" s="30"/>
      <c r="K2828" s="30"/>
      <c r="L2828" s="29"/>
      <c r="M2828" s="29"/>
      <c r="N2828" s="29"/>
      <c r="O2828" s="29"/>
      <c r="P2828" s="29"/>
      <c r="Q2828" s="29"/>
      <c r="R2828" s="29"/>
      <c r="S2828" s="29"/>
      <c r="T2828" s="29"/>
      <c r="U2828" s="31"/>
      <c r="V2828" s="31"/>
      <c r="W2828" s="31"/>
      <c r="X2828" s="31"/>
      <c r="Y2828" s="31"/>
    </row>
    <row r="2829" spans="1:25" x14ac:dyDescent="0.2">
      <c r="A2829" s="29"/>
      <c r="B2829" s="29"/>
      <c r="C2829" s="29"/>
      <c r="D2829" s="29"/>
      <c r="E2829" s="29"/>
      <c r="F2829" s="30"/>
      <c r="G2829" s="30"/>
      <c r="H2829" s="30"/>
      <c r="I2829" s="30"/>
      <c r="J2829" s="30"/>
      <c r="K2829" s="30"/>
      <c r="L2829" s="29"/>
      <c r="M2829" s="29"/>
      <c r="N2829" s="29"/>
      <c r="O2829" s="29"/>
      <c r="P2829" s="29"/>
      <c r="Q2829" s="29"/>
      <c r="R2829" s="29"/>
      <c r="S2829" s="29"/>
      <c r="T2829" s="29"/>
      <c r="U2829" s="31"/>
      <c r="V2829" s="31"/>
      <c r="W2829" s="31"/>
      <c r="X2829" s="31"/>
      <c r="Y2829" s="31"/>
    </row>
    <row r="2830" spans="1:25" x14ac:dyDescent="0.2">
      <c r="A2830" s="29"/>
      <c r="B2830" s="29"/>
      <c r="C2830" s="29"/>
      <c r="D2830" s="29"/>
      <c r="E2830" s="29"/>
      <c r="F2830" s="30"/>
      <c r="G2830" s="30"/>
      <c r="H2830" s="30"/>
      <c r="I2830" s="30"/>
      <c r="J2830" s="30"/>
      <c r="K2830" s="30"/>
      <c r="L2830" s="29"/>
      <c r="M2830" s="29"/>
      <c r="N2830" s="29"/>
      <c r="O2830" s="29"/>
      <c r="P2830" s="29"/>
      <c r="Q2830" s="29"/>
      <c r="R2830" s="29"/>
      <c r="S2830" s="29"/>
      <c r="T2830" s="29"/>
      <c r="U2830" s="31"/>
      <c r="V2830" s="31"/>
      <c r="W2830" s="31"/>
      <c r="X2830" s="31"/>
      <c r="Y2830" s="31"/>
    </row>
    <row r="2831" spans="1:25" x14ac:dyDescent="0.2">
      <c r="A2831" s="29"/>
      <c r="B2831" s="29"/>
      <c r="C2831" s="29"/>
      <c r="D2831" s="29"/>
      <c r="E2831" s="29"/>
      <c r="F2831" s="30"/>
      <c r="G2831" s="30"/>
      <c r="H2831" s="30"/>
      <c r="I2831" s="30"/>
      <c r="J2831" s="30"/>
      <c r="K2831" s="30"/>
      <c r="L2831" s="29"/>
      <c r="M2831" s="29"/>
      <c r="N2831" s="29"/>
      <c r="O2831" s="29"/>
      <c r="P2831" s="29"/>
      <c r="Q2831" s="29"/>
      <c r="R2831" s="29"/>
      <c r="S2831" s="29"/>
      <c r="T2831" s="29"/>
      <c r="U2831" s="31"/>
      <c r="V2831" s="31"/>
      <c r="W2831" s="31"/>
      <c r="X2831" s="31"/>
      <c r="Y2831" s="31"/>
    </row>
    <row r="2832" spans="1:25" x14ac:dyDescent="0.2">
      <c r="A2832" s="29"/>
      <c r="B2832" s="29"/>
      <c r="C2832" s="29"/>
      <c r="D2832" s="29"/>
      <c r="E2832" s="29"/>
      <c r="F2832" s="30"/>
      <c r="G2832" s="30"/>
      <c r="H2832" s="30"/>
      <c r="I2832" s="30"/>
      <c r="J2832" s="30"/>
      <c r="K2832" s="30"/>
      <c r="L2832" s="29"/>
      <c r="M2832" s="29"/>
      <c r="N2832" s="29"/>
      <c r="O2832" s="29"/>
      <c r="P2832" s="29"/>
      <c r="Q2832" s="29"/>
      <c r="R2832" s="29"/>
      <c r="S2832" s="29"/>
      <c r="T2832" s="29"/>
      <c r="U2832" s="31"/>
      <c r="V2832" s="31"/>
      <c r="W2832" s="31"/>
      <c r="X2832" s="31"/>
      <c r="Y2832" s="31"/>
    </row>
    <row r="2833" spans="1:25" x14ac:dyDescent="0.2">
      <c r="A2833" s="29"/>
      <c r="B2833" s="29"/>
      <c r="C2833" s="29"/>
      <c r="D2833" s="29"/>
      <c r="E2833" s="29"/>
      <c r="F2833" s="30"/>
      <c r="G2833" s="30"/>
      <c r="H2833" s="30"/>
      <c r="I2833" s="30"/>
      <c r="J2833" s="30"/>
      <c r="K2833" s="30"/>
      <c r="L2833" s="29"/>
      <c r="M2833" s="29"/>
      <c r="N2833" s="29"/>
      <c r="O2833" s="29"/>
      <c r="P2833" s="29"/>
      <c r="Q2833" s="29"/>
      <c r="R2833" s="29"/>
      <c r="S2833" s="29"/>
      <c r="T2833" s="29"/>
      <c r="U2833" s="31"/>
      <c r="V2833" s="31"/>
      <c r="W2833" s="31"/>
      <c r="X2833" s="31"/>
      <c r="Y2833" s="31"/>
    </row>
    <row r="2834" spans="1:25" x14ac:dyDescent="0.2">
      <c r="A2834" s="29"/>
      <c r="B2834" s="29"/>
      <c r="C2834" s="29"/>
      <c r="D2834" s="29"/>
      <c r="E2834" s="29"/>
      <c r="F2834" s="30"/>
      <c r="G2834" s="30"/>
      <c r="H2834" s="30"/>
      <c r="I2834" s="30"/>
      <c r="J2834" s="30"/>
      <c r="K2834" s="30"/>
      <c r="L2834" s="29"/>
      <c r="M2834" s="29"/>
      <c r="N2834" s="29"/>
      <c r="O2834" s="29"/>
      <c r="P2834" s="29"/>
      <c r="Q2834" s="29"/>
      <c r="R2834" s="29"/>
      <c r="S2834" s="29"/>
      <c r="T2834" s="29"/>
      <c r="U2834" s="31"/>
      <c r="V2834" s="31"/>
      <c r="W2834" s="31"/>
      <c r="X2834" s="31"/>
      <c r="Y2834" s="31"/>
    </row>
    <row r="2835" spans="1:25" x14ac:dyDescent="0.2">
      <c r="A2835" s="29"/>
      <c r="B2835" s="29"/>
      <c r="C2835" s="29"/>
      <c r="D2835" s="29"/>
      <c r="E2835" s="29"/>
      <c r="F2835" s="30"/>
      <c r="G2835" s="30"/>
      <c r="H2835" s="30"/>
      <c r="I2835" s="30"/>
      <c r="J2835" s="30"/>
      <c r="K2835" s="30"/>
      <c r="L2835" s="29"/>
      <c r="M2835" s="29"/>
      <c r="N2835" s="29"/>
      <c r="O2835" s="29"/>
      <c r="P2835" s="29"/>
      <c r="Q2835" s="29"/>
      <c r="R2835" s="29"/>
      <c r="S2835" s="29"/>
      <c r="T2835" s="29"/>
      <c r="U2835" s="31"/>
      <c r="V2835" s="31"/>
      <c r="W2835" s="31"/>
      <c r="X2835" s="31"/>
      <c r="Y2835" s="31"/>
    </row>
    <row r="2836" spans="1:25" x14ac:dyDescent="0.2">
      <c r="A2836" s="29"/>
      <c r="B2836" s="29"/>
      <c r="C2836" s="29"/>
      <c r="D2836" s="29"/>
      <c r="E2836" s="29"/>
      <c r="F2836" s="30"/>
      <c r="G2836" s="30"/>
      <c r="H2836" s="30"/>
      <c r="I2836" s="30"/>
      <c r="J2836" s="30"/>
      <c r="K2836" s="30"/>
      <c r="L2836" s="29"/>
      <c r="M2836" s="29"/>
      <c r="N2836" s="29"/>
      <c r="O2836" s="29"/>
      <c r="P2836" s="29"/>
      <c r="Q2836" s="29"/>
      <c r="R2836" s="29"/>
      <c r="S2836" s="29"/>
      <c r="T2836" s="29"/>
      <c r="U2836" s="31"/>
      <c r="V2836" s="31"/>
      <c r="W2836" s="31"/>
      <c r="X2836" s="31"/>
      <c r="Y2836" s="31"/>
    </row>
    <row r="2837" spans="1:25" x14ac:dyDescent="0.2">
      <c r="A2837" s="29"/>
      <c r="B2837" s="29"/>
      <c r="C2837" s="29"/>
      <c r="D2837" s="29"/>
      <c r="E2837" s="29"/>
      <c r="F2837" s="30"/>
      <c r="G2837" s="30"/>
      <c r="H2837" s="30"/>
      <c r="I2837" s="30"/>
      <c r="J2837" s="30"/>
      <c r="K2837" s="30"/>
      <c r="L2837" s="29"/>
      <c r="M2837" s="29"/>
      <c r="N2837" s="29"/>
      <c r="O2837" s="29"/>
      <c r="P2837" s="29"/>
      <c r="Q2837" s="29"/>
      <c r="R2837" s="29"/>
      <c r="S2837" s="29"/>
      <c r="T2837" s="29"/>
      <c r="U2837" s="31"/>
      <c r="V2837" s="31"/>
      <c r="W2837" s="31"/>
      <c r="X2837" s="31"/>
      <c r="Y2837" s="31"/>
    </row>
    <row r="2838" spans="1:25" x14ac:dyDescent="0.2">
      <c r="A2838" s="29"/>
      <c r="B2838" s="29"/>
      <c r="C2838" s="29"/>
      <c r="D2838" s="29"/>
      <c r="E2838" s="29"/>
      <c r="F2838" s="30"/>
      <c r="G2838" s="30"/>
      <c r="H2838" s="30"/>
      <c r="I2838" s="30"/>
      <c r="J2838" s="30"/>
      <c r="K2838" s="30"/>
      <c r="L2838" s="29"/>
      <c r="M2838" s="29"/>
      <c r="N2838" s="29"/>
      <c r="O2838" s="29"/>
      <c r="P2838" s="29"/>
      <c r="Q2838" s="29"/>
      <c r="R2838" s="29"/>
      <c r="S2838" s="29"/>
      <c r="T2838" s="29"/>
      <c r="U2838" s="31"/>
      <c r="V2838" s="31"/>
      <c r="W2838" s="31"/>
      <c r="X2838" s="31"/>
      <c r="Y2838" s="31"/>
    </row>
    <row r="2839" spans="1:25" x14ac:dyDescent="0.2">
      <c r="A2839" s="29"/>
      <c r="B2839" s="29"/>
      <c r="C2839" s="29"/>
      <c r="D2839" s="29"/>
      <c r="E2839" s="29"/>
      <c r="F2839" s="30"/>
      <c r="G2839" s="30"/>
      <c r="H2839" s="30"/>
      <c r="I2839" s="30"/>
      <c r="J2839" s="30"/>
      <c r="K2839" s="30"/>
      <c r="L2839" s="29"/>
      <c r="M2839" s="29"/>
      <c r="N2839" s="29"/>
      <c r="O2839" s="29"/>
      <c r="P2839" s="29"/>
      <c r="Q2839" s="29"/>
      <c r="R2839" s="29"/>
      <c r="S2839" s="29"/>
      <c r="T2839" s="29"/>
      <c r="U2839" s="31"/>
      <c r="V2839" s="31"/>
      <c r="W2839" s="31"/>
      <c r="X2839" s="31"/>
      <c r="Y2839" s="31"/>
    </row>
    <row r="2840" spans="1:25" x14ac:dyDescent="0.2">
      <c r="A2840" s="29"/>
      <c r="B2840" s="29"/>
      <c r="C2840" s="29"/>
      <c r="D2840" s="29"/>
      <c r="E2840" s="29"/>
      <c r="F2840" s="30"/>
      <c r="G2840" s="30"/>
      <c r="H2840" s="30"/>
      <c r="I2840" s="30"/>
      <c r="J2840" s="30"/>
      <c r="K2840" s="30"/>
      <c r="L2840" s="29"/>
      <c r="M2840" s="29"/>
      <c r="N2840" s="29"/>
      <c r="O2840" s="29"/>
      <c r="P2840" s="29"/>
      <c r="Q2840" s="29"/>
      <c r="R2840" s="29"/>
      <c r="S2840" s="29"/>
      <c r="T2840" s="29"/>
      <c r="U2840" s="31"/>
      <c r="V2840" s="31"/>
      <c r="W2840" s="31"/>
      <c r="X2840" s="31"/>
      <c r="Y2840" s="31"/>
    </row>
    <row r="2841" spans="1:25" x14ac:dyDescent="0.2">
      <c r="A2841" s="29"/>
      <c r="B2841" s="29"/>
      <c r="C2841" s="29"/>
      <c r="D2841" s="29"/>
      <c r="E2841" s="29"/>
      <c r="F2841" s="30"/>
      <c r="G2841" s="30"/>
      <c r="H2841" s="30"/>
      <c r="I2841" s="30"/>
      <c r="J2841" s="30"/>
      <c r="K2841" s="30"/>
      <c r="L2841" s="29"/>
      <c r="M2841" s="29"/>
      <c r="N2841" s="29"/>
      <c r="O2841" s="29"/>
      <c r="P2841" s="29"/>
      <c r="Q2841" s="29"/>
      <c r="R2841" s="29"/>
      <c r="S2841" s="29"/>
      <c r="T2841" s="29"/>
      <c r="U2841" s="31"/>
      <c r="V2841" s="31"/>
      <c r="W2841" s="31"/>
      <c r="X2841" s="31"/>
      <c r="Y2841" s="31"/>
    </row>
    <row r="2842" spans="1:25" x14ac:dyDescent="0.2">
      <c r="A2842" s="29"/>
      <c r="B2842" s="29"/>
      <c r="C2842" s="29"/>
      <c r="D2842" s="29"/>
      <c r="E2842" s="29"/>
      <c r="F2842" s="30"/>
      <c r="G2842" s="30"/>
      <c r="H2842" s="30"/>
      <c r="I2842" s="30"/>
      <c r="J2842" s="30"/>
      <c r="K2842" s="30"/>
      <c r="L2842" s="29"/>
      <c r="M2842" s="29"/>
      <c r="N2842" s="29"/>
      <c r="O2842" s="29"/>
      <c r="P2842" s="29"/>
      <c r="Q2842" s="29"/>
      <c r="R2842" s="29"/>
      <c r="S2842" s="29"/>
      <c r="T2842" s="29"/>
      <c r="U2842" s="31"/>
      <c r="V2842" s="31"/>
      <c r="W2842" s="31"/>
      <c r="X2842" s="31"/>
      <c r="Y2842" s="31"/>
    </row>
    <row r="2843" spans="1:25" x14ac:dyDescent="0.2">
      <c r="A2843" s="29"/>
      <c r="B2843" s="29"/>
      <c r="C2843" s="29"/>
      <c r="D2843" s="29"/>
      <c r="E2843" s="29"/>
      <c r="F2843" s="30"/>
      <c r="G2843" s="30"/>
      <c r="H2843" s="30"/>
      <c r="I2843" s="30"/>
      <c r="J2843" s="30"/>
      <c r="K2843" s="30"/>
      <c r="L2843" s="29"/>
      <c r="M2843" s="29"/>
      <c r="N2843" s="29"/>
      <c r="O2843" s="29"/>
      <c r="P2843" s="29"/>
      <c r="Q2843" s="29"/>
      <c r="R2843" s="29"/>
      <c r="S2843" s="29"/>
      <c r="T2843" s="29"/>
      <c r="U2843" s="31"/>
      <c r="V2843" s="31"/>
      <c r="W2843" s="31"/>
      <c r="X2843" s="31"/>
      <c r="Y2843" s="31"/>
    </row>
    <row r="2844" spans="1:25" x14ac:dyDescent="0.2">
      <c r="A2844" s="29"/>
      <c r="B2844" s="29"/>
      <c r="C2844" s="29"/>
      <c r="D2844" s="29"/>
      <c r="E2844" s="29"/>
      <c r="F2844" s="30"/>
      <c r="G2844" s="30"/>
      <c r="H2844" s="30"/>
      <c r="I2844" s="30"/>
      <c r="J2844" s="30"/>
      <c r="K2844" s="30"/>
      <c r="L2844" s="29"/>
      <c r="M2844" s="29"/>
      <c r="N2844" s="29"/>
      <c r="O2844" s="29"/>
      <c r="P2844" s="29"/>
      <c r="Q2844" s="29"/>
      <c r="R2844" s="29"/>
      <c r="S2844" s="29"/>
      <c r="T2844" s="29"/>
      <c r="U2844" s="31"/>
      <c r="V2844" s="31"/>
      <c r="W2844" s="31"/>
      <c r="X2844" s="31"/>
      <c r="Y2844" s="31"/>
    </row>
    <row r="2845" spans="1:25" x14ac:dyDescent="0.2">
      <c r="A2845" s="29"/>
      <c r="B2845" s="29"/>
      <c r="C2845" s="29"/>
      <c r="D2845" s="29"/>
      <c r="E2845" s="29"/>
      <c r="F2845" s="30"/>
      <c r="G2845" s="30"/>
      <c r="H2845" s="30"/>
      <c r="I2845" s="30"/>
      <c r="J2845" s="30"/>
      <c r="K2845" s="30"/>
      <c r="L2845" s="29"/>
      <c r="M2845" s="29"/>
      <c r="N2845" s="29"/>
      <c r="O2845" s="29"/>
      <c r="P2845" s="29"/>
      <c r="Q2845" s="29"/>
      <c r="R2845" s="29"/>
      <c r="S2845" s="29"/>
      <c r="T2845" s="29"/>
      <c r="U2845" s="31"/>
      <c r="V2845" s="31"/>
      <c r="W2845" s="31"/>
      <c r="X2845" s="31"/>
      <c r="Y2845" s="31"/>
    </row>
    <row r="2846" spans="1:25" x14ac:dyDescent="0.2">
      <c r="A2846" s="30"/>
      <c r="B2846" s="30"/>
      <c r="C2846" s="30"/>
      <c r="D2846" s="29"/>
      <c r="E2846" s="29"/>
      <c r="F2846" s="30"/>
      <c r="G2846" s="30"/>
      <c r="H2846" s="30"/>
      <c r="I2846" s="30"/>
      <c r="J2846" s="30"/>
      <c r="K2846" s="30"/>
      <c r="L2846" s="29"/>
      <c r="M2846" s="29"/>
      <c r="N2846" s="29"/>
      <c r="O2846" s="29"/>
      <c r="P2846" s="29"/>
      <c r="Q2846" s="29"/>
      <c r="R2846" s="29"/>
      <c r="S2846" s="29"/>
      <c r="T2846" s="29"/>
      <c r="U2846" s="31"/>
      <c r="V2846" s="31"/>
      <c r="W2846" s="31"/>
      <c r="X2846" s="31"/>
      <c r="Y2846" s="31"/>
    </row>
    <row r="2847" spans="1:25" x14ac:dyDescent="0.2">
      <c r="A2847" s="30"/>
      <c r="B2847" s="30"/>
      <c r="C2847" s="30"/>
      <c r="D2847" s="30"/>
      <c r="E2847" s="30"/>
      <c r="F2847" s="30"/>
      <c r="G2847" s="30"/>
      <c r="H2847" s="30"/>
      <c r="I2847" s="30"/>
      <c r="J2847" s="30"/>
      <c r="K2847" s="30"/>
      <c r="L2847" s="30"/>
      <c r="M2847" s="30"/>
      <c r="N2847" s="30"/>
      <c r="O2847" s="30"/>
      <c r="P2847" s="30"/>
      <c r="Q2847" s="30"/>
      <c r="R2847" s="30"/>
      <c r="S2847" s="30"/>
      <c r="T2847" s="30"/>
      <c r="U2847" s="32"/>
      <c r="V2847" s="32"/>
      <c r="W2847" s="32"/>
      <c r="X2847" s="32"/>
      <c r="Y2847" s="32"/>
    </row>
    <row r="2848" spans="1:25" x14ac:dyDescent="0.2">
      <c r="A2848" s="30"/>
      <c r="B2848" s="30"/>
      <c r="C2848" s="30"/>
      <c r="D2848" s="30"/>
      <c r="E2848" s="30"/>
      <c r="F2848" s="30"/>
      <c r="G2848" s="30"/>
      <c r="H2848" s="30"/>
      <c r="I2848" s="30"/>
      <c r="J2848" s="30"/>
      <c r="K2848" s="30"/>
      <c r="L2848" s="30"/>
      <c r="M2848" s="30"/>
      <c r="N2848" s="30"/>
      <c r="O2848" s="30"/>
      <c r="P2848" s="30"/>
      <c r="Q2848" s="30"/>
      <c r="R2848" s="30"/>
      <c r="S2848" s="30"/>
      <c r="T2848" s="30"/>
      <c r="U2848" s="32"/>
      <c r="V2848" s="32"/>
      <c r="W2848" s="32"/>
      <c r="X2848" s="32"/>
      <c r="Y2848" s="32"/>
    </row>
    <row r="2849" spans="1:25" x14ac:dyDescent="0.2">
      <c r="A2849" s="30"/>
      <c r="B2849" s="30"/>
      <c r="C2849" s="30"/>
      <c r="D2849" s="30"/>
      <c r="E2849" s="30"/>
      <c r="F2849" s="30"/>
      <c r="G2849" s="30"/>
      <c r="H2849" s="30"/>
      <c r="I2849" s="30"/>
      <c r="J2849" s="30"/>
      <c r="K2849" s="30"/>
      <c r="L2849" s="30"/>
      <c r="M2849" s="30"/>
      <c r="N2849" s="30"/>
      <c r="O2849" s="30"/>
      <c r="P2849" s="30"/>
      <c r="Q2849" s="30"/>
      <c r="R2849" s="30"/>
      <c r="S2849" s="30"/>
      <c r="T2849" s="30"/>
      <c r="U2849" s="32"/>
      <c r="V2849" s="32"/>
      <c r="W2849" s="32"/>
      <c r="X2849" s="32"/>
      <c r="Y2849" s="32"/>
    </row>
    <row r="2850" spans="1:25" x14ac:dyDescent="0.2">
      <c r="A2850" s="30"/>
      <c r="B2850" s="30"/>
      <c r="C2850" s="30"/>
      <c r="D2850" s="30"/>
      <c r="E2850" s="30"/>
      <c r="F2850" s="30"/>
      <c r="G2850" s="30"/>
      <c r="H2850" s="30"/>
      <c r="I2850" s="30"/>
      <c r="J2850" s="30"/>
      <c r="K2850" s="30"/>
      <c r="L2850" s="30"/>
      <c r="M2850" s="30"/>
      <c r="N2850" s="30"/>
      <c r="O2850" s="30"/>
      <c r="P2850" s="30"/>
      <c r="Q2850" s="30"/>
      <c r="R2850" s="30"/>
      <c r="S2850" s="30"/>
      <c r="T2850" s="30"/>
      <c r="U2850" s="32"/>
      <c r="V2850" s="32"/>
      <c r="W2850" s="32"/>
      <c r="X2850" s="32"/>
      <c r="Y2850" s="32"/>
    </row>
    <row r="2851" spans="1:25" x14ac:dyDescent="0.2">
      <c r="A2851" s="30"/>
      <c r="B2851" s="30"/>
      <c r="C2851" s="30"/>
      <c r="D2851" s="30"/>
      <c r="E2851" s="30"/>
      <c r="F2851" s="30"/>
      <c r="G2851" s="30"/>
      <c r="H2851" s="30"/>
      <c r="I2851" s="30"/>
      <c r="J2851" s="30"/>
      <c r="K2851" s="30"/>
      <c r="L2851" s="30"/>
      <c r="M2851" s="30"/>
      <c r="N2851" s="30"/>
      <c r="O2851" s="30"/>
      <c r="P2851" s="30"/>
      <c r="Q2851" s="30"/>
      <c r="R2851" s="30"/>
      <c r="S2851" s="30"/>
      <c r="T2851" s="30"/>
      <c r="U2851" s="32"/>
      <c r="V2851" s="32"/>
      <c r="W2851" s="32"/>
      <c r="X2851" s="32"/>
      <c r="Y2851" s="32"/>
    </row>
    <row r="2852" spans="1:25" x14ac:dyDescent="0.2">
      <c r="A2852" s="30"/>
      <c r="B2852" s="30"/>
      <c r="C2852" s="30"/>
      <c r="D2852" s="30"/>
      <c r="E2852" s="30"/>
      <c r="F2852" s="30"/>
      <c r="G2852" s="30"/>
      <c r="H2852" s="30"/>
      <c r="I2852" s="30"/>
      <c r="J2852" s="30"/>
      <c r="K2852" s="30"/>
      <c r="L2852" s="30"/>
      <c r="M2852" s="30"/>
      <c r="N2852" s="30"/>
      <c r="O2852" s="30"/>
      <c r="P2852" s="30"/>
      <c r="Q2852" s="30"/>
      <c r="R2852" s="30"/>
      <c r="S2852" s="30"/>
      <c r="T2852" s="30"/>
      <c r="U2852" s="32"/>
      <c r="V2852" s="32"/>
      <c r="W2852" s="32"/>
      <c r="X2852" s="32"/>
      <c r="Y2852" s="32"/>
    </row>
    <row r="2853" spans="1:25" x14ac:dyDescent="0.2">
      <c r="A2853" s="30"/>
      <c r="B2853" s="30"/>
      <c r="C2853" s="30"/>
      <c r="D2853" s="30"/>
      <c r="E2853" s="30"/>
      <c r="F2853" s="30"/>
      <c r="G2853" s="30"/>
      <c r="H2853" s="30"/>
      <c r="I2853" s="30"/>
      <c r="J2853" s="30"/>
      <c r="K2853" s="30"/>
      <c r="L2853" s="30"/>
      <c r="M2853" s="30"/>
      <c r="N2853" s="30"/>
      <c r="O2853" s="30"/>
      <c r="P2853" s="30"/>
      <c r="Q2853" s="30"/>
      <c r="R2853" s="30"/>
      <c r="S2853" s="30"/>
      <c r="T2853" s="30"/>
      <c r="U2853" s="32"/>
      <c r="V2853" s="32"/>
      <c r="W2853" s="32"/>
      <c r="X2853" s="32"/>
      <c r="Y2853" s="32"/>
    </row>
    <row r="2854" spans="1:25" x14ac:dyDescent="0.2">
      <c r="A2854" s="30"/>
      <c r="B2854" s="30"/>
      <c r="C2854" s="30"/>
      <c r="D2854" s="30"/>
      <c r="E2854" s="30"/>
      <c r="F2854" s="30"/>
      <c r="G2854" s="30"/>
      <c r="H2854" s="30"/>
      <c r="I2854" s="30"/>
      <c r="J2854" s="30"/>
      <c r="K2854" s="30"/>
      <c r="L2854" s="30"/>
      <c r="M2854" s="30"/>
      <c r="N2854" s="30"/>
      <c r="O2854" s="30"/>
      <c r="P2854" s="30"/>
      <c r="Q2854" s="30"/>
      <c r="R2854" s="30"/>
      <c r="S2854" s="30"/>
      <c r="T2854" s="30"/>
      <c r="U2854" s="32"/>
      <c r="V2854" s="32"/>
      <c r="W2854" s="32"/>
      <c r="X2854" s="32"/>
      <c r="Y2854" s="32"/>
    </row>
    <row r="2855" spans="1:25" x14ac:dyDescent="0.2">
      <c r="A2855" s="30"/>
      <c r="B2855" s="30"/>
      <c r="C2855" s="30"/>
      <c r="D2855" s="30"/>
      <c r="E2855" s="30"/>
      <c r="F2855" s="30"/>
      <c r="G2855" s="30"/>
      <c r="H2855" s="30"/>
      <c r="I2855" s="30"/>
      <c r="J2855" s="30"/>
      <c r="K2855" s="30"/>
      <c r="L2855" s="30"/>
      <c r="M2855" s="30"/>
      <c r="N2855" s="30"/>
      <c r="O2855" s="30"/>
      <c r="P2855" s="30"/>
      <c r="Q2855" s="30"/>
      <c r="R2855" s="30"/>
      <c r="S2855" s="30"/>
      <c r="T2855" s="30"/>
      <c r="U2855" s="32"/>
      <c r="V2855" s="32"/>
      <c r="W2855" s="32"/>
      <c r="X2855" s="32"/>
      <c r="Y2855" s="32"/>
    </row>
    <row r="2856" spans="1:25" x14ac:dyDescent="0.2">
      <c r="A2856" s="30"/>
      <c r="B2856" s="30"/>
      <c r="C2856" s="30"/>
      <c r="D2856" s="30"/>
      <c r="E2856" s="30"/>
      <c r="F2856" s="30"/>
      <c r="G2856" s="30"/>
      <c r="H2856" s="30"/>
      <c r="I2856" s="30"/>
      <c r="J2856" s="30"/>
      <c r="K2856" s="30"/>
      <c r="L2856" s="30"/>
      <c r="M2856" s="30"/>
      <c r="N2856" s="30"/>
      <c r="O2856" s="30"/>
      <c r="P2856" s="30"/>
      <c r="Q2856" s="30"/>
      <c r="R2856" s="30"/>
      <c r="S2856" s="30"/>
      <c r="T2856" s="30"/>
      <c r="U2856" s="32"/>
      <c r="V2856" s="32"/>
      <c r="W2856" s="32"/>
      <c r="X2856" s="32"/>
      <c r="Y2856" s="32"/>
    </row>
    <row r="2857" spans="1:25" x14ac:dyDescent="0.2">
      <c r="A2857" s="30"/>
      <c r="B2857" s="30"/>
      <c r="C2857" s="30"/>
      <c r="D2857" s="30"/>
      <c r="E2857" s="30"/>
      <c r="F2857" s="30"/>
      <c r="G2857" s="30"/>
      <c r="H2857" s="30"/>
      <c r="I2857" s="30"/>
      <c r="J2857" s="30"/>
      <c r="K2857" s="30"/>
      <c r="L2857" s="30"/>
      <c r="M2857" s="30"/>
      <c r="N2857" s="30"/>
      <c r="O2857" s="30"/>
      <c r="P2857" s="30"/>
      <c r="Q2857" s="30"/>
      <c r="R2857" s="30"/>
      <c r="S2857" s="30"/>
      <c r="T2857" s="30"/>
      <c r="U2857" s="32"/>
      <c r="V2857" s="32"/>
      <c r="W2857" s="32"/>
      <c r="X2857" s="32"/>
      <c r="Y2857" s="32"/>
    </row>
    <row r="2858" spans="1:25" x14ac:dyDescent="0.2">
      <c r="A2858" s="30"/>
      <c r="B2858" s="30"/>
      <c r="C2858" s="30"/>
      <c r="D2858" s="30"/>
      <c r="E2858" s="30"/>
      <c r="F2858" s="30"/>
      <c r="G2858" s="30"/>
      <c r="H2858" s="30"/>
      <c r="I2858" s="30"/>
      <c r="J2858" s="30"/>
      <c r="K2858" s="30"/>
      <c r="L2858" s="30"/>
      <c r="M2858" s="30"/>
      <c r="N2858" s="30"/>
      <c r="O2858" s="30"/>
      <c r="P2858" s="30"/>
      <c r="Q2858" s="30"/>
      <c r="R2858" s="30"/>
      <c r="S2858" s="30"/>
      <c r="T2858" s="30"/>
      <c r="U2858" s="32"/>
      <c r="V2858" s="32"/>
      <c r="W2858" s="32"/>
      <c r="X2858" s="32"/>
      <c r="Y2858" s="32"/>
    </row>
    <row r="2859" spans="1:25" x14ac:dyDescent="0.2">
      <c r="A2859" s="30"/>
      <c r="B2859" s="30"/>
      <c r="C2859" s="30"/>
      <c r="D2859" s="30"/>
      <c r="E2859" s="30"/>
      <c r="F2859" s="30"/>
      <c r="G2859" s="30"/>
      <c r="H2859" s="30"/>
      <c r="I2859" s="30"/>
      <c r="J2859" s="30"/>
      <c r="K2859" s="30"/>
      <c r="L2859" s="30"/>
      <c r="M2859" s="30"/>
      <c r="N2859" s="30"/>
      <c r="O2859" s="30"/>
      <c r="P2859" s="30"/>
      <c r="Q2859" s="30"/>
      <c r="R2859" s="30"/>
      <c r="S2859" s="30"/>
      <c r="T2859" s="30"/>
      <c r="U2859" s="32"/>
      <c r="V2859" s="32"/>
      <c r="W2859" s="32"/>
      <c r="X2859" s="32"/>
      <c r="Y2859" s="32"/>
    </row>
    <row r="2860" spans="1:25" x14ac:dyDescent="0.2">
      <c r="A2860" s="30"/>
      <c r="B2860" s="30"/>
      <c r="C2860" s="30"/>
      <c r="D2860" s="30"/>
      <c r="E2860" s="30"/>
      <c r="F2860" s="30"/>
      <c r="G2860" s="30"/>
      <c r="H2860" s="30"/>
      <c r="I2860" s="30"/>
      <c r="J2860" s="30"/>
      <c r="K2860" s="30"/>
      <c r="L2860" s="30"/>
      <c r="M2860" s="30"/>
      <c r="N2860" s="30"/>
      <c r="O2860" s="30"/>
      <c r="P2860" s="30"/>
      <c r="Q2860" s="30"/>
      <c r="R2860" s="30"/>
      <c r="S2860" s="30"/>
      <c r="T2860" s="30"/>
      <c r="U2860" s="32"/>
      <c r="V2860" s="32"/>
      <c r="W2860" s="32"/>
      <c r="X2860" s="32"/>
      <c r="Y2860" s="32"/>
    </row>
    <row r="2861" spans="1:25" x14ac:dyDescent="0.2">
      <c r="A2861" s="30"/>
      <c r="B2861" s="30"/>
      <c r="C2861" s="30"/>
      <c r="D2861" s="30"/>
      <c r="E2861" s="30"/>
      <c r="F2861" s="30"/>
      <c r="G2861" s="30"/>
      <c r="H2861" s="30"/>
      <c r="I2861" s="30"/>
      <c r="J2861" s="30"/>
      <c r="K2861" s="30"/>
      <c r="L2861" s="30"/>
      <c r="M2861" s="30"/>
      <c r="N2861" s="30"/>
      <c r="O2861" s="30"/>
      <c r="P2861" s="30"/>
      <c r="Q2861" s="30"/>
      <c r="R2861" s="30"/>
      <c r="S2861" s="30"/>
      <c r="T2861" s="30"/>
      <c r="U2861" s="32"/>
      <c r="V2861" s="32"/>
      <c r="W2861" s="32"/>
      <c r="X2861" s="32"/>
      <c r="Y2861" s="32"/>
    </row>
    <row r="2862" spans="1:25" x14ac:dyDescent="0.2">
      <c r="A2862" s="30"/>
      <c r="B2862" s="30"/>
      <c r="C2862" s="30"/>
      <c r="D2862" s="30"/>
      <c r="E2862" s="30"/>
      <c r="F2862" s="30"/>
      <c r="G2862" s="30"/>
      <c r="H2862" s="30"/>
      <c r="I2862" s="30"/>
      <c r="J2862" s="30"/>
      <c r="K2862" s="30"/>
      <c r="L2862" s="30"/>
      <c r="M2862" s="30"/>
      <c r="N2862" s="30"/>
      <c r="O2862" s="30"/>
      <c r="P2862" s="30"/>
      <c r="Q2862" s="30"/>
      <c r="R2862" s="30"/>
      <c r="S2862" s="30"/>
      <c r="T2862" s="30"/>
      <c r="U2862" s="32"/>
      <c r="V2862" s="32"/>
      <c r="W2862" s="32"/>
      <c r="X2862" s="32"/>
      <c r="Y2862" s="32"/>
    </row>
    <row r="2863" spans="1:25" x14ac:dyDescent="0.2">
      <c r="A2863" s="30"/>
      <c r="B2863" s="30"/>
      <c r="C2863" s="30"/>
      <c r="D2863" s="30"/>
      <c r="E2863" s="30"/>
      <c r="F2863" s="30"/>
      <c r="G2863" s="30"/>
      <c r="H2863" s="30"/>
      <c r="I2863" s="30"/>
      <c r="J2863" s="30"/>
      <c r="K2863" s="30"/>
      <c r="L2863" s="30"/>
      <c r="M2863" s="30"/>
      <c r="N2863" s="30"/>
      <c r="O2863" s="30"/>
      <c r="P2863" s="30"/>
      <c r="Q2863" s="30"/>
      <c r="R2863" s="30"/>
      <c r="S2863" s="30"/>
      <c r="T2863" s="30"/>
      <c r="U2863" s="32"/>
      <c r="V2863" s="32"/>
      <c r="W2863" s="32"/>
      <c r="X2863" s="32"/>
      <c r="Y2863" s="32"/>
    </row>
    <row r="2864" spans="1:25" x14ac:dyDescent="0.2">
      <c r="A2864" s="30"/>
      <c r="B2864" s="30"/>
      <c r="C2864" s="30"/>
      <c r="D2864" s="30"/>
      <c r="E2864" s="30"/>
      <c r="F2864" s="30"/>
      <c r="G2864" s="30"/>
      <c r="H2864" s="30"/>
      <c r="I2864" s="30"/>
      <c r="J2864" s="30"/>
      <c r="K2864" s="30"/>
      <c r="L2864" s="30"/>
      <c r="M2864" s="30"/>
      <c r="N2864" s="30"/>
      <c r="O2864" s="30"/>
      <c r="P2864" s="30"/>
      <c r="Q2864" s="30"/>
      <c r="R2864" s="30"/>
      <c r="S2864" s="30"/>
      <c r="T2864" s="30"/>
      <c r="U2864" s="32"/>
      <c r="V2864" s="32"/>
      <c r="W2864" s="32"/>
      <c r="X2864" s="32"/>
      <c r="Y2864" s="32"/>
    </row>
    <row r="2865" spans="1:25" x14ac:dyDescent="0.2">
      <c r="A2865" s="30"/>
      <c r="B2865" s="30"/>
      <c r="C2865" s="30"/>
      <c r="D2865" s="30"/>
      <c r="E2865" s="30"/>
      <c r="F2865" s="30"/>
      <c r="G2865" s="30"/>
      <c r="H2865" s="30"/>
      <c r="I2865" s="30"/>
      <c r="J2865" s="30"/>
      <c r="K2865" s="30"/>
      <c r="L2865" s="30"/>
      <c r="M2865" s="30"/>
      <c r="N2865" s="30"/>
      <c r="O2865" s="30"/>
      <c r="P2865" s="30"/>
      <c r="Q2865" s="30"/>
      <c r="R2865" s="30"/>
      <c r="S2865" s="30"/>
      <c r="T2865" s="30"/>
      <c r="U2865" s="32"/>
      <c r="V2865" s="32"/>
      <c r="W2865" s="32"/>
      <c r="X2865" s="32"/>
      <c r="Y2865" s="32"/>
    </row>
    <row r="2866" spans="1:25" x14ac:dyDescent="0.2">
      <c r="A2866" s="30"/>
      <c r="B2866" s="30"/>
      <c r="C2866" s="30"/>
      <c r="D2866" s="30"/>
      <c r="E2866" s="30"/>
      <c r="F2866" s="30"/>
      <c r="G2866" s="30"/>
      <c r="H2866" s="30"/>
      <c r="I2866" s="30"/>
      <c r="J2866" s="30"/>
      <c r="K2866" s="30"/>
      <c r="L2866" s="30"/>
      <c r="M2866" s="30"/>
      <c r="N2866" s="30"/>
      <c r="O2866" s="30"/>
      <c r="P2866" s="30"/>
      <c r="Q2866" s="30"/>
      <c r="R2866" s="30"/>
      <c r="S2866" s="30"/>
      <c r="T2866" s="30"/>
      <c r="U2866" s="32"/>
      <c r="V2866" s="32"/>
      <c r="W2866" s="32"/>
      <c r="X2866" s="32"/>
      <c r="Y2866" s="32"/>
    </row>
    <row r="2867" spans="1:25" x14ac:dyDescent="0.2">
      <c r="A2867" s="30"/>
      <c r="B2867" s="30"/>
      <c r="C2867" s="30"/>
      <c r="D2867" s="30"/>
      <c r="E2867" s="30"/>
      <c r="F2867" s="30"/>
      <c r="G2867" s="30"/>
      <c r="H2867" s="30"/>
      <c r="I2867" s="30"/>
      <c r="J2867" s="30"/>
      <c r="K2867" s="30"/>
      <c r="L2867" s="30"/>
      <c r="M2867" s="30"/>
      <c r="N2867" s="30"/>
      <c r="O2867" s="30"/>
      <c r="P2867" s="30"/>
      <c r="Q2867" s="30"/>
      <c r="R2867" s="30"/>
      <c r="S2867" s="30"/>
      <c r="T2867" s="30"/>
      <c r="U2867" s="32"/>
      <c r="V2867" s="32"/>
      <c r="W2867" s="32"/>
      <c r="X2867" s="32"/>
      <c r="Y2867" s="32"/>
    </row>
    <row r="2868" spans="1:25" x14ac:dyDescent="0.2">
      <c r="A2868" s="30"/>
      <c r="B2868" s="30"/>
      <c r="C2868" s="30"/>
      <c r="D2868" s="30"/>
      <c r="E2868" s="30"/>
      <c r="F2868" s="30"/>
      <c r="G2868" s="30"/>
      <c r="H2868" s="30"/>
      <c r="I2868" s="30"/>
      <c r="J2868" s="30"/>
      <c r="K2868" s="30"/>
      <c r="L2868" s="30"/>
      <c r="M2868" s="30"/>
      <c r="N2868" s="30"/>
      <c r="O2868" s="30"/>
      <c r="P2868" s="30"/>
      <c r="Q2868" s="30"/>
      <c r="R2868" s="30"/>
      <c r="S2868" s="30"/>
      <c r="T2868" s="30"/>
      <c r="U2868" s="32"/>
      <c r="V2868" s="32"/>
      <c r="W2868" s="32"/>
      <c r="X2868" s="32"/>
      <c r="Y2868" s="32"/>
    </row>
    <row r="2869" spans="1:25" x14ac:dyDescent="0.2">
      <c r="A2869" s="30"/>
      <c r="B2869" s="30"/>
      <c r="C2869" s="30"/>
      <c r="D2869" s="30"/>
      <c r="E2869" s="30"/>
      <c r="F2869" s="30"/>
      <c r="G2869" s="30"/>
      <c r="H2869" s="30"/>
      <c r="I2869" s="30"/>
      <c r="J2869" s="30"/>
      <c r="K2869" s="30"/>
      <c r="L2869" s="30"/>
      <c r="M2869" s="30"/>
      <c r="N2869" s="30"/>
      <c r="O2869" s="30"/>
      <c r="P2869" s="30"/>
      <c r="Q2869" s="30"/>
      <c r="R2869" s="30"/>
      <c r="S2869" s="30"/>
      <c r="T2869" s="30"/>
      <c r="U2869" s="32"/>
      <c r="V2869" s="32"/>
      <c r="W2869" s="32"/>
      <c r="X2869" s="32"/>
      <c r="Y2869" s="32"/>
    </row>
    <row r="2870" spans="1:25" x14ac:dyDescent="0.2">
      <c r="A2870" s="30"/>
      <c r="B2870" s="30"/>
      <c r="C2870" s="30"/>
      <c r="D2870" s="30"/>
      <c r="E2870" s="30"/>
      <c r="F2870" s="30"/>
      <c r="G2870" s="30"/>
      <c r="H2870" s="30"/>
      <c r="I2870" s="30"/>
      <c r="J2870" s="30"/>
      <c r="K2870" s="30"/>
      <c r="L2870" s="30"/>
      <c r="M2870" s="30"/>
      <c r="N2870" s="30"/>
      <c r="O2870" s="30"/>
      <c r="P2870" s="30"/>
      <c r="Q2870" s="30"/>
      <c r="R2870" s="30"/>
      <c r="S2870" s="30"/>
      <c r="T2870" s="30"/>
      <c r="U2870" s="32"/>
      <c r="V2870" s="32"/>
      <c r="W2870" s="32"/>
      <c r="X2870" s="32"/>
      <c r="Y2870" s="32"/>
    </row>
    <row r="2871" spans="1:25" x14ac:dyDescent="0.2">
      <c r="A2871" s="30"/>
      <c r="B2871" s="30"/>
      <c r="C2871" s="30"/>
      <c r="D2871" s="30"/>
      <c r="E2871" s="30"/>
      <c r="F2871" s="30"/>
      <c r="G2871" s="30"/>
      <c r="H2871" s="30"/>
      <c r="I2871" s="30"/>
      <c r="J2871" s="30"/>
      <c r="K2871" s="30"/>
      <c r="L2871" s="30"/>
      <c r="M2871" s="30"/>
      <c r="N2871" s="30"/>
      <c r="O2871" s="30"/>
      <c r="P2871" s="30"/>
      <c r="Q2871" s="30"/>
      <c r="R2871" s="30"/>
      <c r="S2871" s="30"/>
      <c r="T2871" s="30"/>
      <c r="U2871" s="32"/>
      <c r="V2871" s="32"/>
      <c r="W2871" s="32"/>
      <c r="X2871" s="32"/>
      <c r="Y2871" s="32"/>
    </row>
    <row r="2872" spans="1:25" x14ac:dyDescent="0.2">
      <c r="A2872" s="30"/>
      <c r="B2872" s="30"/>
      <c r="C2872" s="30"/>
      <c r="D2872" s="30"/>
      <c r="E2872" s="30"/>
      <c r="F2872" s="30"/>
      <c r="G2872" s="30"/>
      <c r="H2872" s="30"/>
      <c r="I2872" s="30"/>
      <c r="J2872" s="30"/>
      <c r="K2872" s="30"/>
      <c r="L2872" s="30"/>
      <c r="M2872" s="30"/>
      <c r="N2872" s="30"/>
      <c r="O2872" s="30"/>
      <c r="P2872" s="30"/>
      <c r="Q2872" s="30"/>
      <c r="R2872" s="30"/>
      <c r="S2872" s="30"/>
      <c r="T2872" s="30"/>
      <c r="U2872" s="32"/>
      <c r="V2872" s="32"/>
      <c r="W2872" s="32"/>
      <c r="X2872" s="32"/>
      <c r="Y2872" s="32"/>
    </row>
    <row r="2873" spans="1:25" x14ac:dyDescent="0.2">
      <c r="A2873" s="30"/>
      <c r="B2873" s="30"/>
      <c r="C2873" s="30"/>
      <c r="D2873" s="30"/>
      <c r="E2873" s="30"/>
      <c r="F2873" s="30"/>
      <c r="G2873" s="30"/>
      <c r="H2873" s="30"/>
      <c r="I2873" s="30"/>
      <c r="J2873" s="30"/>
      <c r="K2873" s="30"/>
      <c r="L2873" s="30"/>
      <c r="M2873" s="30"/>
      <c r="N2873" s="30"/>
      <c r="O2873" s="30"/>
      <c r="P2873" s="30"/>
      <c r="Q2873" s="30"/>
      <c r="R2873" s="30"/>
      <c r="S2873" s="30"/>
      <c r="T2873" s="30"/>
      <c r="U2873" s="32"/>
      <c r="V2873" s="32"/>
      <c r="W2873" s="32"/>
      <c r="X2873" s="32"/>
      <c r="Y2873" s="32"/>
    </row>
    <row r="2874" spans="1:25" x14ac:dyDescent="0.2">
      <c r="A2874" s="30"/>
      <c r="B2874" s="30"/>
      <c r="C2874" s="30"/>
      <c r="D2874" s="30"/>
      <c r="E2874" s="30"/>
      <c r="F2874" s="30"/>
      <c r="G2874" s="30"/>
      <c r="H2874" s="30"/>
      <c r="I2874" s="30"/>
      <c r="J2874" s="30"/>
      <c r="K2874" s="30"/>
      <c r="L2874" s="30"/>
      <c r="M2874" s="30"/>
      <c r="N2874" s="30"/>
      <c r="O2874" s="30"/>
      <c r="P2874" s="30"/>
      <c r="Q2874" s="30"/>
      <c r="R2874" s="30"/>
      <c r="S2874" s="30"/>
      <c r="T2874" s="30"/>
      <c r="U2874" s="32"/>
      <c r="V2874" s="32"/>
      <c r="W2874" s="32"/>
      <c r="X2874" s="32"/>
      <c r="Y2874" s="32"/>
    </row>
    <row r="2875" spans="1:25" x14ac:dyDescent="0.2">
      <c r="A2875" s="30"/>
      <c r="B2875" s="30"/>
      <c r="C2875" s="30"/>
      <c r="D2875" s="30"/>
      <c r="E2875" s="30"/>
      <c r="F2875" s="30"/>
      <c r="G2875" s="30"/>
      <c r="H2875" s="30"/>
      <c r="I2875" s="30"/>
      <c r="J2875" s="30"/>
      <c r="K2875" s="30"/>
      <c r="L2875" s="30"/>
      <c r="M2875" s="30"/>
      <c r="N2875" s="30"/>
      <c r="O2875" s="30"/>
      <c r="P2875" s="30"/>
      <c r="Q2875" s="30"/>
      <c r="R2875" s="30"/>
      <c r="S2875" s="30"/>
      <c r="T2875" s="30"/>
      <c r="U2875" s="32"/>
      <c r="V2875" s="32"/>
      <c r="W2875" s="32"/>
      <c r="X2875" s="32"/>
      <c r="Y2875" s="32"/>
    </row>
    <row r="2876" spans="1:25" x14ac:dyDescent="0.2">
      <c r="A2876" s="30"/>
      <c r="B2876" s="30"/>
      <c r="C2876" s="30"/>
      <c r="D2876" s="30"/>
      <c r="E2876" s="30"/>
      <c r="F2876" s="30"/>
      <c r="G2876" s="30"/>
      <c r="H2876" s="30"/>
      <c r="I2876" s="30"/>
      <c r="J2876" s="30"/>
      <c r="K2876" s="30"/>
      <c r="L2876" s="30"/>
      <c r="M2876" s="30"/>
      <c r="N2876" s="30"/>
      <c r="O2876" s="30"/>
      <c r="P2876" s="30"/>
      <c r="Q2876" s="30"/>
      <c r="R2876" s="30"/>
      <c r="S2876" s="30"/>
      <c r="T2876" s="30"/>
      <c r="U2876" s="32"/>
      <c r="V2876" s="32"/>
      <c r="W2876" s="32"/>
      <c r="X2876" s="32"/>
      <c r="Y2876" s="32"/>
    </row>
    <row r="2877" spans="1:25" x14ac:dyDescent="0.2">
      <c r="A2877" s="30"/>
      <c r="B2877" s="30"/>
      <c r="C2877" s="30"/>
      <c r="D2877" s="30"/>
      <c r="E2877" s="30"/>
      <c r="F2877" s="30"/>
      <c r="G2877" s="30"/>
      <c r="H2877" s="30"/>
      <c r="I2877" s="30"/>
      <c r="J2877" s="30"/>
      <c r="K2877" s="30"/>
      <c r="L2877" s="30"/>
      <c r="M2877" s="30"/>
      <c r="N2877" s="30"/>
      <c r="O2877" s="30"/>
      <c r="P2877" s="30"/>
      <c r="Q2877" s="30"/>
      <c r="R2877" s="30"/>
      <c r="S2877" s="30"/>
      <c r="T2877" s="30"/>
      <c r="U2877" s="32"/>
      <c r="V2877" s="32"/>
      <c r="W2877" s="32"/>
      <c r="X2877" s="32"/>
      <c r="Y2877" s="32"/>
    </row>
    <row r="2878" spans="1:25" x14ac:dyDescent="0.2">
      <c r="A2878" s="30"/>
      <c r="B2878" s="30"/>
      <c r="C2878" s="30"/>
      <c r="D2878" s="30"/>
      <c r="E2878" s="30"/>
      <c r="F2878" s="30"/>
      <c r="G2878" s="30"/>
      <c r="H2878" s="30"/>
      <c r="I2878" s="30"/>
      <c r="J2878" s="30"/>
      <c r="K2878" s="30"/>
      <c r="L2878" s="30"/>
      <c r="M2878" s="30"/>
      <c r="N2878" s="30"/>
      <c r="O2878" s="30"/>
      <c r="P2878" s="30"/>
      <c r="Q2878" s="30"/>
      <c r="R2878" s="30"/>
      <c r="S2878" s="30"/>
      <c r="T2878" s="30"/>
      <c r="U2878" s="32"/>
      <c r="V2878" s="32"/>
      <c r="W2878" s="32"/>
      <c r="X2878" s="32"/>
      <c r="Y2878" s="32"/>
    </row>
    <row r="2879" spans="1:25" x14ac:dyDescent="0.2">
      <c r="A2879" s="30"/>
      <c r="B2879" s="30"/>
      <c r="C2879" s="30"/>
      <c r="D2879" s="30"/>
      <c r="E2879" s="30"/>
      <c r="F2879" s="30"/>
      <c r="G2879" s="30"/>
      <c r="H2879" s="30"/>
      <c r="I2879" s="30"/>
      <c r="J2879" s="30"/>
      <c r="K2879" s="30"/>
      <c r="L2879" s="30"/>
      <c r="M2879" s="30"/>
      <c r="N2879" s="30"/>
      <c r="O2879" s="30"/>
      <c r="P2879" s="30"/>
      <c r="Q2879" s="30"/>
      <c r="R2879" s="30"/>
      <c r="S2879" s="30"/>
      <c r="T2879" s="30"/>
      <c r="U2879" s="32"/>
      <c r="V2879" s="32"/>
      <c r="W2879" s="32"/>
      <c r="X2879" s="32"/>
      <c r="Y2879" s="32"/>
    </row>
    <row r="2880" spans="1:25" x14ac:dyDescent="0.2">
      <c r="A2880" s="30"/>
      <c r="B2880" s="30"/>
      <c r="C2880" s="30"/>
      <c r="D2880" s="30"/>
      <c r="E2880" s="30"/>
      <c r="F2880" s="30"/>
      <c r="G2880" s="30"/>
      <c r="H2880" s="30"/>
      <c r="I2880" s="30"/>
      <c r="J2880" s="30"/>
      <c r="K2880" s="30"/>
      <c r="L2880" s="30"/>
      <c r="M2880" s="30"/>
      <c r="N2880" s="30"/>
      <c r="O2880" s="30"/>
      <c r="P2880" s="30"/>
      <c r="Q2880" s="30"/>
      <c r="R2880" s="30"/>
      <c r="S2880" s="30"/>
      <c r="T2880" s="30"/>
      <c r="U2880" s="32"/>
      <c r="V2880" s="32"/>
      <c r="W2880" s="32"/>
      <c r="X2880" s="32"/>
      <c r="Y2880" s="32"/>
    </row>
    <row r="2881" spans="1:25" x14ac:dyDescent="0.2">
      <c r="A2881" s="30"/>
      <c r="B2881" s="30"/>
      <c r="C2881" s="30"/>
      <c r="D2881" s="30"/>
      <c r="E2881" s="30"/>
      <c r="F2881" s="30"/>
      <c r="G2881" s="30"/>
      <c r="H2881" s="30"/>
      <c r="I2881" s="30"/>
      <c r="J2881" s="30"/>
      <c r="K2881" s="30"/>
      <c r="L2881" s="30"/>
      <c r="M2881" s="30"/>
      <c r="N2881" s="30"/>
      <c r="O2881" s="30"/>
      <c r="P2881" s="30"/>
      <c r="Q2881" s="30"/>
      <c r="R2881" s="30"/>
      <c r="S2881" s="30"/>
      <c r="T2881" s="30"/>
      <c r="U2881" s="32"/>
      <c r="V2881" s="32"/>
      <c r="W2881" s="32"/>
      <c r="X2881" s="32"/>
      <c r="Y2881" s="32"/>
    </row>
    <row r="2882" spans="1:25" x14ac:dyDescent="0.2">
      <c r="A2882" s="30"/>
      <c r="B2882" s="30"/>
      <c r="C2882" s="30"/>
      <c r="D2882" s="30"/>
      <c r="E2882" s="30"/>
      <c r="F2882" s="30"/>
      <c r="G2882" s="30"/>
      <c r="H2882" s="30"/>
      <c r="I2882" s="30"/>
      <c r="J2882" s="30"/>
      <c r="K2882" s="30"/>
      <c r="L2882" s="30"/>
      <c r="M2882" s="30"/>
      <c r="N2882" s="30"/>
      <c r="O2882" s="30"/>
      <c r="P2882" s="30"/>
      <c r="Q2882" s="30"/>
      <c r="R2882" s="30"/>
      <c r="S2882" s="30"/>
      <c r="T2882" s="30"/>
      <c r="U2882" s="32"/>
      <c r="V2882" s="32"/>
      <c r="W2882" s="32"/>
      <c r="X2882" s="32"/>
      <c r="Y2882" s="32"/>
    </row>
    <row r="2883" spans="1:25" x14ac:dyDescent="0.2">
      <c r="A2883" s="30"/>
      <c r="B2883" s="30"/>
      <c r="C2883" s="30"/>
      <c r="D2883" s="30"/>
      <c r="E2883" s="30"/>
      <c r="F2883" s="30"/>
      <c r="G2883" s="30"/>
      <c r="H2883" s="30"/>
      <c r="I2883" s="30"/>
      <c r="J2883" s="30"/>
      <c r="K2883" s="30"/>
      <c r="L2883" s="30"/>
      <c r="M2883" s="30"/>
      <c r="N2883" s="30"/>
      <c r="O2883" s="30"/>
      <c r="P2883" s="30"/>
      <c r="Q2883" s="30"/>
      <c r="R2883" s="30"/>
      <c r="S2883" s="30"/>
      <c r="T2883" s="30"/>
      <c r="U2883" s="32"/>
      <c r="V2883" s="32"/>
      <c r="W2883" s="32"/>
      <c r="X2883" s="32"/>
      <c r="Y2883" s="32"/>
    </row>
    <row r="2884" spans="1:25" x14ac:dyDescent="0.2">
      <c r="A2884" s="30"/>
      <c r="B2884" s="30"/>
      <c r="C2884" s="30"/>
      <c r="D2884" s="30"/>
      <c r="E2884" s="30"/>
      <c r="F2884" s="30"/>
      <c r="G2884" s="30"/>
      <c r="H2884" s="30"/>
      <c r="I2884" s="30"/>
      <c r="J2884" s="30"/>
      <c r="K2884" s="30"/>
      <c r="L2884" s="30"/>
      <c r="M2884" s="30"/>
      <c r="N2884" s="30"/>
      <c r="O2884" s="30"/>
      <c r="P2884" s="30"/>
      <c r="Q2884" s="30"/>
      <c r="R2884" s="30"/>
      <c r="S2884" s="30"/>
      <c r="T2884" s="30"/>
      <c r="U2884" s="32"/>
      <c r="V2884" s="32"/>
      <c r="W2884" s="32"/>
      <c r="X2884" s="32"/>
      <c r="Y2884" s="32"/>
    </row>
    <row r="2885" spans="1:25" x14ac:dyDescent="0.2">
      <c r="A2885" s="30"/>
      <c r="B2885" s="30"/>
      <c r="C2885" s="30"/>
      <c r="D2885" s="30"/>
      <c r="E2885" s="30"/>
      <c r="F2885" s="30"/>
      <c r="G2885" s="30"/>
      <c r="H2885" s="30"/>
      <c r="I2885" s="30"/>
      <c r="J2885" s="30"/>
      <c r="K2885" s="30"/>
      <c r="L2885" s="30"/>
      <c r="M2885" s="30"/>
      <c r="N2885" s="30"/>
      <c r="O2885" s="30"/>
      <c r="P2885" s="30"/>
      <c r="Q2885" s="30"/>
      <c r="R2885" s="30"/>
      <c r="S2885" s="30"/>
      <c r="T2885" s="30"/>
      <c r="U2885" s="32"/>
      <c r="V2885" s="32"/>
      <c r="W2885" s="32"/>
      <c r="X2885" s="32"/>
      <c r="Y2885" s="32"/>
    </row>
    <row r="2886" spans="1:25" x14ac:dyDescent="0.2">
      <c r="A2886" s="30"/>
      <c r="B2886" s="30"/>
      <c r="C2886" s="30"/>
      <c r="D2886" s="30"/>
      <c r="E2886" s="30"/>
      <c r="F2886" s="30"/>
      <c r="G2886" s="30"/>
      <c r="H2886" s="30"/>
      <c r="I2886" s="30"/>
      <c r="J2886" s="30"/>
      <c r="K2886" s="30"/>
      <c r="L2886" s="30"/>
      <c r="M2886" s="30"/>
      <c r="N2886" s="30"/>
      <c r="O2886" s="30"/>
      <c r="P2886" s="30"/>
      <c r="Q2886" s="30"/>
      <c r="R2886" s="30"/>
      <c r="S2886" s="30"/>
      <c r="T2886" s="30"/>
      <c r="U2886" s="32"/>
      <c r="V2886" s="32"/>
      <c r="W2886" s="32"/>
      <c r="X2886" s="32"/>
      <c r="Y2886" s="32"/>
    </row>
    <row r="2887" spans="1:25" x14ac:dyDescent="0.2">
      <c r="A2887" s="30"/>
      <c r="B2887" s="30"/>
      <c r="C2887" s="30"/>
      <c r="D2887" s="30"/>
      <c r="E2887" s="30"/>
      <c r="F2887" s="30"/>
      <c r="G2887" s="30"/>
      <c r="H2887" s="30"/>
      <c r="I2887" s="30"/>
      <c r="J2887" s="30"/>
      <c r="K2887" s="30"/>
      <c r="L2887" s="30"/>
      <c r="M2887" s="30"/>
      <c r="N2887" s="30"/>
      <c r="O2887" s="30"/>
      <c r="P2887" s="30"/>
      <c r="Q2887" s="30"/>
      <c r="R2887" s="30"/>
      <c r="S2887" s="30"/>
      <c r="T2887" s="30"/>
      <c r="U2887" s="32"/>
      <c r="V2887" s="32"/>
      <c r="W2887" s="32"/>
      <c r="X2887" s="32"/>
      <c r="Y2887" s="32"/>
    </row>
    <row r="2888" spans="1:25" x14ac:dyDescent="0.2">
      <c r="A2888" s="30"/>
      <c r="B2888" s="30"/>
      <c r="C2888" s="30"/>
      <c r="D2888" s="30"/>
      <c r="E2888" s="30"/>
      <c r="F2888" s="30"/>
      <c r="G2888" s="30"/>
      <c r="H2888" s="30"/>
      <c r="I2888" s="30"/>
      <c r="J2888" s="30"/>
      <c r="K2888" s="30"/>
      <c r="L2888" s="30"/>
      <c r="M2888" s="30"/>
      <c r="N2888" s="30"/>
      <c r="O2888" s="30"/>
      <c r="P2888" s="30"/>
      <c r="Q2888" s="30"/>
      <c r="R2888" s="30"/>
      <c r="S2888" s="30"/>
      <c r="T2888" s="30"/>
      <c r="U2888" s="32"/>
      <c r="V2888" s="32"/>
      <c r="W2888" s="32"/>
      <c r="X2888" s="32"/>
      <c r="Y2888" s="32"/>
    </row>
    <row r="2889" spans="1:25" x14ac:dyDescent="0.2">
      <c r="A2889" s="30"/>
      <c r="B2889" s="30"/>
      <c r="C2889" s="30"/>
      <c r="D2889" s="30"/>
      <c r="E2889" s="30"/>
      <c r="F2889" s="30"/>
      <c r="G2889" s="30"/>
      <c r="H2889" s="30"/>
      <c r="I2889" s="30"/>
      <c r="J2889" s="30"/>
      <c r="K2889" s="30"/>
      <c r="L2889" s="30"/>
      <c r="M2889" s="30"/>
      <c r="N2889" s="30"/>
      <c r="O2889" s="30"/>
      <c r="P2889" s="30"/>
      <c r="Q2889" s="30"/>
      <c r="R2889" s="30"/>
      <c r="S2889" s="30"/>
      <c r="T2889" s="30"/>
      <c r="U2889" s="32"/>
      <c r="V2889" s="32"/>
      <c r="W2889" s="32"/>
      <c r="X2889" s="32"/>
      <c r="Y2889" s="32"/>
    </row>
    <row r="2890" spans="1:25" x14ac:dyDescent="0.2">
      <c r="A2890" s="30"/>
      <c r="B2890" s="30"/>
      <c r="C2890" s="30"/>
      <c r="D2890" s="30"/>
      <c r="E2890" s="30"/>
      <c r="F2890" s="30"/>
      <c r="G2890" s="30"/>
      <c r="H2890" s="30"/>
      <c r="I2890" s="30"/>
      <c r="J2890" s="30"/>
      <c r="K2890" s="30"/>
      <c r="L2890" s="30"/>
      <c r="M2890" s="30"/>
      <c r="N2890" s="30"/>
      <c r="O2890" s="30"/>
      <c r="P2890" s="30"/>
      <c r="Q2890" s="30"/>
      <c r="R2890" s="30"/>
      <c r="S2890" s="30"/>
      <c r="T2890" s="30"/>
      <c r="U2890" s="32"/>
      <c r="V2890" s="32"/>
      <c r="W2890" s="32"/>
      <c r="X2890" s="32"/>
      <c r="Y2890" s="32"/>
    </row>
    <row r="2891" spans="1:25" x14ac:dyDescent="0.2">
      <c r="A2891" s="30"/>
      <c r="B2891" s="30"/>
      <c r="C2891" s="30"/>
      <c r="D2891" s="30"/>
      <c r="E2891" s="30"/>
      <c r="F2891" s="30"/>
      <c r="G2891" s="30"/>
      <c r="H2891" s="30"/>
      <c r="I2891" s="30"/>
      <c r="J2891" s="30"/>
      <c r="K2891" s="30"/>
      <c r="L2891" s="30"/>
      <c r="M2891" s="30"/>
      <c r="N2891" s="30"/>
      <c r="O2891" s="30"/>
      <c r="P2891" s="30"/>
      <c r="Q2891" s="30"/>
      <c r="R2891" s="30"/>
      <c r="S2891" s="30"/>
      <c r="T2891" s="30"/>
      <c r="U2891" s="32"/>
      <c r="V2891" s="32"/>
      <c r="W2891" s="32"/>
      <c r="X2891" s="32"/>
      <c r="Y2891" s="32"/>
    </row>
    <row r="2892" spans="1:25" x14ac:dyDescent="0.2">
      <c r="A2892" s="30"/>
      <c r="B2892" s="30"/>
      <c r="C2892" s="30"/>
      <c r="D2892" s="30"/>
      <c r="E2892" s="30"/>
      <c r="F2892" s="30"/>
      <c r="G2892" s="30"/>
      <c r="H2892" s="30"/>
      <c r="I2892" s="30"/>
      <c r="J2892" s="30"/>
      <c r="K2892" s="30"/>
      <c r="L2892" s="30"/>
      <c r="M2892" s="30"/>
      <c r="N2892" s="30"/>
      <c r="O2892" s="30"/>
      <c r="P2892" s="30"/>
      <c r="Q2892" s="30"/>
      <c r="R2892" s="30"/>
      <c r="S2892" s="30"/>
      <c r="T2892" s="30"/>
      <c r="U2892" s="32"/>
      <c r="V2892" s="32"/>
      <c r="W2892" s="32"/>
      <c r="X2892" s="32"/>
      <c r="Y2892" s="32"/>
    </row>
    <row r="2893" spans="1:25" x14ac:dyDescent="0.2">
      <c r="A2893" s="30"/>
      <c r="B2893" s="30"/>
      <c r="C2893" s="30"/>
      <c r="D2893" s="30"/>
      <c r="E2893" s="30"/>
      <c r="F2893" s="30"/>
      <c r="G2893" s="30"/>
      <c r="H2893" s="30"/>
      <c r="I2893" s="30"/>
      <c r="J2893" s="30"/>
      <c r="K2893" s="30"/>
      <c r="L2893" s="30"/>
      <c r="M2893" s="30"/>
      <c r="N2893" s="30"/>
      <c r="O2893" s="30"/>
      <c r="P2893" s="30"/>
      <c r="Q2893" s="30"/>
      <c r="R2893" s="30"/>
      <c r="S2893" s="30"/>
      <c r="T2893" s="30"/>
      <c r="U2893" s="32"/>
      <c r="V2893" s="32"/>
      <c r="W2893" s="32"/>
      <c r="X2893" s="32"/>
      <c r="Y2893" s="32"/>
    </row>
    <row r="2894" spans="1:25" x14ac:dyDescent="0.2">
      <c r="A2894" s="30"/>
      <c r="B2894" s="30"/>
      <c r="C2894" s="30"/>
      <c r="D2894" s="30"/>
      <c r="E2894" s="30"/>
      <c r="F2894" s="30"/>
      <c r="G2894" s="30"/>
      <c r="H2894" s="30"/>
      <c r="I2894" s="30"/>
      <c r="J2894" s="30"/>
      <c r="K2894" s="30"/>
      <c r="L2894" s="30"/>
      <c r="M2894" s="30"/>
      <c r="N2894" s="30"/>
      <c r="O2894" s="30"/>
      <c r="P2894" s="30"/>
      <c r="Q2894" s="30"/>
      <c r="R2894" s="30"/>
      <c r="S2894" s="30"/>
      <c r="T2894" s="30"/>
      <c r="U2894" s="32"/>
      <c r="V2894" s="32"/>
      <c r="W2894" s="32"/>
      <c r="X2894" s="32"/>
      <c r="Y2894" s="32"/>
    </row>
    <row r="2895" spans="1:25" x14ac:dyDescent="0.2">
      <c r="A2895" s="30"/>
      <c r="B2895" s="30"/>
      <c r="C2895" s="30"/>
      <c r="D2895" s="30"/>
      <c r="E2895" s="30"/>
      <c r="F2895" s="30"/>
      <c r="G2895" s="30"/>
      <c r="H2895" s="30"/>
      <c r="I2895" s="30"/>
      <c r="J2895" s="30"/>
      <c r="K2895" s="30"/>
      <c r="L2895" s="30"/>
      <c r="M2895" s="30"/>
      <c r="N2895" s="30"/>
      <c r="O2895" s="30"/>
      <c r="P2895" s="30"/>
      <c r="Q2895" s="30"/>
      <c r="R2895" s="30"/>
      <c r="S2895" s="30"/>
      <c r="T2895" s="30"/>
      <c r="U2895" s="32"/>
      <c r="V2895" s="32"/>
      <c r="W2895" s="32"/>
      <c r="X2895" s="32"/>
      <c r="Y2895" s="32"/>
    </row>
    <row r="2896" spans="1:25" x14ac:dyDescent="0.2">
      <c r="A2896" s="30"/>
      <c r="B2896" s="30"/>
      <c r="C2896" s="30"/>
      <c r="D2896" s="30"/>
      <c r="E2896" s="30"/>
      <c r="F2896" s="30"/>
      <c r="G2896" s="30"/>
      <c r="H2896" s="30"/>
      <c r="I2896" s="30"/>
      <c r="J2896" s="30"/>
      <c r="K2896" s="30"/>
      <c r="L2896" s="30"/>
      <c r="M2896" s="30"/>
      <c r="N2896" s="30"/>
      <c r="O2896" s="30"/>
      <c r="P2896" s="30"/>
      <c r="Q2896" s="30"/>
      <c r="R2896" s="30"/>
      <c r="S2896" s="30"/>
      <c r="T2896" s="30"/>
      <c r="U2896" s="32"/>
      <c r="V2896" s="32"/>
      <c r="W2896" s="32"/>
      <c r="X2896" s="32"/>
      <c r="Y2896" s="32"/>
    </row>
    <row r="2897" spans="1:25" x14ac:dyDescent="0.2">
      <c r="A2897" s="30"/>
      <c r="B2897" s="30"/>
      <c r="C2897" s="30"/>
      <c r="D2897" s="30"/>
      <c r="E2897" s="30"/>
      <c r="F2897" s="30"/>
      <c r="G2897" s="30"/>
      <c r="H2897" s="30"/>
      <c r="I2897" s="30"/>
      <c r="J2897" s="30"/>
      <c r="K2897" s="30"/>
      <c r="L2897" s="30"/>
      <c r="M2897" s="30"/>
      <c r="N2897" s="30"/>
      <c r="O2897" s="30"/>
      <c r="P2897" s="30"/>
      <c r="Q2897" s="30"/>
      <c r="R2897" s="30"/>
      <c r="S2897" s="30"/>
      <c r="T2897" s="30"/>
      <c r="U2897" s="32"/>
      <c r="V2897" s="32"/>
      <c r="W2897" s="32"/>
      <c r="X2897" s="32"/>
      <c r="Y2897" s="32"/>
    </row>
    <row r="2898" spans="1:25" x14ac:dyDescent="0.2">
      <c r="A2898" s="30"/>
      <c r="B2898" s="30"/>
      <c r="C2898" s="30"/>
      <c r="D2898" s="30"/>
      <c r="E2898" s="30"/>
      <c r="F2898" s="30"/>
      <c r="G2898" s="30"/>
      <c r="H2898" s="30"/>
      <c r="I2898" s="30"/>
      <c r="J2898" s="30"/>
      <c r="K2898" s="30"/>
      <c r="L2898" s="30"/>
      <c r="M2898" s="30"/>
      <c r="N2898" s="30"/>
      <c r="O2898" s="30"/>
      <c r="P2898" s="30"/>
      <c r="Q2898" s="30"/>
      <c r="R2898" s="30"/>
      <c r="S2898" s="30"/>
      <c r="T2898" s="30"/>
      <c r="U2898" s="32"/>
      <c r="V2898" s="32"/>
      <c r="W2898" s="32"/>
      <c r="X2898" s="32"/>
      <c r="Y2898" s="32"/>
    </row>
    <row r="2899" spans="1:25" x14ac:dyDescent="0.2">
      <c r="A2899" s="30"/>
      <c r="B2899" s="30"/>
      <c r="C2899" s="30"/>
      <c r="D2899" s="30"/>
      <c r="E2899" s="30"/>
      <c r="F2899" s="30"/>
      <c r="G2899" s="30"/>
      <c r="H2899" s="30"/>
      <c r="I2899" s="30"/>
      <c r="J2899" s="30"/>
      <c r="K2899" s="30"/>
      <c r="L2899" s="30"/>
      <c r="M2899" s="30"/>
      <c r="N2899" s="30"/>
      <c r="O2899" s="30"/>
      <c r="P2899" s="30"/>
      <c r="Q2899" s="30"/>
      <c r="R2899" s="30"/>
      <c r="S2899" s="30"/>
      <c r="T2899" s="30"/>
      <c r="U2899" s="32"/>
      <c r="V2899" s="32"/>
      <c r="W2899" s="32"/>
      <c r="X2899" s="32"/>
      <c r="Y2899" s="32"/>
    </row>
    <row r="2900" spans="1:25" x14ac:dyDescent="0.2">
      <c r="A2900" s="30"/>
      <c r="B2900" s="30"/>
      <c r="C2900" s="30"/>
      <c r="D2900" s="30"/>
      <c r="E2900" s="30"/>
      <c r="F2900" s="30"/>
      <c r="G2900" s="30"/>
      <c r="H2900" s="30"/>
      <c r="I2900" s="30"/>
      <c r="J2900" s="30"/>
      <c r="K2900" s="30"/>
      <c r="L2900" s="30"/>
      <c r="M2900" s="30"/>
      <c r="N2900" s="30"/>
      <c r="O2900" s="30"/>
      <c r="P2900" s="30"/>
      <c r="Q2900" s="30"/>
      <c r="R2900" s="30"/>
      <c r="S2900" s="30"/>
      <c r="T2900" s="30"/>
      <c r="U2900" s="32"/>
      <c r="V2900" s="32"/>
      <c r="W2900" s="32"/>
      <c r="X2900" s="32"/>
      <c r="Y2900" s="32"/>
    </row>
    <row r="2901" spans="1:25" x14ac:dyDescent="0.2">
      <c r="A2901" s="30"/>
      <c r="B2901" s="30"/>
      <c r="C2901" s="30"/>
      <c r="D2901" s="30"/>
      <c r="E2901" s="30"/>
      <c r="F2901" s="30"/>
      <c r="G2901" s="30"/>
      <c r="H2901" s="30"/>
      <c r="I2901" s="30"/>
      <c r="J2901" s="30"/>
      <c r="K2901" s="30"/>
      <c r="L2901" s="30"/>
      <c r="M2901" s="30"/>
      <c r="N2901" s="30"/>
      <c r="O2901" s="30"/>
      <c r="P2901" s="30"/>
      <c r="Q2901" s="30"/>
      <c r="R2901" s="30"/>
      <c r="S2901" s="30"/>
      <c r="T2901" s="30"/>
      <c r="U2901" s="32"/>
      <c r="V2901" s="32"/>
      <c r="W2901" s="32"/>
      <c r="X2901" s="32"/>
      <c r="Y2901" s="32"/>
    </row>
    <row r="2902" spans="1:25" x14ac:dyDescent="0.2">
      <c r="A2902" s="30"/>
      <c r="B2902" s="30"/>
      <c r="C2902" s="30"/>
      <c r="D2902" s="30"/>
      <c r="E2902" s="30"/>
      <c r="F2902" s="30"/>
      <c r="G2902" s="30"/>
      <c r="H2902" s="30"/>
      <c r="I2902" s="30"/>
      <c r="J2902" s="30"/>
      <c r="K2902" s="30"/>
      <c r="L2902" s="30"/>
      <c r="M2902" s="30"/>
      <c r="N2902" s="30"/>
      <c r="O2902" s="30"/>
      <c r="P2902" s="30"/>
      <c r="Q2902" s="30"/>
      <c r="R2902" s="30"/>
      <c r="S2902" s="30"/>
      <c r="T2902" s="30"/>
      <c r="U2902" s="32"/>
      <c r="V2902" s="32"/>
      <c r="W2902" s="32"/>
      <c r="X2902" s="32"/>
      <c r="Y2902" s="32"/>
    </row>
    <row r="2903" spans="1:25" x14ac:dyDescent="0.2">
      <c r="A2903" s="30"/>
      <c r="B2903" s="30"/>
      <c r="C2903" s="30"/>
      <c r="D2903" s="30"/>
      <c r="E2903" s="30"/>
      <c r="F2903" s="30"/>
      <c r="G2903" s="30"/>
      <c r="H2903" s="30"/>
      <c r="I2903" s="30"/>
      <c r="J2903" s="30"/>
      <c r="K2903" s="30"/>
      <c r="L2903" s="30"/>
      <c r="M2903" s="30"/>
      <c r="N2903" s="30"/>
      <c r="O2903" s="30"/>
      <c r="P2903" s="30"/>
      <c r="Q2903" s="30"/>
      <c r="R2903" s="30"/>
      <c r="S2903" s="30"/>
      <c r="T2903" s="30"/>
      <c r="U2903" s="32"/>
      <c r="V2903" s="32"/>
      <c r="W2903" s="32"/>
      <c r="X2903" s="32"/>
      <c r="Y2903" s="32"/>
    </row>
    <row r="2904" spans="1:25" x14ac:dyDescent="0.2">
      <c r="A2904" s="30"/>
      <c r="B2904" s="30"/>
      <c r="C2904" s="30"/>
      <c r="D2904" s="30"/>
      <c r="E2904" s="30"/>
      <c r="F2904" s="30"/>
      <c r="G2904" s="30"/>
      <c r="H2904" s="30"/>
      <c r="I2904" s="30"/>
      <c r="J2904" s="30"/>
      <c r="K2904" s="30"/>
      <c r="L2904" s="30"/>
      <c r="M2904" s="30"/>
      <c r="N2904" s="30"/>
      <c r="O2904" s="30"/>
      <c r="P2904" s="30"/>
      <c r="Q2904" s="30"/>
      <c r="R2904" s="30"/>
      <c r="S2904" s="30"/>
      <c r="T2904" s="30"/>
      <c r="U2904" s="32"/>
      <c r="V2904" s="32"/>
      <c r="W2904" s="32"/>
      <c r="X2904" s="32"/>
      <c r="Y2904" s="32"/>
    </row>
    <row r="2905" spans="1:25" x14ac:dyDescent="0.2">
      <c r="A2905" s="30"/>
      <c r="B2905" s="30"/>
      <c r="C2905" s="30"/>
      <c r="D2905" s="30"/>
      <c r="E2905" s="30"/>
      <c r="F2905" s="30"/>
      <c r="G2905" s="30"/>
      <c r="H2905" s="30"/>
      <c r="I2905" s="30"/>
      <c r="J2905" s="30"/>
      <c r="K2905" s="30"/>
      <c r="L2905" s="30"/>
      <c r="M2905" s="30"/>
      <c r="N2905" s="30"/>
      <c r="O2905" s="30"/>
      <c r="P2905" s="30"/>
      <c r="Q2905" s="30"/>
      <c r="R2905" s="30"/>
      <c r="S2905" s="30"/>
      <c r="T2905" s="30"/>
      <c r="U2905" s="32"/>
      <c r="V2905" s="32"/>
      <c r="W2905" s="32"/>
      <c r="X2905" s="32"/>
      <c r="Y2905" s="32"/>
    </row>
    <row r="2906" spans="1:25" x14ac:dyDescent="0.2">
      <c r="A2906" s="30"/>
      <c r="B2906" s="30"/>
      <c r="C2906" s="30"/>
      <c r="D2906" s="30"/>
      <c r="E2906" s="30"/>
      <c r="F2906" s="30"/>
      <c r="G2906" s="30"/>
      <c r="H2906" s="30"/>
      <c r="I2906" s="30"/>
      <c r="J2906" s="30"/>
      <c r="K2906" s="30"/>
      <c r="L2906" s="30"/>
      <c r="M2906" s="30"/>
      <c r="N2906" s="30"/>
      <c r="O2906" s="30"/>
      <c r="P2906" s="30"/>
      <c r="Q2906" s="30"/>
      <c r="R2906" s="30"/>
      <c r="S2906" s="30"/>
      <c r="T2906" s="30"/>
      <c r="U2906" s="32"/>
      <c r="V2906" s="32"/>
      <c r="W2906" s="32"/>
      <c r="X2906" s="32"/>
      <c r="Y2906" s="32"/>
    </row>
    <row r="2907" spans="1:25" x14ac:dyDescent="0.2">
      <c r="A2907" s="30"/>
      <c r="B2907" s="30"/>
      <c r="C2907" s="30"/>
      <c r="D2907" s="30"/>
      <c r="E2907" s="30"/>
      <c r="F2907" s="30"/>
      <c r="G2907" s="30"/>
      <c r="H2907" s="30"/>
      <c r="I2907" s="30"/>
      <c r="J2907" s="30"/>
      <c r="K2907" s="30"/>
      <c r="L2907" s="30"/>
      <c r="M2907" s="30"/>
      <c r="N2907" s="30"/>
      <c r="O2907" s="30"/>
      <c r="P2907" s="30"/>
      <c r="Q2907" s="30"/>
      <c r="R2907" s="30"/>
      <c r="S2907" s="30"/>
      <c r="T2907" s="30"/>
      <c r="U2907" s="32"/>
      <c r="V2907" s="32"/>
      <c r="W2907" s="32"/>
      <c r="X2907" s="32"/>
      <c r="Y2907" s="32"/>
    </row>
    <row r="2908" spans="1:25" x14ac:dyDescent="0.2">
      <c r="A2908" s="30"/>
      <c r="B2908" s="30"/>
      <c r="C2908" s="30"/>
      <c r="D2908" s="30"/>
      <c r="E2908" s="30"/>
      <c r="F2908" s="30"/>
      <c r="G2908" s="30"/>
      <c r="H2908" s="30"/>
      <c r="I2908" s="30"/>
      <c r="J2908" s="30"/>
      <c r="K2908" s="30"/>
      <c r="L2908" s="30"/>
      <c r="M2908" s="30"/>
      <c r="N2908" s="30"/>
      <c r="O2908" s="30"/>
      <c r="P2908" s="30"/>
      <c r="Q2908" s="30"/>
      <c r="R2908" s="30"/>
      <c r="S2908" s="30"/>
      <c r="T2908" s="30"/>
      <c r="U2908" s="32"/>
      <c r="V2908" s="32"/>
      <c r="W2908" s="32"/>
      <c r="X2908" s="32"/>
      <c r="Y2908" s="32"/>
    </row>
    <row r="2909" spans="1:25" x14ac:dyDescent="0.2">
      <c r="A2909" s="30"/>
      <c r="B2909" s="30"/>
      <c r="C2909" s="30"/>
      <c r="D2909" s="30"/>
      <c r="E2909" s="30"/>
      <c r="F2909" s="30"/>
      <c r="G2909" s="30"/>
      <c r="H2909" s="30"/>
      <c r="I2909" s="30"/>
      <c r="J2909" s="30"/>
      <c r="K2909" s="30"/>
      <c r="L2909" s="30"/>
      <c r="M2909" s="30"/>
      <c r="N2909" s="30"/>
      <c r="O2909" s="30"/>
      <c r="P2909" s="30"/>
      <c r="Q2909" s="30"/>
      <c r="R2909" s="30"/>
      <c r="S2909" s="30"/>
      <c r="T2909" s="30"/>
      <c r="U2909" s="32"/>
      <c r="V2909" s="32"/>
      <c r="W2909" s="32"/>
      <c r="X2909" s="32"/>
      <c r="Y2909" s="32"/>
    </row>
    <row r="2910" spans="1:25" x14ac:dyDescent="0.2">
      <c r="A2910" s="30"/>
      <c r="B2910" s="30"/>
      <c r="C2910" s="30"/>
      <c r="D2910" s="30"/>
      <c r="E2910" s="30"/>
      <c r="F2910" s="30"/>
      <c r="G2910" s="30"/>
      <c r="H2910" s="30"/>
      <c r="I2910" s="30"/>
      <c r="J2910" s="30"/>
      <c r="K2910" s="30"/>
      <c r="L2910" s="30"/>
      <c r="M2910" s="30"/>
      <c r="N2910" s="30"/>
      <c r="O2910" s="30"/>
      <c r="P2910" s="30"/>
      <c r="Q2910" s="30"/>
      <c r="R2910" s="30"/>
      <c r="S2910" s="30"/>
      <c r="T2910" s="30"/>
      <c r="U2910" s="32"/>
      <c r="V2910" s="32"/>
      <c r="W2910" s="32"/>
      <c r="X2910" s="32"/>
      <c r="Y2910" s="32"/>
    </row>
    <row r="2911" spans="1:25" x14ac:dyDescent="0.2">
      <c r="A2911" s="30"/>
      <c r="B2911" s="30"/>
      <c r="C2911" s="30"/>
      <c r="D2911" s="30"/>
      <c r="E2911" s="30"/>
      <c r="F2911" s="30"/>
      <c r="G2911" s="30"/>
      <c r="H2911" s="30"/>
      <c r="I2911" s="30"/>
      <c r="J2911" s="30"/>
      <c r="K2911" s="30"/>
      <c r="L2911" s="30"/>
      <c r="M2911" s="30"/>
      <c r="N2911" s="30"/>
      <c r="O2911" s="30"/>
      <c r="P2911" s="30"/>
      <c r="Q2911" s="30"/>
      <c r="R2911" s="30"/>
      <c r="S2911" s="30"/>
      <c r="T2911" s="30"/>
      <c r="U2911" s="32"/>
      <c r="V2911" s="32"/>
      <c r="W2911" s="32"/>
      <c r="X2911" s="32"/>
      <c r="Y2911" s="32"/>
    </row>
    <row r="2912" spans="1:25" x14ac:dyDescent="0.2">
      <c r="A2912" s="30"/>
      <c r="B2912" s="30"/>
      <c r="C2912" s="30"/>
      <c r="D2912" s="30"/>
      <c r="E2912" s="30"/>
      <c r="F2912" s="30"/>
      <c r="G2912" s="30"/>
      <c r="H2912" s="30"/>
      <c r="I2912" s="30"/>
      <c r="J2912" s="30"/>
      <c r="K2912" s="30"/>
      <c r="L2912" s="30"/>
      <c r="M2912" s="30"/>
      <c r="N2912" s="30"/>
      <c r="O2912" s="30"/>
      <c r="P2912" s="30"/>
      <c r="Q2912" s="30"/>
      <c r="R2912" s="30"/>
      <c r="S2912" s="30"/>
      <c r="T2912" s="30"/>
      <c r="U2912" s="32"/>
      <c r="V2912" s="32"/>
      <c r="W2912" s="32"/>
      <c r="X2912" s="32"/>
      <c r="Y2912" s="32"/>
    </row>
    <row r="2913" spans="1:25" x14ac:dyDescent="0.2">
      <c r="A2913" s="30"/>
      <c r="B2913" s="30"/>
      <c r="C2913" s="30"/>
      <c r="D2913" s="30"/>
      <c r="E2913" s="30"/>
      <c r="F2913" s="30"/>
      <c r="G2913" s="30"/>
      <c r="H2913" s="30"/>
      <c r="I2913" s="30"/>
      <c r="J2913" s="30"/>
      <c r="K2913" s="30"/>
      <c r="L2913" s="30"/>
      <c r="M2913" s="30"/>
      <c r="N2913" s="30"/>
      <c r="O2913" s="30"/>
      <c r="P2913" s="30"/>
      <c r="Q2913" s="30"/>
      <c r="R2913" s="30"/>
      <c r="S2913" s="30"/>
      <c r="T2913" s="30"/>
      <c r="U2913" s="32"/>
      <c r="V2913" s="32"/>
      <c r="W2913" s="32"/>
      <c r="X2913" s="32"/>
      <c r="Y2913" s="32"/>
    </row>
    <row r="2914" spans="1:25" x14ac:dyDescent="0.2">
      <c r="A2914" s="30"/>
      <c r="B2914" s="30"/>
      <c r="C2914" s="30"/>
      <c r="D2914" s="30"/>
      <c r="E2914" s="30"/>
      <c r="F2914" s="30"/>
      <c r="G2914" s="30"/>
      <c r="H2914" s="30"/>
      <c r="I2914" s="30"/>
      <c r="J2914" s="30"/>
      <c r="K2914" s="30"/>
      <c r="L2914" s="30"/>
      <c r="M2914" s="30"/>
      <c r="N2914" s="30"/>
      <c r="O2914" s="30"/>
      <c r="P2914" s="30"/>
      <c r="Q2914" s="30"/>
      <c r="R2914" s="30"/>
      <c r="S2914" s="30"/>
      <c r="T2914" s="30"/>
      <c r="U2914" s="32"/>
      <c r="V2914" s="32"/>
      <c r="W2914" s="32"/>
      <c r="X2914" s="32"/>
      <c r="Y2914" s="32"/>
    </row>
    <row r="2915" spans="1:25" x14ac:dyDescent="0.2">
      <c r="A2915" s="30"/>
      <c r="B2915" s="30"/>
      <c r="C2915" s="30"/>
      <c r="D2915" s="30"/>
      <c r="E2915" s="30"/>
      <c r="F2915" s="30"/>
      <c r="G2915" s="30"/>
      <c r="H2915" s="30"/>
      <c r="I2915" s="30"/>
      <c r="J2915" s="30"/>
      <c r="K2915" s="30"/>
      <c r="L2915" s="30"/>
      <c r="M2915" s="30"/>
      <c r="N2915" s="30"/>
      <c r="O2915" s="30"/>
      <c r="P2915" s="30"/>
      <c r="Q2915" s="30"/>
      <c r="R2915" s="30"/>
      <c r="S2915" s="30"/>
      <c r="T2915" s="30"/>
      <c r="U2915" s="32"/>
      <c r="V2915" s="32"/>
      <c r="W2915" s="32"/>
      <c r="X2915" s="32"/>
      <c r="Y2915" s="32"/>
    </row>
    <row r="2916" spans="1:25" x14ac:dyDescent="0.2">
      <c r="A2916" s="30"/>
      <c r="B2916" s="30"/>
      <c r="C2916" s="30"/>
      <c r="D2916" s="30"/>
      <c r="E2916" s="30"/>
      <c r="F2916" s="30"/>
      <c r="G2916" s="30"/>
      <c r="H2916" s="30"/>
      <c r="I2916" s="30"/>
      <c r="J2916" s="30"/>
      <c r="K2916" s="30"/>
      <c r="L2916" s="30"/>
      <c r="M2916" s="30"/>
      <c r="N2916" s="30"/>
      <c r="O2916" s="30"/>
      <c r="P2916" s="30"/>
      <c r="Q2916" s="30"/>
      <c r="R2916" s="30"/>
      <c r="S2916" s="30"/>
      <c r="T2916" s="30"/>
      <c r="U2916" s="32"/>
      <c r="V2916" s="32"/>
      <c r="W2916" s="32"/>
      <c r="X2916" s="32"/>
      <c r="Y2916" s="32"/>
    </row>
    <row r="2917" spans="1:25" x14ac:dyDescent="0.2">
      <c r="A2917" s="30"/>
      <c r="B2917" s="30"/>
      <c r="C2917" s="30"/>
      <c r="D2917" s="30"/>
      <c r="E2917" s="30"/>
      <c r="F2917" s="30"/>
      <c r="G2917" s="30"/>
      <c r="H2917" s="30"/>
      <c r="I2917" s="30"/>
      <c r="J2917" s="30"/>
      <c r="K2917" s="30"/>
      <c r="L2917" s="30"/>
      <c r="M2917" s="30"/>
      <c r="N2917" s="30"/>
      <c r="O2917" s="30"/>
      <c r="P2917" s="30"/>
      <c r="Q2917" s="30"/>
      <c r="R2917" s="30"/>
      <c r="S2917" s="30"/>
      <c r="T2917" s="30"/>
      <c r="U2917" s="32"/>
      <c r="V2917" s="32"/>
      <c r="W2917" s="32"/>
      <c r="X2917" s="32"/>
      <c r="Y2917" s="32"/>
    </row>
    <row r="2918" spans="1:25" x14ac:dyDescent="0.2">
      <c r="A2918" s="30"/>
      <c r="B2918" s="30"/>
      <c r="C2918" s="30"/>
      <c r="D2918" s="30"/>
      <c r="E2918" s="30"/>
      <c r="F2918" s="30"/>
      <c r="G2918" s="30"/>
      <c r="H2918" s="30"/>
      <c r="I2918" s="30"/>
      <c r="J2918" s="30"/>
      <c r="K2918" s="30"/>
      <c r="L2918" s="30"/>
      <c r="M2918" s="30"/>
      <c r="N2918" s="30"/>
      <c r="O2918" s="30"/>
      <c r="P2918" s="30"/>
      <c r="Q2918" s="30"/>
      <c r="R2918" s="30"/>
      <c r="S2918" s="30"/>
      <c r="T2918" s="30"/>
      <c r="U2918" s="32"/>
      <c r="V2918" s="32"/>
      <c r="W2918" s="32"/>
      <c r="X2918" s="32"/>
      <c r="Y2918" s="32"/>
    </row>
    <row r="2919" spans="1:25" x14ac:dyDescent="0.2">
      <c r="A2919" s="30"/>
      <c r="B2919" s="30"/>
      <c r="C2919" s="30"/>
      <c r="D2919" s="30"/>
      <c r="E2919" s="30"/>
      <c r="F2919" s="30"/>
      <c r="G2919" s="30"/>
      <c r="H2919" s="30"/>
      <c r="I2919" s="30"/>
      <c r="J2919" s="30"/>
      <c r="K2919" s="30"/>
      <c r="L2919" s="30"/>
      <c r="M2919" s="30"/>
      <c r="N2919" s="30"/>
      <c r="O2919" s="30"/>
      <c r="P2919" s="30"/>
      <c r="Q2919" s="30"/>
      <c r="R2919" s="30"/>
      <c r="S2919" s="30"/>
      <c r="T2919" s="30"/>
      <c r="U2919" s="32"/>
      <c r="V2919" s="32"/>
      <c r="W2919" s="32"/>
      <c r="X2919" s="32"/>
      <c r="Y2919" s="32"/>
    </row>
    <row r="2920" spans="1:25" x14ac:dyDescent="0.2">
      <c r="A2920" s="30"/>
      <c r="B2920" s="30"/>
      <c r="C2920" s="30"/>
      <c r="D2920" s="30"/>
      <c r="E2920" s="30"/>
      <c r="F2920" s="30"/>
      <c r="G2920" s="30"/>
      <c r="H2920" s="30"/>
      <c r="I2920" s="30"/>
      <c r="J2920" s="30"/>
      <c r="K2920" s="30"/>
      <c r="L2920" s="30"/>
      <c r="M2920" s="30"/>
      <c r="N2920" s="30"/>
      <c r="O2920" s="30"/>
      <c r="P2920" s="30"/>
      <c r="Q2920" s="30"/>
      <c r="R2920" s="30"/>
      <c r="S2920" s="30"/>
      <c r="T2920" s="30"/>
      <c r="U2920" s="32"/>
      <c r="V2920" s="32"/>
      <c r="W2920" s="32"/>
      <c r="X2920" s="32"/>
      <c r="Y2920" s="32"/>
    </row>
    <row r="2921" spans="1:25" x14ac:dyDescent="0.2">
      <c r="A2921" s="30"/>
      <c r="B2921" s="30"/>
      <c r="C2921" s="30"/>
      <c r="D2921" s="30"/>
      <c r="E2921" s="30"/>
      <c r="F2921" s="30"/>
      <c r="G2921" s="30"/>
      <c r="H2921" s="30"/>
      <c r="I2921" s="30"/>
      <c r="J2921" s="30"/>
      <c r="K2921" s="30"/>
      <c r="L2921" s="30"/>
      <c r="M2921" s="30"/>
      <c r="N2921" s="30"/>
      <c r="O2921" s="30"/>
      <c r="P2921" s="30"/>
      <c r="Q2921" s="30"/>
      <c r="R2921" s="30"/>
      <c r="S2921" s="30"/>
      <c r="T2921" s="30"/>
      <c r="U2921" s="32"/>
      <c r="V2921" s="32"/>
      <c r="W2921" s="32"/>
      <c r="X2921" s="32"/>
      <c r="Y2921" s="32"/>
    </row>
    <row r="2922" spans="1:25" x14ac:dyDescent="0.2">
      <c r="A2922" s="30"/>
      <c r="B2922" s="30"/>
      <c r="C2922" s="30"/>
      <c r="D2922" s="30"/>
      <c r="E2922" s="30"/>
      <c r="F2922" s="30"/>
      <c r="G2922" s="30"/>
      <c r="H2922" s="30"/>
      <c r="I2922" s="30"/>
      <c r="J2922" s="30"/>
      <c r="K2922" s="30"/>
      <c r="L2922" s="30"/>
      <c r="M2922" s="30"/>
      <c r="N2922" s="30"/>
      <c r="O2922" s="30"/>
      <c r="P2922" s="30"/>
      <c r="Q2922" s="30"/>
      <c r="R2922" s="30"/>
      <c r="S2922" s="30"/>
      <c r="T2922" s="30"/>
      <c r="U2922" s="32"/>
      <c r="V2922" s="32"/>
      <c r="W2922" s="32"/>
      <c r="X2922" s="32"/>
      <c r="Y2922" s="32"/>
    </row>
    <row r="2923" spans="1:25" x14ac:dyDescent="0.2">
      <c r="A2923" s="30"/>
      <c r="B2923" s="30"/>
      <c r="C2923" s="30"/>
      <c r="D2923" s="30"/>
      <c r="E2923" s="30"/>
      <c r="F2923" s="30"/>
      <c r="G2923" s="30"/>
      <c r="H2923" s="30"/>
      <c r="I2923" s="30"/>
      <c r="J2923" s="30"/>
      <c r="K2923" s="30"/>
      <c r="L2923" s="30"/>
      <c r="M2923" s="30"/>
      <c r="N2923" s="30"/>
      <c r="O2923" s="30"/>
      <c r="P2923" s="30"/>
      <c r="Q2923" s="30"/>
      <c r="R2923" s="30"/>
      <c r="S2923" s="30"/>
      <c r="T2923" s="30"/>
      <c r="U2923" s="32"/>
      <c r="V2923" s="32"/>
      <c r="W2923" s="32"/>
      <c r="X2923" s="32"/>
      <c r="Y2923" s="32"/>
    </row>
    <row r="2924" spans="1:25" x14ac:dyDescent="0.2">
      <c r="A2924" s="30"/>
      <c r="B2924" s="30"/>
      <c r="C2924" s="30"/>
      <c r="D2924" s="30"/>
      <c r="E2924" s="30"/>
      <c r="F2924" s="30"/>
      <c r="G2924" s="30"/>
      <c r="H2924" s="30"/>
      <c r="I2924" s="30"/>
      <c r="J2924" s="30"/>
      <c r="K2924" s="30"/>
      <c r="L2924" s="30"/>
      <c r="M2924" s="30"/>
      <c r="N2924" s="30"/>
      <c r="O2924" s="30"/>
      <c r="P2924" s="30"/>
      <c r="Q2924" s="30"/>
      <c r="R2924" s="30"/>
      <c r="S2924" s="30"/>
      <c r="T2924" s="30"/>
      <c r="U2924" s="32"/>
      <c r="V2924" s="32"/>
      <c r="W2924" s="32"/>
      <c r="X2924" s="32"/>
      <c r="Y2924" s="32"/>
    </row>
    <row r="2925" spans="1:25" x14ac:dyDescent="0.2">
      <c r="A2925" s="30"/>
      <c r="B2925" s="30"/>
      <c r="C2925" s="30"/>
      <c r="D2925" s="30"/>
      <c r="E2925" s="30"/>
      <c r="F2925" s="30"/>
      <c r="G2925" s="30"/>
      <c r="H2925" s="30"/>
      <c r="I2925" s="30"/>
      <c r="J2925" s="30"/>
      <c r="K2925" s="30"/>
      <c r="L2925" s="30"/>
      <c r="M2925" s="30"/>
      <c r="N2925" s="30"/>
      <c r="O2925" s="30"/>
      <c r="P2925" s="30"/>
      <c r="Q2925" s="30"/>
      <c r="R2925" s="30"/>
      <c r="S2925" s="30"/>
      <c r="T2925" s="30"/>
      <c r="U2925" s="32"/>
      <c r="V2925" s="32"/>
      <c r="W2925" s="32"/>
      <c r="X2925" s="32"/>
      <c r="Y2925" s="32"/>
    </row>
    <row r="2926" spans="1:25" x14ac:dyDescent="0.2">
      <c r="A2926" s="30"/>
      <c r="B2926" s="30"/>
      <c r="C2926" s="30"/>
      <c r="D2926" s="30"/>
      <c r="E2926" s="30"/>
      <c r="F2926" s="30"/>
      <c r="G2926" s="30"/>
      <c r="H2926" s="30"/>
      <c r="I2926" s="30"/>
      <c r="J2926" s="30"/>
      <c r="K2926" s="30"/>
      <c r="L2926" s="30"/>
      <c r="M2926" s="30"/>
      <c r="N2926" s="30"/>
      <c r="O2926" s="30"/>
      <c r="P2926" s="30"/>
      <c r="Q2926" s="30"/>
      <c r="R2926" s="30"/>
      <c r="S2926" s="30"/>
      <c r="T2926" s="30"/>
      <c r="U2926" s="32"/>
      <c r="V2926" s="32"/>
      <c r="W2926" s="32"/>
      <c r="X2926" s="32"/>
      <c r="Y2926" s="32"/>
    </row>
    <row r="2927" spans="1:25" x14ac:dyDescent="0.2">
      <c r="A2927" s="30"/>
      <c r="B2927" s="30"/>
      <c r="C2927" s="30"/>
      <c r="D2927" s="30"/>
      <c r="E2927" s="30"/>
      <c r="F2927" s="30"/>
      <c r="G2927" s="30"/>
      <c r="H2927" s="30"/>
      <c r="I2927" s="30"/>
      <c r="J2927" s="30"/>
      <c r="K2927" s="30"/>
      <c r="L2927" s="30"/>
      <c r="M2927" s="30"/>
      <c r="N2927" s="30"/>
      <c r="O2927" s="30"/>
      <c r="P2927" s="30"/>
      <c r="Q2927" s="30"/>
      <c r="R2927" s="30"/>
      <c r="S2927" s="30"/>
      <c r="T2927" s="30"/>
      <c r="U2927" s="32"/>
      <c r="V2927" s="32"/>
      <c r="W2927" s="32"/>
      <c r="X2927" s="32"/>
      <c r="Y2927" s="32"/>
    </row>
    <row r="2928" spans="1:25" x14ac:dyDescent="0.2">
      <c r="A2928" s="30"/>
      <c r="B2928" s="30"/>
      <c r="C2928" s="30"/>
      <c r="D2928" s="30"/>
      <c r="E2928" s="30"/>
      <c r="F2928" s="30"/>
      <c r="G2928" s="30"/>
      <c r="H2928" s="30"/>
      <c r="I2928" s="30"/>
      <c r="J2928" s="30"/>
      <c r="K2928" s="30"/>
      <c r="L2928" s="30"/>
      <c r="M2928" s="30"/>
      <c r="N2928" s="30"/>
      <c r="O2928" s="30"/>
      <c r="P2928" s="30"/>
      <c r="Q2928" s="30"/>
      <c r="R2928" s="30"/>
      <c r="S2928" s="30"/>
      <c r="T2928" s="30"/>
      <c r="U2928" s="32"/>
      <c r="V2928" s="32"/>
      <c r="W2928" s="32"/>
      <c r="X2928" s="32"/>
      <c r="Y2928" s="32"/>
    </row>
    <row r="2929" spans="1:25" x14ac:dyDescent="0.2">
      <c r="A2929" s="30"/>
      <c r="B2929" s="30"/>
      <c r="C2929" s="30"/>
      <c r="D2929" s="30"/>
      <c r="E2929" s="30"/>
      <c r="F2929" s="30"/>
      <c r="G2929" s="30"/>
      <c r="H2929" s="30"/>
      <c r="I2929" s="30"/>
      <c r="J2929" s="30"/>
      <c r="K2929" s="30"/>
      <c r="L2929" s="30"/>
      <c r="M2929" s="30"/>
      <c r="N2929" s="30"/>
      <c r="O2929" s="30"/>
      <c r="P2929" s="30"/>
      <c r="Q2929" s="30"/>
      <c r="R2929" s="30"/>
      <c r="S2929" s="30"/>
      <c r="T2929" s="30"/>
      <c r="U2929" s="32"/>
      <c r="V2929" s="32"/>
      <c r="W2929" s="32"/>
      <c r="X2929" s="32"/>
      <c r="Y2929" s="32"/>
    </row>
    <row r="2930" spans="1:25" x14ac:dyDescent="0.2">
      <c r="A2930" s="30"/>
      <c r="B2930" s="30"/>
      <c r="C2930" s="30"/>
      <c r="D2930" s="30"/>
      <c r="E2930" s="30"/>
      <c r="F2930" s="30"/>
      <c r="G2930" s="30"/>
      <c r="H2930" s="30"/>
      <c r="I2930" s="30"/>
      <c r="J2930" s="30"/>
      <c r="K2930" s="30"/>
      <c r="L2930" s="30"/>
      <c r="M2930" s="30"/>
      <c r="N2930" s="30"/>
      <c r="O2930" s="30"/>
      <c r="P2930" s="30"/>
      <c r="Q2930" s="30"/>
      <c r="R2930" s="30"/>
      <c r="S2930" s="30"/>
      <c r="T2930" s="30"/>
      <c r="U2930" s="32"/>
      <c r="V2930" s="32"/>
      <c r="W2930" s="32"/>
      <c r="X2930" s="32"/>
      <c r="Y2930" s="32"/>
    </row>
    <row r="2931" spans="1:25" x14ac:dyDescent="0.2">
      <c r="A2931" s="30"/>
      <c r="B2931" s="30"/>
      <c r="C2931" s="30"/>
      <c r="D2931" s="30"/>
      <c r="E2931" s="30"/>
      <c r="F2931" s="30"/>
      <c r="G2931" s="30"/>
      <c r="H2931" s="30"/>
      <c r="I2931" s="30"/>
      <c r="J2931" s="30"/>
      <c r="K2931" s="30"/>
      <c r="L2931" s="30"/>
      <c r="M2931" s="30"/>
      <c r="N2931" s="30"/>
      <c r="O2931" s="30"/>
      <c r="P2931" s="30"/>
      <c r="Q2931" s="30"/>
      <c r="R2931" s="30"/>
      <c r="S2931" s="30"/>
      <c r="T2931" s="30"/>
      <c r="U2931" s="32"/>
      <c r="V2931" s="32"/>
      <c r="W2931" s="32"/>
      <c r="X2931" s="32"/>
      <c r="Y2931" s="32"/>
    </row>
    <row r="2932" spans="1:25" x14ac:dyDescent="0.2">
      <c r="A2932" s="30"/>
      <c r="B2932" s="30"/>
      <c r="C2932" s="30"/>
      <c r="D2932" s="30"/>
      <c r="E2932" s="30"/>
      <c r="F2932" s="30"/>
      <c r="G2932" s="30"/>
      <c r="H2932" s="30"/>
      <c r="I2932" s="30"/>
      <c r="J2932" s="30"/>
      <c r="K2932" s="30"/>
      <c r="L2932" s="30"/>
      <c r="M2932" s="30"/>
      <c r="N2932" s="30"/>
      <c r="O2932" s="30"/>
      <c r="P2932" s="30"/>
      <c r="Q2932" s="30"/>
      <c r="R2932" s="30"/>
      <c r="S2932" s="30"/>
      <c r="T2932" s="30"/>
      <c r="U2932" s="32"/>
      <c r="V2932" s="32"/>
      <c r="W2932" s="32"/>
      <c r="X2932" s="32"/>
      <c r="Y2932" s="32"/>
    </row>
    <row r="2933" spans="1:25" x14ac:dyDescent="0.2">
      <c r="A2933" s="30"/>
      <c r="B2933" s="30"/>
      <c r="C2933" s="30"/>
      <c r="D2933" s="30"/>
      <c r="E2933" s="30"/>
      <c r="F2933" s="30"/>
      <c r="G2933" s="30"/>
      <c r="H2933" s="30"/>
      <c r="I2933" s="30"/>
      <c r="J2933" s="30"/>
      <c r="K2933" s="30"/>
      <c r="L2933" s="30"/>
      <c r="M2933" s="30"/>
      <c r="N2933" s="30"/>
      <c r="O2933" s="30"/>
      <c r="P2933" s="30"/>
      <c r="Q2933" s="30"/>
      <c r="R2933" s="30"/>
      <c r="S2933" s="30"/>
      <c r="T2933" s="30"/>
      <c r="U2933" s="32"/>
      <c r="V2933" s="32"/>
      <c r="W2933" s="32"/>
      <c r="X2933" s="32"/>
      <c r="Y2933" s="32"/>
    </row>
    <row r="2934" spans="1:25" x14ac:dyDescent="0.2">
      <c r="A2934" s="30"/>
      <c r="B2934" s="30"/>
      <c r="C2934" s="30"/>
      <c r="D2934" s="30"/>
      <c r="E2934" s="30"/>
      <c r="F2934" s="30"/>
      <c r="G2934" s="30"/>
      <c r="H2934" s="30"/>
      <c r="I2934" s="30"/>
      <c r="J2934" s="30"/>
      <c r="K2934" s="30"/>
      <c r="L2934" s="30"/>
      <c r="M2934" s="30"/>
      <c r="N2934" s="30"/>
      <c r="O2934" s="30"/>
      <c r="P2934" s="30"/>
      <c r="Q2934" s="30"/>
      <c r="R2934" s="30"/>
      <c r="S2934" s="30"/>
      <c r="T2934" s="30"/>
      <c r="U2934" s="32"/>
      <c r="V2934" s="32"/>
      <c r="W2934" s="32"/>
      <c r="X2934" s="32"/>
      <c r="Y2934" s="32"/>
    </row>
    <row r="2935" spans="1:25" x14ac:dyDescent="0.2">
      <c r="A2935" s="30"/>
      <c r="B2935" s="30"/>
      <c r="C2935" s="30"/>
      <c r="D2935" s="30"/>
      <c r="E2935" s="30"/>
      <c r="F2935" s="30"/>
      <c r="G2935" s="30"/>
      <c r="H2935" s="30"/>
      <c r="I2935" s="30"/>
      <c r="J2935" s="30"/>
      <c r="K2935" s="30"/>
      <c r="L2935" s="30"/>
      <c r="M2935" s="30"/>
      <c r="N2935" s="30"/>
      <c r="O2935" s="30"/>
      <c r="P2935" s="30"/>
      <c r="Q2935" s="30"/>
      <c r="R2935" s="30"/>
      <c r="S2935" s="30"/>
      <c r="T2935" s="30"/>
      <c r="U2935" s="32"/>
      <c r="V2935" s="32"/>
      <c r="W2935" s="32"/>
      <c r="X2935" s="32"/>
      <c r="Y2935" s="32"/>
    </row>
    <row r="2936" spans="1:25" x14ac:dyDescent="0.2">
      <c r="A2936" s="30"/>
      <c r="B2936" s="30"/>
      <c r="C2936" s="30"/>
      <c r="D2936" s="30"/>
      <c r="E2936" s="30"/>
      <c r="F2936" s="30"/>
      <c r="G2936" s="30"/>
      <c r="H2936" s="30"/>
      <c r="I2936" s="30"/>
      <c r="J2936" s="30"/>
      <c r="K2936" s="30"/>
      <c r="L2936" s="30"/>
      <c r="M2936" s="30"/>
      <c r="N2936" s="30"/>
      <c r="O2936" s="30"/>
      <c r="P2936" s="30"/>
      <c r="Q2936" s="30"/>
      <c r="R2936" s="30"/>
      <c r="S2936" s="30"/>
      <c r="T2936" s="30"/>
      <c r="U2936" s="32"/>
      <c r="V2936" s="32"/>
      <c r="W2936" s="32"/>
      <c r="X2936" s="32"/>
      <c r="Y2936" s="32"/>
    </row>
    <row r="2937" spans="1:25" x14ac:dyDescent="0.2">
      <c r="A2937" s="30"/>
      <c r="B2937" s="30"/>
      <c r="C2937" s="30"/>
      <c r="D2937" s="30"/>
      <c r="E2937" s="30"/>
      <c r="F2937" s="30"/>
      <c r="G2937" s="30"/>
      <c r="H2937" s="30"/>
      <c r="I2937" s="30"/>
      <c r="J2937" s="30"/>
      <c r="K2937" s="30"/>
      <c r="L2937" s="30"/>
      <c r="M2937" s="30"/>
      <c r="N2937" s="30"/>
      <c r="O2937" s="30"/>
      <c r="P2937" s="30"/>
      <c r="Q2937" s="30"/>
      <c r="R2937" s="30"/>
      <c r="S2937" s="30"/>
      <c r="T2937" s="30"/>
      <c r="U2937" s="32"/>
      <c r="V2937" s="32"/>
      <c r="W2937" s="32"/>
      <c r="X2937" s="32"/>
      <c r="Y2937" s="32"/>
    </row>
    <row r="2938" spans="1:25" x14ac:dyDescent="0.2">
      <c r="A2938" s="30"/>
      <c r="B2938" s="30"/>
      <c r="C2938" s="30"/>
      <c r="D2938" s="30"/>
      <c r="E2938" s="30"/>
      <c r="F2938" s="30"/>
      <c r="G2938" s="30"/>
      <c r="H2938" s="30"/>
      <c r="I2938" s="30"/>
      <c r="J2938" s="30"/>
      <c r="K2938" s="30"/>
      <c r="L2938" s="30"/>
      <c r="M2938" s="30"/>
      <c r="N2938" s="30"/>
      <c r="O2938" s="30"/>
      <c r="P2938" s="30"/>
      <c r="Q2938" s="30"/>
      <c r="R2938" s="30"/>
      <c r="S2938" s="30"/>
      <c r="T2938" s="30"/>
      <c r="U2938" s="32"/>
      <c r="V2938" s="32"/>
      <c r="W2938" s="32"/>
      <c r="X2938" s="32"/>
      <c r="Y2938" s="32"/>
    </row>
    <row r="2939" spans="1:25" x14ac:dyDescent="0.2">
      <c r="A2939" s="30"/>
      <c r="B2939" s="30"/>
      <c r="C2939" s="30"/>
      <c r="D2939" s="30"/>
      <c r="E2939" s="30"/>
      <c r="F2939" s="30"/>
      <c r="G2939" s="30"/>
      <c r="H2939" s="30"/>
      <c r="I2939" s="30"/>
      <c r="J2939" s="30"/>
      <c r="K2939" s="30"/>
      <c r="L2939" s="30"/>
      <c r="M2939" s="30"/>
      <c r="N2939" s="30"/>
      <c r="O2939" s="30"/>
      <c r="P2939" s="30"/>
      <c r="Q2939" s="30"/>
      <c r="R2939" s="30"/>
      <c r="S2939" s="30"/>
      <c r="T2939" s="30"/>
      <c r="U2939" s="32"/>
      <c r="V2939" s="32"/>
      <c r="W2939" s="32"/>
      <c r="X2939" s="32"/>
      <c r="Y2939" s="32"/>
    </row>
    <row r="2940" spans="1:25" x14ac:dyDescent="0.2">
      <c r="A2940" s="30"/>
      <c r="B2940" s="30"/>
      <c r="C2940" s="30"/>
      <c r="D2940" s="30"/>
      <c r="E2940" s="30"/>
      <c r="F2940" s="30"/>
      <c r="G2940" s="30"/>
      <c r="H2940" s="30"/>
      <c r="I2940" s="30"/>
      <c r="J2940" s="30"/>
      <c r="K2940" s="30"/>
      <c r="L2940" s="30"/>
      <c r="M2940" s="30"/>
      <c r="N2940" s="30"/>
      <c r="O2940" s="30"/>
      <c r="P2940" s="30"/>
      <c r="Q2940" s="30"/>
      <c r="R2940" s="30"/>
      <c r="S2940" s="30"/>
      <c r="T2940" s="30"/>
      <c r="U2940" s="32"/>
      <c r="V2940" s="32"/>
      <c r="W2940" s="32"/>
      <c r="X2940" s="32"/>
      <c r="Y2940" s="32"/>
    </row>
    <row r="2941" spans="1:25" x14ac:dyDescent="0.2">
      <c r="A2941" s="30"/>
      <c r="B2941" s="30"/>
      <c r="C2941" s="30"/>
      <c r="D2941" s="30"/>
      <c r="E2941" s="30"/>
      <c r="F2941" s="30"/>
      <c r="G2941" s="30"/>
      <c r="H2941" s="30"/>
      <c r="I2941" s="30"/>
      <c r="J2941" s="30"/>
      <c r="K2941" s="30"/>
      <c r="L2941" s="30"/>
      <c r="M2941" s="30"/>
      <c r="N2941" s="30"/>
      <c r="O2941" s="30"/>
      <c r="P2941" s="30"/>
      <c r="Q2941" s="30"/>
      <c r="R2941" s="30"/>
      <c r="S2941" s="30"/>
      <c r="T2941" s="30"/>
      <c r="U2941" s="32"/>
      <c r="V2941" s="32"/>
      <c r="W2941" s="32"/>
      <c r="X2941" s="32"/>
      <c r="Y2941" s="32"/>
    </row>
    <row r="2942" spans="1:25" x14ac:dyDescent="0.2">
      <c r="A2942" s="30"/>
      <c r="B2942" s="30"/>
      <c r="C2942" s="30"/>
      <c r="D2942" s="30"/>
      <c r="E2942" s="30"/>
      <c r="F2942" s="30"/>
      <c r="G2942" s="30"/>
      <c r="H2942" s="30"/>
      <c r="I2942" s="30"/>
      <c r="J2942" s="30"/>
      <c r="K2942" s="30"/>
      <c r="L2942" s="30"/>
      <c r="M2942" s="30"/>
      <c r="N2942" s="30"/>
      <c r="O2942" s="30"/>
      <c r="P2942" s="30"/>
      <c r="Q2942" s="30"/>
      <c r="R2942" s="30"/>
      <c r="S2942" s="30"/>
      <c r="T2942" s="30"/>
      <c r="U2942" s="32"/>
      <c r="V2942" s="32"/>
      <c r="W2942" s="32"/>
      <c r="X2942" s="32"/>
      <c r="Y2942" s="32"/>
    </row>
    <row r="2943" spans="1:25" x14ac:dyDescent="0.2">
      <c r="A2943" s="30"/>
      <c r="B2943" s="30"/>
      <c r="C2943" s="30"/>
      <c r="D2943" s="30"/>
      <c r="E2943" s="30"/>
      <c r="F2943" s="30"/>
      <c r="G2943" s="30"/>
      <c r="H2943" s="30"/>
      <c r="I2943" s="30"/>
      <c r="J2943" s="30"/>
      <c r="K2943" s="30"/>
      <c r="L2943" s="30"/>
      <c r="M2943" s="30"/>
      <c r="N2943" s="30"/>
      <c r="O2943" s="30"/>
      <c r="P2943" s="30"/>
      <c r="Q2943" s="30"/>
      <c r="R2943" s="30"/>
      <c r="S2943" s="30"/>
      <c r="T2943" s="30"/>
      <c r="U2943" s="32"/>
      <c r="V2943" s="32"/>
      <c r="W2943" s="32"/>
      <c r="X2943" s="32"/>
      <c r="Y2943" s="32"/>
    </row>
    <row r="2944" spans="1:25" x14ac:dyDescent="0.2">
      <c r="A2944" s="30"/>
      <c r="B2944" s="30"/>
      <c r="C2944" s="30"/>
      <c r="D2944" s="30"/>
      <c r="E2944" s="30"/>
      <c r="F2944" s="30"/>
      <c r="G2944" s="30"/>
      <c r="H2944" s="30"/>
      <c r="I2944" s="30"/>
      <c r="J2944" s="30"/>
      <c r="K2944" s="30"/>
      <c r="L2944" s="30"/>
      <c r="M2944" s="30"/>
      <c r="N2944" s="30"/>
      <c r="O2944" s="30"/>
      <c r="P2944" s="30"/>
      <c r="Q2944" s="30"/>
      <c r="R2944" s="30"/>
      <c r="S2944" s="30"/>
      <c r="T2944" s="30"/>
      <c r="U2944" s="32"/>
      <c r="V2944" s="32"/>
      <c r="W2944" s="32"/>
      <c r="X2944" s="32"/>
      <c r="Y2944" s="32"/>
    </row>
    <row r="2945" spans="1:25" x14ac:dyDescent="0.2">
      <c r="A2945" s="30"/>
      <c r="B2945" s="30"/>
      <c r="C2945" s="30"/>
      <c r="D2945" s="30"/>
      <c r="E2945" s="30"/>
      <c r="F2945" s="30"/>
      <c r="G2945" s="30"/>
      <c r="H2945" s="30"/>
      <c r="I2945" s="30"/>
      <c r="J2945" s="30"/>
      <c r="K2945" s="30"/>
      <c r="L2945" s="30"/>
      <c r="M2945" s="30"/>
      <c r="N2945" s="30"/>
      <c r="O2945" s="30"/>
      <c r="P2945" s="30"/>
      <c r="Q2945" s="30"/>
      <c r="R2945" s="30"/>
      <c r="S2945" s="30"/>
      <c r="T2945" s="30"/>
      <c r="U2945" s="32"/>
      <c r="V2945" s="32"/>
      <c r="W2945" s="32"/>
      <c r="X2945" s="32"/>
      <c r="Y2945" s="32"/>
    </row>
    <row r="2946" spans="1:25" x14ac:dyDescent="0.2">
      <c r="A2946" s="30"/>
      <c r="B2946" s="30"/>
      <c r="C2946" s="30"/>
      <c r="D2946" s="30"/>
      <c r="E2946" s="30"/>
      <c r="F2946" s="30"/>
      <c r="G2946" s="30"/>
      <c r="H2946" s="30"/>
      <c r="I2946" s="30"/>
      <c r="J2946" s="30"/>
      <c r="K2946" s="30"/>
      <c r="L2946" s="30"/>
      <c r="M2946" s="30"/>
      <c r="N2946" s="30"/>
      <c r="O2946" s="30"/>
      <c r="P2946" s="30"/>
      <c r="Q2946" s="30"/>
      <c r="R2946" s="30"/>
      <c r="S2946" s="30"/>
      <c r="T2946" s="30"/>
      <c r="U2946" s="32"/>
      <c r="V2946" s="32"/>
      <c r="W2946" s="32"/>
      <c r="X2946" s="32"/>
      <c r="Y2946" s="32"/>
    </row>
    <row r="2947" spans="1:25" x14ac:dyDescent="0.2">
      <c r="A2947" s="30"/>
      <c r="B2947" s="30"/>
      <c r="C2947" s="30"/>
      <c r="D2947" s="30"/>
      <c r="E2947" s="30"/>
      <c r="F2947" s="30"/>
      <c r="G2947" s="30"/>
      <c r="H2947" s="30"/>
      <c r="I2947" s="30"/>
      <c r="J2947" s="30"/>
      <c r="K2947" s="30"/>
      <c r="L2947" s="30"/>
      <c r="M2947" s="30"/>
      <c r="N2947" s="30"/>
      <c r="O2947" s="30"/>
      <c r="P2947" s="30"/>
      <c r="Q2947" s="30"/>
      <c r="R2947" s="30"/>
      <c r="S2947" s="30"/>
      <c r="T2947" s="30"/>
      <c r="U2947" s="32"/>
      <c r="V2947" s="32"/>
      <c r="W2947" s="32"/>
      <c r="X2947" s="32"/>
      <c r="Y2947" s="32"/>
    </row>
    <row r="2948" spans="1:25" x14ac:dyDescent="0.2">
      <c r="A2948" s="30"/>
      <c r="B2948" s="30"/>
      <c r="C2948" s="30"/>
      <c r="D2948" s="30"/>
      <c r="E2948" s="30"/>
      <c r="F2948" s="30"/>
      <c r="G2948" s="30"/>
      <c r="H2948" s="30"/>
      <c r="I2948" s="30"/>
      <c r="J2948" s="30"/>
      <c r="K2948" s="30"/>
      <c r="L2948" s="30"/>
      <c r="M2948" s="30"/>
      <c r="N2948" s="30"/>
      <c r="O2948" s="30"/>
      <c r="P2948" s="30"/>
      <c r="Q2948" s="30"/>
      <c r="R2948" s="30"/>
      <c r="S2948" s="30"/>
      <c r="T2948" s="30"/>
      <c r="U2948" s="32"/>
      <c r="V2948" s="32"/>
      <c r="W2948" s="32"/>
      <c r="X2948" s="32"/>
      <c r="Y2948" s="32"/>
    </row>
    <row r="2949" spans="1:25" x14ac:dyDescent="0.2">
      <c r="A2949" s="30"/>
      <c r="B2949" s="30"/>
      <c r="C2949" s="30"/>
      <c r="D2949" s="30"/>
      <c r="E2949" s="30"/>
      <c r="F2949" s="30"/>
      <c r="G2949" s="30"/>
      <c r="H2949" s="30"/>
      <c r="I2949" s="30"/>
      <c r="J2949" s="30"/>
      <c r="K2949" s="30"/>
      <c r="L2949" s="30"/>
      <c r="M2949" s="30"/>
      <c r="N2949" s="30"/>
      <c r="O2949" s="30"/>
      <c r="P2949" s="30"/>
      <c r="Q2949" s="30"/>
      <c r="R2949" s="30"/>
      <c r="S2949" s="30"/>
      <c r="T2949" s="30"/>
      <c r="U2949" s="32"/>
      <c r="V2949" s="32"/>
      <c r="W2949" s="32"/>
      <c r="X2949" s="32"/>
      <c r="Y2949" s="32"/>
    </row>
    <row r="2950" spans="1:25" x14ac:dyDescent="0.2">
      <c r="A2950" s="30"/>
      <c r="B2950" s="30"/>
      <c r="C2950" s="30"/>
      <c r="D2950" s="30"/>
      <c r="E2950" s="30"/>
      <c r="F2950" s="30"/>
      <c r="G2950" s="30"/>
      <c r="H2950" s="30"/>
      <c r="I2950" s="30"/>
      <c r="J2950" s="30"/>
      <c r="K2950" s="30"/>
      <c r="L2950" s="30"/>
      <c r="M2950" s="30"/>
      <c r="N2950" s="30"/>
      <c r="O2950" s="30"/>
      <c r="P2950" s="30"/>
      <c r="Q2950" s="30"/>
      <c r="R2950" s="30"/>
      <c r="S2950" s="30"/>
      <c r="T2950" s="30"/>
      <c r="U2950" s="32"/>
      <c r="V2950" s="32"/>
      <c r="W2950" s="32"/>
      <c r="X2950" s="32"/>
      <c r="Y2950" s="32"/>
    </row>
    <row r="2951" spans="1:25" x14ac:dyDescent="0.2">
      <c r="A2951" s="30"/>
      <c r="B2951" s="30"/>
      <c r="C2951" s="30"/>
      <c r="D2951" s="30"/>
      <c r="E2951" s="30"/>
      <c r="F2951" s="30"/>
      <c r="G2951" s="30"/>
      <c r="H2951" s="30"/>
      <c r="I2951" s="30"/>
      <c r="J2951" s="30"/>
      <c r="K2951" s="30"/>
      <c r="L2951" s="30"/>
      <c r="M2951" s="30"/>
      <c r="N2951" s="30"/>
      <c r="O2951" s="30"/>
      <c r="P2951" s="30"/>
      <c r="Q2951" s="30"/>
      <c r="R2951" s="30"/>
      <c r="S2951" s="30"/>
      <c r="T2951" s="30"/>
      <c r="U2951" s="32"/>
      <c r="V2951" s="32"/>
      <c r="W2951" s="32"/>
      <c r="X2951" s="32"/>
      <c r="Y2951" s="32"/>
    </row>
    <row r="2952" spans="1:25" x14ac:dyDescent="0.2">
      <c r="A2952" s="30"/>
      <c r="B2952" s="30"/>
      <c r="C2952" s="30"/>
      <c r="D2952" s="30"/>
      <c r="E2952" s="30"/>
      <c r="F2952" s="30"/>
      <c r="G2952" s="30"/>
      <c r="H2952" s="30"/>
      <c r="I2952" s="30"/>
      <c r="J2952" s="30"/>
      <c r="K2952" s="30"/>
      <c r="L2952" s="30"/>
      <c r="M2952" s="30"/>
      <c r="N2952" s="30"/>
      <c r="O2952" s="30"/>
      <c r="P2952" s="30"/>
      <c r="Q2952" s="30"/>
      <c r="R2952" s="30"/>
      <c r="S2952" s="30"/>
      <c r="T2952" s="30"/>
      <c r="U2952" s="32"/>
      <c r="V2952" s="32"/>
      <c r="W2952" s="32"/>
      <c r="X2952" s="32"/>
      <c r="Y2952" s="32"/>
    </row>
    <row r="2953" spans="1:25" x14ac:dyDescent="0.2">
      <c r="A2953" s="30"/>
      <c r="B2953" s="30"/>
      <c r="C2953" s="30"/>
      <c r="D2953" s="30"/>
      <c r="E2953" s="30"/>
      <c r="F2953" s="30"/>
      <c r="G2953" s="30"/>
      <c r="H2953" s="30"/>
      <c r="I2953" s="30"/>
      <c r="J2953" s="30"/>
      <c r="K2953" s="30"/>
      <c r="L2953" s="30"/>
      <c r="M2953" s="30"/>
      <c r="N2953" s="30"/>
      <c r="O2953" s="30"/>
      <c r="P2953" s="30"/>
      <c r="Q2953" s="30"/>
      <c r="R2953" s="30"/>
      <c r="S2953" s="30"/>
      <c r="T2953" s="30"/>
      <c r="U2953" s="32"/>
      <c r="V2953" s="32"/>
      <c r="W2953" s="32"/>
      <c r="X2953" s="32"/>
      <c r="Y2953" s="32"/>
    </row>
    <row r="2954" spans="1:25" x14ac:dyDescent="0.2">
      <c r="A2954" s="30"/>
      <c r="B2954" s="30"/>
      <c r="C2954" s="30"/>
      <c r="D2954" s="30"/>
      <c r="E2954" s="30"/>
      <c r="F2954" s="30"/>
      <c r="G2954" s="30"/>
      <c r="H2954" s="30"/>
      <c r="I2954" s="30"/>
      <c r="J2954" s="30"/>
      <c r="K2954" s="30"/>
      <c r="L2954" s="30"/>
      <c r="M2954" s="30"/>
      <c r="N2954" s="30"/>
      <c r="O2954" s="30"/>
      <c r="P2954" s="30"/>
      <c r="Q2954" s="30"/>
      <c r="R2954" s="30"/>
      <c r="S2954" s="30"/>
      <c r="T2954" s="30"/>
      <c r="U2954" s="32"/>
      <c r="V2954" s="32"/>
      <c r="W2954" s="32"/>
      <c r="X2954" s="32"/>
      <c r="Y2954" s="32"/>
    </row>
    <row r="2955" spans="1:25" x14ac:dyDescent="0.2">
      <c r="A2955" s="30"/>
      <c r="B2955" s="30"/>
      <c r="C2955" s="30"/>
      <c r="D2955" s="30"/>
      <c r="E2955" s="30"/>
      <c r="F2955" s="30"/>
      <c r="G2955" s="30"/>
      <c r="H2955" s="30"/>
      <c r="I2955" s="30"/>
      <c r="J2955" s="30"/>
      <c r="K2955" s="30"/>
      <c r="L2955" s="30"/>
      <c r="M2955" s="30"/>
      <c r="N2955" s="30"/>
      <c r="O2955" s="30"/>
      <c r="P2955" s="30"/>
      <c r="Q2955" s="30"/>
      <c r="R2955" s="30"/>
      <c r="S2955" s="30"/>
      <c r="T2955" s="30"/>
      <c r="U2955" s="32"/>
      <c r="V2955" s="32"/>
      <c r="W2955" s="32"/>
      <c r="X2955" s="32"/>
      <c r="Y2955" s="32"/>
    </row>
    <row r="2956" spans="1:25" x14ac:dyDescent="0.2">
      <c r="A2956" s="30"/>
      <c r="B2956" s="30"/>
      <c r="C2956" s="30"/>
      <c r="D2956" s="30"/>
      <c r="E2956" s="30"/>
      <c r="F2956" s="30"/>
      <c r="G2956" s="30"/>
      <c r="H2956" s="30"/>
      <c r="I2956" s="30"/>
      <c r="J2956" s="30"/>
      <c r="K2956" s="30"/>
      <c r="L2956" s="30"/>
      <c r="M2956" s="30"/>
      <c r="N2956" s="30"/>
      <c r="O2956" s="30"/>
      <c r="P2956" s="30"/>
      <c r="Q2956" s="30"/>
      <c r="R2956" s="30"/>
      <c r="S2956" s="30"/>
      <c r="T2956" s="30"/>
      <c r="U2956" s="32"/>
      <c r="V2956" s="32"/>
      <c r="W2956" s="32"/>
      <c r="X2956" s="32"/>
      <c r="Y2956" s="32"/>
    </row>
    <row r="2957" spans="1:25" x14ac:dyDescent="0.2">
      <c r="A2957" s="30"/>
      <c r="B2957" s="30"/>
      <c r="C2957" s="30"/>
      <c r="D2957" s="30"/>
      <c r="E2957" s="30"/>
      <c r="F2957" s="30"/>
      <c r="G2957" s="30"/>
      <c r="H2957" s="30"/>
      <c r="I2957" s="30"/>
      <c r="J2957" s="30"/>
      <c r="K2957" s="30"/>
      <c r="L2957" s="30"/>
      <c r="M2957" s="30"/>
      <c r="N2957" s="30"/>
      <c r="O2957" s="30"/>
      <c r="P2957" s="30"/>
      <c r="Q2957" s="30"/>
      <c r="R2957" s="30"/>
      <c r="S2957" s="30"/>
      <c r="T2957" s="30"/>
      <c r="U2957" s="32"/>
      <c r="V2957" s="32"/>
      <c r="W2957" s="32"/>
      <c r="X2957" s="32"/>
      <c r="Y2957" s="32"/>
    </row>
    <row r="2958" spans="1:25" x14ac:dyDescent="0.2">
      <c r="A2958" s="30"/>
      <c r="B2958" s="30"/>
      <c r="C2958" s="30"/>
      <c r="D2958" s="30"/>
      <c r="E2958" s="30"/>
      <c r="F2958" s="30"/>
      <c r="G2958" s="30"/>
      <c r="H2958" s="30"/>
      <c r="I2958" s="30"/>
      <c r="J2958" s="30"/>
      <c r="K2958" s="30"/>
      <c r="L2958" s="30"/>
      <c r="M2958" s="30"/>
      <c r="N2958" s="30"/>
      <c r="O2958" s="30"/>
      <c r="P2958" s="30"/>
      <c r="Q2958" s="30"/>
      <c r="R2958" s="30"/>
      <c r="S2958" s="30"/>
      <c r="T2958" s="30"/>
      <c r="U2958" s="32"/>
      <c r="V2958" s="32"/>
      <c r="W2958" s="32"/>
      <c r="X2958" s="32"/>
      <c r="Y2958" s="32"/>
    </row>
    <row r="2959" spans="1:25" x14ac:dyDescent="0.2">
      <c r="A2959" s="30"/>
      <c r="B2959" s="30"/>
      <c r="C2959" s="30"/>
      <c r="D2959" s="30"/>
      <c r="E2959" s="30"/>
      <c r="F2959" s="30"/>
      <c r="G2959" s="30"/>
      <c r="H2959" s="30"/>
      <c r="I2959" s="30"/>
      <c r="J2959" s="30"/>
      <c r="K2959" s="30"/>
      <c r="L2959" s="30"/>
      <c r="M2959" s="30"/>
      <c r="N2959" s="30"/>
      <c r="O2959" s="30"/>
      <c r="P2959" s="30"/>
      <c r="Q2959" s="30"/>
      <c r="R2959" s="30"/>
      <c r="S2959" s="30"/>
      <c r="T2959" s="30"/>
      <c r="U2959" s="32"/>
      <c r="V2959" s="32"/>
      <c r="W2959" s="32"/>
      <c r="X2959" s="32"/>
      <c r="Y2959" s="32"/>
    </row>
    <row r="2960" spans="1:25" x14ac:dyDescent="0.2">
      <c r="A2960" s="30"/>
      <c r="B2960" s="30"/>
      <c r="C2960" s="30"/>
      <c r="D2960" s="30"/>
      <c r="E2960" s="30"/>
      <c r="F2960" s="30"/>
      <c r="G2960" s="30"/>
      <c r="H2960" s="30"/>
      <c r="I2960" s="30"/>
      <c r="J2960" s="30"/>
      <c r="K2960" s="30"/>
      <c r="L2960" s="30"/>
      <c r="M2960" s="30"/>
      <c r="N2960" s="30"/>
      <c r="O2960" s="30"/>
      <c r="P2960" s="30"/>
      <c r="Q2960" s="30"/>
      <c r="R2960" s="30"/>
      <c r="S2960" s="30"/>
      <c r="T2960" s="30"/>
      <c r="U2960" s="32"/>
      <c r="V2960" s="32"/>
      <c r="W2960" s="32"/>
      <c r="X2960" s="32"/>
      <c r="Y2960" s="32"/>
    </row>
    <row r="2961" spans="1:25" x14ac:dyDescent="0.2">
      <c r="A2961" s="30"/>
      <c r="B2961" s="30"/>
      <c r="C2961" s="30"/>
      <c r="D2961" s="30"/>
      <c r="E2961" s="30"/>
      <c r="F2961" s="30"/>
      <c r="G2961" s="30"/>
      <c r="H2961" s="30"/>
      <c r="I2961" s="30"/>
      <c r="J2961" s="30"/>
      <c r="K2961" s="30"/>
      <c r="L2961" s="30"/>
      <c r="M2961" s="30"/>
      <c r="N2961" s="30"/>
      <c r="O2961" s="30"/>
      <c r="P2961" s="30"/>
      <c r="Q2961" s="30"/>
      <c r="R2961" s="30"/>
      <c r="S2961" s="30"/>
      <c r="T2961" s="30"/>
      <c r="U2961" s="32"/>
      <c r="V2961" s="32"/>
      <c r="W2961" s="32"/>
      <c r="X2961" s="32"/>
      <c r="Y2961" s="32"/>
    </row>
    <row r="2962" spans="1:25" x14ac:dyDescent="0.2">
      <c r="A2962" s="30"/>
      <c r="B2962" s="30"/>
      <c r="C2962" s="30"/>
      <c r="D2962" s="30"/>
      <c r="E2962" s="30"/>
      <c r="F2962" s="30"/>
      <c r="G2962" s="30"/>
      <c r="H2962" s="30"/>
      <c r="I2962" s="30"/>
      <c r="J2962" s="30"/>
      <c r="K2962" s="30"/>
      <c r="L2962" s="30"/>
      <c r="M2962" s="30"/>
      <c r="N2962" s="30"/>
      <c r="O2962" s="30"/>
      <c r="P2962" s="30"/>
      <c r="Q2962" s="30"/>
      <c r="R2962" s="30"/>
      <c r="S2962" s="30"/>
      <c r="T2962" s="30"/>
      <c r="U2962" s="32"/>
      <c r="V2962" s="32"/>
      <c r="W2962" s="32"/>
      <c r="X2962" s="32"/>
      <c r="Y2962" s="32"/>
    </row>
    <row r="2963" spans="1:25" x14ac:dyDescent="0.2">
      <c r="A2963" s="30"/>
      <c r="B2963" s="30"/>
      <c r="C2963" s="30"/>
      <c r="D2963" s="30"/>
      <c r="E2963" s="30"/>
      <c r="F2963" s="30"/>
      <c r="G2963" s="30"/>
      <c r="H2963" s="30"/>
      <c r="I2963" s="30"/>
      <c r="J2963" s="30"/>
      <c r="K2963" s="30"/>
      <c r="L2963" s="30"/>
      <c r="M2963" s="30"/>
      <c r="N2963" s="30"/>
      <c r="O2963" s="30"/>
      <c r="P2963" s="30"/>
      <c r="Q2963" s="30"/>
      <c r="R2963" s="30"/>
      <c r="S2963" s="30"/>
      <c r="T2963" s="30"/>
      <c r="U2963" s="32"/>
      <c r="V2963" s="32"/>
      <c r="W2963" s="32"/>
      <c r="X2963" s="32"/>
      <c r="Y2963" s="32"/>
    </row>
    <row r="2964" spans="1:25" x14ac:dyDescent="0.2">
      <c r="A2964" s="30"/>
      <c r="B2964" s="30"/>
      <c r="C2964" s="30"/>
      <c r="D2964" s="30"/>
      <c r="E2964" s="30"/>
      <c r="F2964" s="30"/>
      <c r="G2964" s="30"/>
      <c r="H2964" s="30"/>
      <c r="I2964" s="30"/>
      <c r="J2964" s="30"/>
      <c r="K2964" s="30"/>
      <c r="L2964" s="30"/>
      <c r="M2964" s="30"/>
      <c r="N2964" s="30"/>
      <c r="O2964" s="30"/>
      <c r="P2964" s="30"/>
      <c r="Q2964" s="30"/>
      <c r="R2964" s="30"/>
      <c r="S2964" s="30"/>
      <c r="T2964" s="30"/>
      <c r="U2964" s="32"/>
      <c r="V2964" s="32"/>
      <c r="W2964" s="32"/>
      <c r="X2964" s="32"/>
      <c r="Y2964" s="32"/>
    </row>
    <row r="2965" spans="1:25" x14ac:dyDescent="0.2">
      <c r="A2965" s="30"/>
      <c r="B2965" s="30"/>
      <c r="C2965" s="30"/>
      <c r="D2965" s="30"/>
      <c r="E2965" s="30"/>
      <c r="F2965" s="30"/>
      <c r="G2965" s="30"/>
      <c r="H2965" s="30"/>
      <c r="I2965" s="30"/>
      <c r="J2965" s="30"/>
      <c r="K2965" s="30"/>
      <c r="L2965" s="30"/>
      <c r="M2965" s="30"/>
      <c r="N2965" s="30"/>
      <c r="O2965" s="30"/>
      <c r="P2965" s="30"/>
      <c r="Q2965" s="30"/>
      <c r="R2965" s="30"/>
      <c r="S2965" s="30"/>
      <c r="T2965" s="30"/>
      <c r="U2965" s="32"/>
      <c r="V2965" s="32"/>
      <c r="W2965" s="32"/>
      <c r="X2965" s="32"/>
      <c r="Y2965" s="32"/>
    </row>
    <row r="2966" spans="1:25" x14ac:dyDescent="0.2">
      <c r="A2966" s="30"/>
      <c r="B2966" s="30"/>
      <c r="C2966" s="30"/>
      <c r="D2966" s="30"/>
      <c r="E2966" s="30"/>
      <c r="F2966" s="30"/>
      <c r="G2966" s="30"/>
      <c r="H2966" s="30"/>
      <c r="I2966" s="30"/>
      <c r="J2966" s="30"/>
      <c r="K2966" s="30"/>
      <c r="L2966" s="30"/>
      <c r="M2966" s="30"/>
      <c r="N2966" s="30"/>
      <c r="O2966" s="30"/>
      <c r="P2966" s="30"/>
      <c r="Q2966" s="30"/>
      <c r="R2966" s="30"/>
      <c r="S2966" s="30"/>
      <c r="T2966" s="30"/>
      <c r="U2966" s="32"/>
      <c r="V2966" s="32"/>
      <c r="W2966" s="32"/>
      <c r="X2966" s="32"/>
      <c r="Y2966" s="32"/>
    </row>
    <row r="2967" spans="1:25" x14ac:dyDescent="0.2">
      <c r="A2967" s="30"/>
      <c r="B2967" s="30"/>
      <c r="C2967" s="30"/>
      <c r="D2967" s="30"/>
      <c r="E2967" s="30"/>
      <c r="F2967" s="30"/>
      <c r="G2967" s="30"/>
      <c r="H2967" s="30"/>
      <c r="I2967" s="30"/>
      <c r="J2967" s="30"/>
      <c r="K2967" s="30"/>
      <c r="L2967" s="30"/>
      <c r="M2967" s="30"/>
      <c r="N2967" s="30"/>
      <c r="O2967" s="30"/>
      <c r="P2967" s="30"/>
      <c r="Q2967" s="30"/>
      <c r="R2967" s="30"/>
      <c r="S2967" s="30"/>
      <c r="T2967" s="30"/>
      <c r="U2967" s="32"/>
      <c r="V2967" s="32"/>
      <c r="W2967" s="32"/>
      <c r="X2967" s="32"/>
      <c r="Y2967" s="32"/>
    </row>
    <row r="2968" spans="1:25" x14ac:dyDescent="0.2">
      <c r="A2968" s="30"/>
      <c r="B2968" s="30"/>
      <c r="C2968" s="30"/>
      <c r="D2968" s="30"/>
      <c r="E2968" s="30"/>
      <c r="F2968" s="30"/>
      <c r="G2968" s="30"/>
      <c r="H2968" s="30"/>
      <c r="I2968" s="30"/>
      <c r="J2968" s="30"/>
      <c r="K2968" s="30"/>
      <c r="L2968" s="30"/>
      <c r="M2968" s="30"/>
      <c r="N2968" s="30"/>
      <c r="O2968" s="30"/>
      <c r="P2968" s="30"/>
      <c r="Q2968" s="30"/>
      <c r="R2968" s="30"/>
      <c r="S2968" s="30"/>
      <c r="T2968" s="30"/>
      <c r="U2968" s="32"/>
      <c r="V2968" s="32"/>
      <c r="W2968" s="32"/>
      <c r="X2968" s="32"/>
      <c r="Y2968" s="32"/>
    </row>
    <row r="2969" spans="1:25" x14ac:dyDescent="0.2">
      <c r="A2969" s="30"/>
      <c r="B2969" s="30"/>
      <c r="C2969" s="30"/>
      <c r="D2969" s="30"/>
      <c r="E2969" s="30"/>
      <c r="F2969" s="30"/>
      <c r="G2969" s="30"/>
      <c r="H2969" s="30"/>
      <c r="I2969" s="30"/>
      <c r="J2969" s="30"/>
      <c r="K2969" s="30"/>
      <c r="L2969" s="30"/>
      <c r="M2969" s="30"/>
      <c r="N2969" s="30"/>
      <c r="O2969" s="30"/>
      <c r="P2969" s="30"/>
      <c r="Q2969" s="30"/>
      <c r="R2969" s="30"/>
      <c r="S2969" s="30"/>
      <c r="T2969" s="30"/>
      <c r="U2969" s="32"/>
      <c r="V2969" s="32"/>
      <c r="W2969" s="32"/>
      <c r="X2969" s="32"/>
      <c r="Y2969" s="32"/>
    </row>
    <row r="2970" spans="1:25" x14ac:dyDescent="0.2">
      <c r="A2970" s="30"/>
      <c r="B2970" s="30"/>
      <c r="C2970" s="30"/>
      <c r="D2970" s="30"/>
      <c r="E2970" s="30"/>
      <c r="F2970" s="30"/>
      <c r="G2970" s="30"/>
      <c r="H2970" s="30"/>
      <c r="I2970" s="30"/>
      <c r="J2970" s="30"/>
      <c r="K2970" s="30"/>
      <c r="L2970" s="30"/>
      <c r="M2970" s="30"/>
      <c r="N2970" s="30"/>
      <c r="O2970" s="30"/>
      <c r="P2970" s="30"/>
      <c r="Q2970" s="30"/>
      <c r="R2970" s="30"/>
      <c r="S2970" s="30"/>
      <c r="T2970" s="30"/>
      <c r="U2970" s="32"/>
      <c r="V2970" s="32"/>
      <c r="W2970" s="32"/>
      <c r="X2970" s="32"/>
      <c r="Y2970" s="32"/>
    </row>
    <row r="2971" spans="1:25" x14ac:dyDescent="0.2">
      <c r="A2971" s="30"/>
      <c r="B2971" s="30"/>
      <c r="C2971" s="30"/>
      <c r="D2971" s="30"/>
      <c r="E2971" s="30"/>
      <c r="F2971" s="30"/>
      <c r="G2971" s="30"/>
      <c r="H2971" s="30"/>
      <c r="I2971" s="30"/>
      <c r="J2971" s="30"/>
      <c r="K2971" s="30"/>
      <c r="L2971" s="30"/>
      <c r="M2971" s="30"/>
      <c r="N2971" s="30"/>
      <c r="O2971" s="30"/>
      <c r="P2971" s="30"/>
      <c r="Q2971" s="30"/>
      <c r="R2971" s="30"/>
      <c r="S2971" s="30"/>
      <c r="T2971" s="30"/>
      <c r="U2971" s="32"/>
      <c r="V2971" s="32"/>
      <c r="W2971" s="32"/>
      <c r="X2971" s="32"/>
      <c r="Y2971" s="32"/>
    </row>
    <row r="2972" spans="1:25" x14ac:dyDescent="0.2">
      <c r="A2972" s="30"/>
      <c r="B2972" s="30"/>
      <c r="C2972" s="30"/>
      <c r="D2972" s="30"/>
      <c r="E2972" s="30"/>
      <c r="F2972" s="30"/>
      <c r="G2972" s="30"/>
      <c r="H2972" s="30"/>
      <c r="I2972" s="30"/>
      <c r="J2972" s="30"/>
      <c r="K2972" s="30"/>
      <c r="L2972" s="30"/>
      <c r="M2972" s="30"/>
      <c r="N2972" s="30"/>
      <c r="O2972" s="30"/>
      <c r="P2972" s="30"/>
      <c r="Q2972" s="30"/>
      <c r="R2972" s="30"/>
      <c r="S2972" s="30"/>
      <c r="T2972" s="30"/>
      <c r="U2972" s="32"/>
      <c r="V2972" s="32"/>
      <c r="W2972" s="32"/>
      <c r="X2972" s="32"/>
      <c r="Y2972" s="32"/>
    </row>
    <row r="2973" spans="1:25" x14ac:dyDescent="0.2">
      <c r="A2973" s="30"/>
      <c r="B2973" s="30"/>
      <c r="C2973" s="30"/>
      <c r="D2973" s="30"/>
      <c r="E2973" s="30"/>
      <c r="F2973" s="30"/>
      <c r="G2973" s="30"/>
      <c r="H2973" s="30"/>
      <c r="I2973" s="30"/>
      <c r="J2973" s="30"/>
      <c r="K2973" s="30"/>
      <c r="L2973" s="30"/>
      <c r="M2973" s="30"/>
      <c r="N2973" s="30"/>
      <c r="O2973" s="30"/>
      <c r="P2973" s="30"/>
      <c r="Q2973" s="30"/>
      <c r="R2973" s="30"/>
      <c r="S2973" s="30"/>
      <c r="T2973" s="30"/>
      <c r="U2973" s="32"/>
      <c r="V2973" s="32"/>
      <c r="W2973" s="32"/>
      <c r="X2973" s="32"/>
      <c r="Y2973" s="32"/>
    </row>
    <row r="2974" spans="1:25" x14ac:dyDescent="0.2">
      <c r="A2974" s="30"/>
      <c r="B2974" s="30"/>
      <c r="C2974" s="30"/>
      <c r="D2974" s="30"/>
      <c r="E2974" s="30"/>
      <c r="F2974" s="30"/>
      <c r="G2974" s="30"/>
      <c r="H2974" s="30"/>
      <c r="I2974" s="30"/>
      <c r="J2974" s="30"/>
      <c r="K2974" s="30"/>
      <c r="L2974" s="30"/>
      <c r="M2974" s="30"/>
      <c r="N2974" s="30"/>
      <c r="O2974" s="30"/>
      <c r="P2974" s="30"/>
      <c r="Q2974" s="30"/>
      <c r="R2974" s="30"/>
      <c r="S2974" s="30"/>
      <c r="T2974" s="30"/>
      <c r="U2974" s="32"/>
      <c r="V2974" s="32"/>
      <c r="W2974" s="32"/>
      <c r="X2974" s="32"/>
      <c r="Y2974" s="32"/>
    </row>
    <row r="2975" spans="1:25" x14ac:dyDescent="0.2">
      <c r="A2975" s="30"/>
      <c r="B2975" s="30"/>
      <c r="C2975" s="30"/>
      <c r="D2975" s="30"/>
      <c r="E2975" s="30"/>
      <c r="F2975" s="30"/>
      <c r="G2975" s="30"/>
      <c r="H2975" s="30"/>
      <c r="I2975" s="30"/>
      <c r="J2975" s="30"/>
      <c r="K2975" s="30"/>
      <c r="L2975" s="30"/>
      <c r="M2975" s="30"/>
      <c r="N2975" s="30"/>
      <c r="O2975" s="30"/>
      <c r="P2975" s="30"/>
      <c r="Q2975" s="30"/>
      <c r="R2975" s="30"/>
      <c r="S2975" s="30"/>
      <c r="T2975" s="30"/>
      <c r="U2975" s="32"/>
      <c r="V2975" s="32"/>
      <c r="W2975" s="32"/>
      <c r="X2975" s="32"/>
      <c r="Y2975" s="32"/>
    </row>
    <row r="2976" spans="1:25" x14ac:dyDescent="0.2">
      <c r="A2976" s="30"/>
      <c r="B2976" s="30"/>
      <c r="C2976" s="30"/>
      <c r="D2976" s="30"/>
      <c r="E2976" s="30"/>
      <c r="F2976" s="30"/>
      <c r="G2976" s="30"/>
      <c r="H2976" s="30"/>
      <c r="I2976" s="30"/>
      <c r="J2976" s="30"/>
      <c r="K2976" s="30"/>
      <c r="L2976" s="30"/>
      <c r="M2976" s="30"/>
      <c r="N2976" s="30"/>
      <c r="O2976" s="30"/>
      <c r="P2976" s="30"/>
      <c r="Q2976" s="30"/>
      <c r="R2976" s="30"/>
      <c r="S2976" s="30"/>
      <c r="T2976" s="30"/>
      <c r="U2976" s="32"/>
      <c r="V2976" s="32"/>
      <c r="W2976" s="32"/>
      <c r="X2976" s="32"/>
      <c r="Y2976" s="32"/>
    </row>
    <row r="2977" spans="1:25" x14ac:dyDescent="0.2">
      <c r="A2977" s="30"/>
      <c r="B2977" s="30"/>
      <c r="C2977" s="30"/>
      <c r="D2977" s="30"/>
      <c r="E2977" s="30"/>
      <c r="F2977" s="30"/>
      <c r="G2977" s="30"/>
      <c r="H2977" s="30"/>
      <c r="I2977" s="30"/>
      <c r="J2977" s="30"/>
      <c r="K2977" s="30"/>
      <c r="L2977" s="30"/>
      <c r="M2977" s="30"/>
      <c r="N2977" s="30"/>
      <c r="O2977" s="30"/>
      <c r="P2977" s="30"/>
      <c r="Q2977" s="30"/>
      <c r="R2977" s="30"/>
      <c r="S2977" s="30"/>
      <c r="T2977" s="30"/>
      <c r="U2977" s="32"/>
      <c r="V2977" s="32"/>
      <c r="W2977" s="32"/>
      <c r="X2977" s="32"/>
      <c r="Y2977" s="32"/>
    </row>
    <row r="2978" spans="1:25" x14ac:dyDescent="0.2">
      <c r="A2978" s="30"/>
      <c r="B2978" s="30"/>
      <c r="C2978" s="30"/>
      <c r="D2978" s="30"/>
      <c r="E2978" s="30"/>
      <c r="F2978" s="30"/>
      <c r="G2978" s="30"/>
      <c r="H2978" s="30"/>
      <c r="I2978" s="30"/>
      <c r="J2978" s="30"/>
      <c r="K2978" s="30"/>
      <c r="L2978" s="30"/>
      <c r="M2978" s="30"/>
      <c r="N2978" s="30"/>
      <c r="O2978" s="30"/>
      <c r="P2978" s="30"/>
      <c r="Q2978" s="30"/>
      <c r="R2978" s="30"/>
      <c r="S2978" s="30"/>
      <c r="T2978" s="30"/>
      <c r="U2978" s="32"/>
      <c r="V2978" s="32"/>
      <c r="W2978" s="32"/>
      <c r="X2978" s="32"/>
      <c r="Y2978" s="32"/>
    </row>
    <row r="2979" spans="1:25" x14ac:dyDescent="0.2">
      <c r="A2979" s="30"/>
      <c r="B2979" s="30"/>
      <c r="C2979" s="30"/>
      <c r="D2979" s="30"/>
      <c r="E2979" s="30"/>
      <c r="F2979" s="30"/>
      <c r="G2979" s="30"/>
      <c r="H2979" s="30"/>
      <c r="I2979" s="30"/>
      <c r="J2979" s="30"/>
      <c r="K2979" s="30"/>
      <c r="L2979" s="30"/>
      <c r="M2979" s="30"/>
      <c r="N2979" s="30"/>
      <c r="O2979" s="30"/>
      <c r="P2979" s="30"/>
      <c r="Q2979" s="30"/>
      <c r="R2979" s="30"/>
      <c r="S2979" s="30"/>
      <c r="T2979" s="30"/>
      <c r="U2979" s="32"/>
      <c r="V2979" s="32"/>
      <c r="W2979" s="32"/>
      <c r="X2979" s="32"/>
      <c r="Y2979" s="32"/>
    </row>
    <row r="2980" spans="1:25" x14ac:dyDescent="0.2">
      <c r="A2980" s="30"/>
      <c r="B2980" s="30"/>
      <c r="C2980" s="30"/>
      <c r="D2980" s="30"/>
      <c r="E2980" s="30"/>
      <c r="F2980" s="30"/>
      <c r="G2980" s="30"/>
      <c r="H2980" s="30"/>
      <c r="I2980" s="30"/>
      <c r="J2980" s="30"/>
      <c r="K2980" s="30"/>
      <c r="L2980" s="30"/>
      <c r="M2980" s="30"/>
      <c r="N2980" s="30"/>
      <c r="O2980" s="30"/>
      <c r="P2980" s="30"/>
      <c r="Q2980" s="30"/>
      <c r="R2980" s="30"/>
      <c r="S2980" s="30"/>
      <c r="T2980" s="30"/>
      <c r="U2980" s="32"/>
      <c r="V2980" s="32"/>
      <c r="W2980" s="32"/>
      <c r="X2980" s="32"/>
      <c r="Y2980" s="32"/>
    </row>
    <row r="2981" spans="1:25" x14ac:dyDescent="0.2">
      <c r="A2981" s="30"/>
      <c r="B2981" s="30"/>
      <c r="C2981" s="30"/>
      <c r="D2981" s="30"/>
      <c r="E2981" s="30"/>
      <c r="F2981" s="30"/>
      <c r="G2981" s="30"/>
      <c r="H2981" s="30"/>
      <c r="I2981" s="30"/>
      <c r="J2981" s="30"/>
      <c r="K2981" s="30"/>
      <c r="L2981" s="30"/>
      <c r="M2981" s="30"/>
      <c r="N2981" s="30"/>
      <c r="O2981" s="30"/>
      <c r="P2981" s="30"/>
      <c r="Q2981" s="30"/>
      <c r="R2981" s="30"/>
      <c r="S2981" s="30"/>
      <c r="T2981" s="30"/>
      <c r="U2981" s="32"/>
      <c r="V2981" s="32"/>
      <c r="W2981" s="32"/>
      <c r="X2981" s="32"/>
      <c r="Y2981" s="32"/>
    </row>
    <row r="2982" spans="1:25" x14ac:dyDescent="0.2">
      <c r="A2982" s="30"/>
      <c r="B2982" s="30"/>
      <c r="C2982" s="30"/>
      <c r="D2982" s="30"/>
      <c r="E2982" s="30"/>
      <c r="F2982" s="30"/>
      <c r="G2982" s="30"/>
      <c r="H2982" s="30"/>
      <c r="I2982" s="30"/>
      <c r="J2982" s="30"/>
      <c r="K2982" s="30"/>
      <c r="L2982" s="30"/>
      <c r="M2982" s="30"/>
      <c r="N2982" s="30"/>
      <c r="O2982" s="30"/>
      <c r="P2982" s="30"/>
      <c r="Q2982" s="30"/>
      <c r="R2982" s="30"/>
      <c r="S2982" s="30"/>
      <c r="T2982" s="30"/>
      <c r="U2982" s="32"/>
      <c r="V2982" s="32"/>
      <c r="W2982" s="32"/>
      <c r="X2982" s="32"/>
      <c r="Y2982" s="32"/>
    </row>
    <row r="2983" spans="1:25" x14ac:dyDescent="0.2">
      <c r="A2983" s="30"/>
      <c r="B2983" s="30"/>
      <c r="C2983" s="30"/>
      <c r="D2983" s="30"/>
      <c r="E2983" s="30"/>
      <c r="F2983" s="30"/>
      <c r="G2983" s="30"/>
      <c r="H2983" s="30"/>
      <c r="I2983" s="30"/>
      <c r="J2983" s="30"/>
      <c r="K2983" s="30"/>
      <c r="L2983" s="30"/>
      <c r="M2983" s="30"/>
      <c r="N2983" s="30"/>
      <c r="O2983" s="30"/>
      <c r="P2983" s="30"/>
      <c r="Q2983" s="30"/>
      <c r="R2983" s="30"/>
      <c r="S2983" s="30"/>
      <c r="T2983" s="30"/>
      <c r="U2983" s="32"/>
      <c r="V2983" s="32"/>
      <c r="W2983" s="32"/>
      <c r="X2983" s="32"/>
      <c r="Y2983" s="32"/>
    </row>
    <row r="2984" spans="1:25" x14ac:dyDescent="0.2">
      <c r="A2984" s="30"/>
      <c r="B2984" s="30"/>
      <c r="C2984" s="30"/>
      <c r="D2984" s="30"/>
      <c r="E2984" s="30"/>
      <c r="F2984" s="30"/>
      <c r="G2984" s="30"/>
      <c r="H2984" s="30"/>
      <c r="I2984" s="30"/>
      <c r="J2984" s="30"/>
      <c r="K2984" s="30"/>
      <c r="L2984" s="30"/>
      <c r="M2984" s="30"/>
      <c r="N2984" s="30"/>
      <c r="O2984" s="30"/>
      <c r="P2984" s="30"/>
      <c r="Q2984" s="30"/>
      <c r="R2984" s="30"/>
      <c r="S2984" s="30"/>
      <c r="T2984" s="30"/>
      <c r="U2984" s="32"/>
      <c r="V2984" s="32"/>
      <c r="W2984" s="32"/>
      <c r="X2984" s="32"/>
      <c r="Y2984" s="32"/>
    </row>
    <row r="2985" spans="1:25" x14ac:dyDescent="0.2">
      <c r="A2985" s="30"/>
      <c r="B2985" s="30"/>
      <c r="C2985" s="30"/>
      <c r="D2985" s="30"/>
      <c r="E2985" s="30"/>
      <c r="F2985" s="30"/>
      <c r="G2985" s="30"/>
      <c r="H2985" s="30"/>
      <c r="I2985" s="30"/>
      <c r="J2985" s="30"/>
      <c r="K2985" s="30"/>
      <c r="L2985" s="30"/>
      <c r="M2985" s="30"/>
      <c r="N2985" s="30"/>
      <c r="O2985" s="30"/>
      <c r="P2985" s="30"/>
      <c r="Q2985" s="30"/>
      <c r="R2985" s="30"/>
      <c r="S2985" s="30"/>
      <c r="T2985" s="30"/>
      <c r="U2985" s="32"/>
      <c r="V2985" s="32"/>
      <c r="W2985" s="32"/>
      <c r="X2985" s="32"/>
      <c r="Y2985" s="32"/>
    </row>
    <row r="2986" spans="1:25" x14ac:dyDescent="0.2">
      <c r="A2986" s="30"/>
      <c r="B2986" s="30"/>
      <c r="C2986" s="30"/>
      <c r="D2986" s="30"/>
      <c r="E2986" s="30"/>
      <c r="F2986" s="30"/>
      <c r="G2986" s="30"/>
      <c r="H2986" s="30"/>
      <c r="I2986" s="30"/>
      <c r="J2986" s="30"/>
      <c r="K2986" s="30"/>
      <c r="L2986" s="30"/>
      <c r="M2986" s="30"/>
      <c r="N2986" s="30"/>
      <c r="O2986" s="30"/>
      <c r="P2986" s="30"/>
      <c r="Q2986" s="30"/>
      <c r="R2986" s="30"/>
      <c r="S2986" s="30"/>
      <c r="T2986" s="30"/>
      <c r="U2986" s="32"/>
      <c r="V2986" s="32"/>
      <c r="W2986" s="32"/>
      <c r="X2986" s="32"/>
      <c r="Y2986" s="32"/>
    </row>
    <row r="2987" spans="1:25" x14ac:dyDescent="0.2">
      <c r="A2987" s="30"/>
      <c r="B2987" s="30"/>
      <c r="C2987" s="30"/>
      <c r="D2987" s="30"/>
      <c r="E2987" s="30"/>
      <c r="F2987" s="30"/>
      <c r="G2987" s="30"/>
      <c r="H2987" s="30"/>
      <c r="I2987" s="30"/>
      <c r="J2987" s="30"/>
      <c r="K2987" s="30"/>
      <c r="L2987" s="30"/>
      <c r="M2987" s="30"/>
      <c r="N2987" s="30"/>
      <c r="O2987" s="30"/>
      <c r="P2987" s="30"/>
      <c r="Q2987" s="30"/>
      <c r="R2987" s="30"/>
      <c r="S2987" s="30"/>
      <c r="T2987" s="30"/>
      <c r="U2987" s="32"/>
      <c r="V2987" s="32"/>
      <c r="W2987" s="32"/>
      <c r="X2987" s="32"/>
      <c r="Y2987" s="32"/>
    </row>
    <row r="2988" spans="1:25" x14ac:dyDescent="0.2">
      <c r="A2988" s="30"/>
      <c r="B2988" s="30"/>
      <c r="C2988" s="30"/>
      <c r="D2988" s="30"/>
      <c r="E2988" s="30"/>
      <c r="F2988" s="30"/>
      <c r="G2988" s="30"/>
      <c r="H2988" s="30"/>
      <c r="I2988" s="30"/>
      <c r="J2988" s="30"/>
      <c r="K2988" s="30"/>
      <c r="L2988" s="30"/>
      <c r="M2988" s="30"/>
      <c r="N2988" s="30"/>
      <c r="O2988" s="30"/>
      <c r="P2988" s="30"/>
      <c r="Q2988" s="30"/>
      <c r="R2988" s="30"/>
      <c r="S2988" s="30"/>
      <c r="T2988" s="30"/>
      <c r="U2988" s="32"/>
      <c r="V2988" s="32"/>
      <c r="W2988" s="32"/>
      <c r="X2988" s="32"/>
      <c r="Y2988" s="32"/>
    </row>
    <row r="2989" spans="1:25" x14ac:dyDescent="0.2">
      <c r="A2989" s="30"/>
      <c r="B2989" s="30"/>
      <c r="C2989" s="30"/>
      <c r="D2989" s="30"/>
      <c r="E2989" s="30"/>
      <c r="F2989" s="30"/>
      <c r="G2989" s="30"/>
      <c r="H2989" s="30"/>
      <c r="I2989" s="30"/>
      <c r="J2989" s="30"/>
      <c r="K2989" s="30"/>
      <c r="L2989" s="30"/>
      <c r="M2989" s="30"/>
      <c r="N2989" s="30"/>
      <c r="O2989" s="30"/>
      <c r="P2989" s="30"/>
      <c r="Q2989" s="30"/>
      <c r="R2989" s="30"/>
      <c r="S2989" s="30"/>
      <c r="T2989" s="30"/>
      <c r="U2989" s="32"/>
      <c r="V2989" s="32"/>
      <c r="W2989" s="32"/>
      <c r="X2989" s="32"/>
      <c r="Y2989" s="32"/>
    </row>
    <row r="2990" spans="1:25" x14ac:dyDescent="0.2">
      <c r="A2990" s="30"/>
      <c r="B2990" s="30"/>
      <c r="C2990" s="30"/>
      <c r="D2990" s="30"/>
      <c r="E2990" s="30"/>
      <c r="F2990" s="30"/>
      <c r="G2990" s="30"/>
      <c r="H2990" s="30"/>
      <c r="I2990" s="30"/>
      <c r="J2990" s="30"/>
      <c r="K2990" s="30"/>
      <c r="L2990" s="30"/>
      <c r="M2990" s="30"/>
      <c r="N2990" s="30"/>
      <c r="O2990" s="30"/>
      <c r="P2990" s="30"/>
      <c r="Q2990" s="30"/>
      <c r="R2990" s="30"/>
      <c r="S2990" s="30"/>
      <c r="T2990" s="30"/>
      <c r="U2990" s="32"/>
      <c r="V2990" s="32"/>
      <c r="W2990" s="32"/>
      <c r="X2990" s="32"/>
      <c r="Y2990" s="32"/>
    </row>
    <row r="2991" spans="1:25" x14ac:dyDescent="0.2">
      <c r="A2991" s="30"/>
      <c r="B2991" s="30"/>
      <c r="C2991" s="30"/>
      <c r="D2991" s="30"/>
      <c r="E2991" s="30"/>
      <c r="F2991" s="30"/>
      <c r="G2991" s="30"/>
      <c r="H2991" s="30"/>
      <c r="I2991" s="30"/>
      <c r="J2991" s="30"/>
      <c r="K2991" s="30"/>
      <c r="L2991" s="30"/>
      <c r="M2991" s="30"/>
      <c r="N2991" s="30"/>
      <c r="O2991" s="30"/>
      <c r="P2991" s="30"/>
      <c r="Q2991" s="30"/>
      <c r="R2991" s="30"/>
      <c r="S2991" s="30"/>
      <c r="T2991" s="30"/>
      <c r="U2991" s="32"/>
      <c r="V2991" s="32"/>
      <c r="W2991" s="32"/>
      <c r="X2991" s="32"/>
      <c r="Y2991" s="32"/>
    </row>
    <row r="2992" spans="1:25" x14ac:dyDescent="0.2">
      <c r="A2992" s="30"/>
      <c r="B2992" s="30"/>
      <c r="C2992" s="30"/>
      <c r="D2992" s="30"/>
      <c r="E2992" s="30"/>
      <c r="F2992" s="30"/>
      <c r="G2992" s="30"/>
      <c r="H2992" s="30"/>
      <c r="I2992" s="30"/>
      <c r="J2992" s="30"/>
      <c r="K2992" s="30"/>
      <c r="L2992" s="30"/>
      <c r="M2992" s="30"/>
      <c r="N2992" s="30"/>
      <c r="O2992" s="30"/>
      <c r="P2992" s="30"/>
      <c r="Q2992" s="30"/>
      <c r="R2992" s="30"/>
      <c r="S2992" s="30"/>
      <c r="T2992" s="30"/>
      <c r="U2992" s="32"/>
      <c r="V2992" s="32"/>
      <c r="W2992" s="32"/>
      <c r="X2992" s="32"/>
      <c r="Y2992" s="32"/>
    </row>
    <row r="2993" spans="1:27" x14ac:dyDescent="0.2">
      <c r="A2993" s="30"/>
      <c r="B2993" s="30"/>
      <c r="C2993" s="30"/>
      <c r="D2993" s="30"/>
      <c r="E2993" s="30"/>
      <c r="F2993" s="30"/>
      <c r="G2993" s="30"/>
      <c r="H2993" s="30"/>
      <c r="I2993" s="30"/>
      <c r="J2993" s="30"/>
      <c r="K2993" s="30"/>
      <c r="L2993" s="30"/>
      <c r="M2993" s="30"/>
      <c r="N2993" s="30"/>
      <c r="O2993" s="30"/>
      <c r="P2993" s="30"/>
      <c r="Q2993" s="30"/>
      <c r="R2993" s="30"/>
      <c r="S2993" s="30"/>
      <c r="T2993" s="30"/>
      <c r="U2993" s="32"/>
      <c r="V2993" s="32"/>
      <c r="W2993" s="32"/>
      <c r="X2993" s="32"/>
      <c r="Y2993" s="32"/>
    </row>
    <row r="2994" spans="1:27" x14ac:dyDescent="0.2">
      <c r="A2994" s="30"/>
      <c r="B2994" s="30"/>
      <c r="C2994" s="30"/>
      <c r="D2994" s="30"/>
      <c r="E2994" s="30"/>
      <c r="F2994" s="30"/>
      <c r="G2994" s="30"/>
      <c r="H2994" s="30"/>
      <c r="I2994" s="30"/>
      <c r="J2994" s="30"/>
      <c r="K2994" s="30"/>
      <c r="L2994" s="30"/>
      <c r="M2994" s="30"/>
      <c r="N2994" s="30"/>
      <c r="O2994" s="30"/>
      <c r="P2994" s="30"/>
      <c r="Q2994" s="30"/>
      <c r="R2994" s="30"/>
      <c r="S2994" s="30"/>
      <c r="T2994" s="30"/>
      <c r="U2994" s="32"/>
      <c r="V2994" s="32"/>
      <c r="W2994" s="32"/>
      <c r="X2994" s="32"/>
      <c r="Y2994" s="32"/>
    </row>
    <row r="2995" spans="1:27" x14ac:dyDescent="0.2">
      <c r="A2995" s="30"/>
      <c r="B2995" s="30"/>
      <c r="C2995" s="30"/>
      <c r="D2995" s="30"/>
      <c r="E2995" s="30"/>
      <c r="F2995" s="30"/>
      <c r="G2995" s="30"/>
      <c r="H2995" s="30"/>
      <c r="I2995" s="30"/>
      <c r="J2995" s="30"/>
      <c r="K2995" s="30"/>
      <c r="L2995" s="30"/>
      <c r="M2995" s="30"/>
      <c r="N2995" s="30"/>
      <c r="O2995" s="30"/>
      <c r="P2995" s="30"/>
      <c r="Q2995" s="30"/>
      <c r="R2995" s="30"/>
      <c r="S2995" s="30"/>
      <c r="T2995" s="30"/>
      <c r="U2995" s="32"/>
      <c r="V2995" s="32"/>
      <c r="W2995" s="32"/>
      <c r="X2995" s="32"/>
      <c r="Y2995" s="32"/>
    </row>
    <row r="2996" spans="1:27" x14ac:dyDescent="0.2">
      <c r="A2996" s="30"/>
      <c r="B2996" s="30"/>
      <c r="C2996" s="30"/>
      <c r="D2996" s="30"/>
      <c r="E2996" s="30"/>
      <c r="F2996" s="30"/>
      <c r="G2996" s="30"/>
      <c r="H2996" s="30"/>
      <c r="I2996" s="30"/>
      <c r="J2996" s="30"/>
      <c r="K2996" s="30"/>
      <c r="L2996" s="30"/>
      <c r="M2996" s="30"/>
      <c r="N2996" s="30"/>
      <c r="O2996" s="30"/>
      <c r="P2996" s="30"/>
      <c r="Q2996" s="30"/>
      <c r="R2996" s="30"/>
      <c r="S2996" s="30"/>
      <c r="T2996" s="30"/>
      <c r="U2996" s="32"/>
      <c r="V2996" s="32"/>
      <c r="W2996" s="32"/>
      <c r="X2996" s="32"/>
      <c r="Y2996" s="32"/>
    </row>
    <row r="2997" spans="1:27" x14ac:dyDescent="0.2">
      <c r="A2997" s="30"/>
      <c r="B2997" s="30"/>
      <c r="C2997" s="30"/>
      <c r="D2997" s="30"/>
      <c r="E2997" s="30"/>
      <c r="F2997" s="30"/>
      <c r="G2997" s="30"/>
      <c r="H2997" s="30"/>
      <c r="I2997" s="30"/>
      <c r="J2997" s="30"/>
      <c r="K2997" s="30"/>
      <c r="L2997" s="30"/>
      <c r="M2997" s="30"/>
      <c r="N2997" s="30"/>
      <c r="O2997" s="30"/>
      <c r="P2997" s="30"/>
      <c r="Q2997" s="30"/>
      <c r="R2997" s="30"/>
      <c r="S2997" s="30"/>
      <c r="T2997" s="30"/>
      <c r="U2997" s="32"/>
      <c r="V2997" s="32"/>
      <c r="W2997" s="32"/>
      <c r="X2997" s="32"/>
      <c r="Y2997" s="32"/>
    </row>
    <row r="2998" spans="1:27" x14ac:dyDescent="0.2">
      <c r="A2998" s="30"/>
      <c r="B2998" s="30"/>
      <c r="C2998" s="30"/>
      <c r="D2998" s="30"/>
      <c r="E2998" s="30"/>
      <c r="F2998" s="30"/>
      <c r="G2998" s="30"/>
      <c r="H2998" s="30"/>
      <c r="I2998" s="30"/>
      <c r="J2998" s="30"/>
      <c r="K2998" s="30"/>
      <c r="L2998" s="30"/>
      <c r="M2998" s="30"/>
      <c r="N2998" s="30"/>
      <c r="O2998" s="30"/>
      <c r="P2998" s="30"/>
      <c r="Q2998" s="30"/>
      <c r="R2998" s="30"/>
      <c r="S2998" s="30"/>
      <c r="T2998" s="30"/>
      <c r="U2998" s="32"/>
      <c r="V2998" s="32"/>
      <c r="W2998" s="32"/>
      <c r="X2998" s="32"/>
      <c r="Y2998" s="32"/>
    </row>
    <row r="2999" spans="1:27" x14ac:dyDescent="0.2">
      <c r="A2999" s="30"/>
      <c r="B2999" s="30"/>
      <c r="C2999" s="30"/>
      <c r="D2999" s="30"/>
      <c r="E2999" s="30"/>
      <c r="F2999" s="30"/>
      <c r="G2999" s="30"/>
      <c r="H2999" s="30"/>
      <c r="I2999" s="30"/>
      <c r="J2999" s="30"/>
      <c r="K2999" s="30"/>
      <c r="L2999" s="30"/>
      <c r="M2999" s="30"/>
      <c r="N2999" s="30"/>
      <c r="O2999" s="30"/>
      <c r="P2999" s="30"/>
      <c r="Q2999" s="30"/>
      <c r="R2999" s="30"/>
      <c r="S2999" s="30"/>
      <c r="T2999" s="30"/>
      <c r="U2999" s="32"/>
      <c r="V2999" s="32"/>
      <c r="W2999" s="32"/>
      <c r="X2999" s="32"/>
      <c r="Y2999" s="32"/>
    </row>
    <row r="3000" spans="1:27" x14ac:dyDescent="0.2">
      <c r="A3000" s="30"/>
      <c r="B3000" s="30"/>
      <c r="C3000" s="30"/>
      <c r="D3000" s="30"/>
      <c r="E3000" s="30"/>
      <c r="F3000" s="30"/>
      <c r="G3000" s="30"/>
      <c r="H3000" s="30"/>
      <c r="I3000" s="30"/>
      <c r="J3000" s="30"/>
      <c r="K3000" s="30"/>
      <c r="L3000" s="30"/>
      <c r="M3000" s="30"/>
      <c r="N3000" s="30"/>
      <c r="O3000" s="30"/>
      <c r="P3000" s="30"/>
      <c r="Q3000" s="30"/>
      <c r="R3000" s="30"/>
      <c r="S3000" s="30"/>
      <c r="T3000" s="30"/>
      <c r="U3000" s="32"/>
      <c r="V3000" s="32"/>
      <c r="W3000" s="32"/>
      <c r="X3000" s="32"/>
      <c r="Y3000" s="32"/>
      <c r="Z3000" s="17" t="s">
        <v>15</v>
      </c>
      <c r="AA3000" s="17" t="s">
        <v>15</v>
      </c>
    </row>
  </sheetData>
  <sheetProtection algorithmName="SHA-512" hashValue="nDlRwfpCjE6DG3Qzr5/H67pi8FpC2UQNpoXSRNn4dUSd3ypcrsH+2qqAdt1QqrwdelEEQh6ImxjBrK4B46W/+A==" saltValue="IKBvhLz5TzLd98QTr+XRww==" spinCount="100000" sheet="1" formatColumns="0" autoFilter="0"/>
  <autoFilter ref="A2:Y3000" xr:uid="{7D30C59C-CC81-4406-80CB-055CAA8011E0}"/>
  <conditionalFormatting sqref="A3:Y3000">
    <cfRule type="expression" dxfId="1" priority="3">
      <formula>$E3="until stocks run out"</formula>
    </cfRule>
    <cfRule type="expression" dxfId="0" priority="4">
      <formula>$E3="new"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enter the discount</vt:lpstr>
      <vt:lpstr>Price list</vt:lpstr>
      <vt:lpstr>'Price list'!Wybieranie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Office3</cp:lastModifiedBy>
  <cp:lastPrinted>2022-08-23T10:29:41Z</cp:lastPrinted>
  <dcterms:created xsi:type="dcterms:W3CDTF">2021-06-15T08:35:20Z</dcterms:created>
  <dcterms:modified xsi:type="dcterms:W3CDTF">2024-12-16T10:28:46Z</dcterms:modified>
</cp:coreProperties>
</file>