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721D9F92-1910-48EB-BC5E-A95C3F8E97E2}" xr6:coauthVersionLast="47" xr6:coauthVersionMax="47" xr10:uidLastSave="{00000000-0000-0000-0000-000000000000}"/>
  <bookViews>
    <workbookView xWindow="-120" yWindow="-120" windowWidth="29040" windowHeight="1572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cennik!$A$2:$AA$843</definedName>
    <definedName name="_xlnm.Extract" localSheetId="1">cennik!$K$2:$AA$2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12" i="2" l="1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29" i="2"/>
  <c r="S728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T693" i="2"/>
  <c r="S693" i="2"/>
  <c r="S692" i="2"/>
  <c r="S690" i="2"/>
  <c r="S689" i="2"/>
  <c r="S688" i="2"/>
  <c r="S687" i="2"/>
  <c r="S683" i="2"/>
  <c r="S681" i="2"/>
  <c r="S680" i="2"/>
  <c r="S678" i="2"/>
  <c r="S668" i="2"/>
  <c r="S667" i="2"/>
  <c r="S666" i="2"/>
  <c r="S665" i="2"/>
  <c r="S664" i="2"/>
  <c r="T663" i="2"/>
  <c r="S663" i="2"/>
  <c r="T662" i="2"/>
  <c r="S662" i="2"/>
  <c r="S661" i="2"/>
  <c r="T660" i="2"/>
  <c r="S660" i="2"/>
  <c r="T659" i="2"/>
  <c r="S659" i="2"/>
  <c r="T658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09" i="2"/>
  <c r="S608" i="2"/>
  <c r="S607" i="2"/>
  <c r="S606" i="2"/>
  <c r="S605" i="2"/>
  <c r="S604" i="2"/>
  <c r="S603" i="2"/>
  <c r="S602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T533" i="2"/>
  <c r="S533" i="2"/>
  <c r="T532" i="2"/>
  <c r="S532" i="2"/>
  <c r="T531" i="2"/>
  <c r="S531" i="2"/>
  <c r="T530" i="2"/>
  <c r="T529" i="2"/>
  <c r="S529" i="2"/>
  <c r="T528" i="2"/>
  <c r="S528" i="2"/>
  <c r="T527" i="2"/>
  <c r="S527" i="2"/>
  <c r="T526" i="2"/>
  <c r="S526" i="2"/>
  <c r="S525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T488" i="2"/>
  <c r="S488" i="2"/>
  <c r="T487" i="2"/>
  <c r="S487" i="2"/>
  <c r="T486" i="2"/>
  <c r="S486" i="2"/>
  <c r="T485" i="2"/>
  <c r="S485" i="2"/>
  <c r="T484" i="2"/>
  <c r="S484" i="2"/>
  <c r="T483" i="2"/>
  <c r="S483" i="2"/>
  <c r="T482" i="2"/>
  <c r="S482" i="2"/>
  <c r="T481" i="2"/>
  <c r="S481" i="2"/>
  <c r="T480" i="2"/>
  <c r="S480" i="2"/>
  <c r="T479" i="2"/>
  <c r="S479" i="2"/>
  <c r="T478" i="2"/>
  <c r="S478" i="2"/>
  <c r="T477" i="2"/>
  <c r="S477" i="2"/>
  <c r="T476" i="2"/>
  <c r="S476" i="2"/>
  <c r="T475" i="2"/>
  <c r="S475" i="2"/>
  <c r="T474" i="2"/>
  <c r="S474" i="2"/>
  <c r="T473" i="2"/>
  <c r="S473" i="2"/>
  <c r="T472" i="2"/>
  <c r="S472" i="2"/>
  <c r="T471" i="2"/>
  <c r="S471" i="2"/>
  <c r="T470" i="2"/>
  <c r="S470" i="2"/>
  <c r="S469" i="2"/>
  <c r="S468" i="2"/>
  <c r="S467" i="2"/>
  <c r="T466" i="2"/>
  <c r="S466" i="2"/>
  <c r="T465" i="2"/>
  <c r="S465" i="2"/>
  <c r="T464" i="2"/>
  <c r="S464" i="2"/>
  <c r="T463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T447" i="2"/>
  <c r="S447" i="2"/>
  <c r="S446" i="2"/>
  <c r="S445" i="2"/>
  <c r="S444" i="2"/>
  <c r="S443" i="2"/>
  <c r="S442" i="2"/>
  <c r="S441" i="2"/>
  <c r="T440" i="2"/>
  <c r="S440" i="2"/>
  <c r="S439" i="2"/>
  <c r="S438" i="2"/>
  <c r="T437" i="2"/>
  <c r="S437" i="2"/>
  <c r="T436" i="2"/>
  <c r="S436" i="2"/>
  <c r="T435" i="2"/>
  <c r="S435" i="2"/>
  <c r="T434" i="2"/>
  <c r="S434" i="2"/>
  <c r="T433" i="2"/>
  <c r="S433" i="2"/>
  <c r="T432" i="2"/>
  <c r="S432" i="2"/>
  <c r="T431" i="2"/>
  <c r="S431" i="2"/>
  <c r="S430" i="2"/>
  <c r="S429" i="2"/>
  <c r="S428" i="2"/>
  <c r="S427" i="2"/>
  <c r="S426" i="2"/>
  <c r="S425" i="2"/>
  <c r="T424" i="2"/>
  <c r="T423" i="2"/>
  <c r="T422" i="2"/>
  <c r="T421" i="2"/>
  <c r="T420" i="2"/>
  <c r="T419" i="2"/>
  <c r="S418" i="2"/>
  <c r="S417" i="2"/>
  <c r="S416" i="2"/>
  <c r="S415" i="2"/>
  <c r="S414" i="2"/>
  <c r="S413" i="2"/>
  <c r="S412" i="2"/>
  <c r="S411" i="2"/>
  <c r="S410" i="2"/>
  <c r="S409" i="2"/>
  <c r="S408" i="2"/>
  <c r="T407" i="2"/>
  <c r="S407" i="2"/>
  <c r="T406" i="2"/>
  <c r="S406" i="2"/>
  <c r="T405" i="2"/>
  <c r="S405" i="2"/>
  <c r="T404" i="2"/>
  <c r="T403" i="2"/>
  <c r="S403" i="2"/>
  <c r="T402" i="2"/>
  <c r="S402" i="2"/>
  <c r="T401" i="2"/>
  <c r="T400" i="2"/>
  <c r="S400" i="2"/>
  <c r="T399" i="2"/>
  <c r="S399" i="2"/>
  <c r="T398" i="2"/>
  <c r="T397" i="2"/>
  <c r="S397" i="2"/>
  <c r="T396" i="2"/>
  <c r="S396" i="2"/>
  <c r="T395" i="2"/>
  <c r="S394" i="2"/>
  <c r="S393" i="2"/>
  <c r="S392" i="2"/>
  <c r="S391" i="2"/>
  <c r="S390" i="2"/>
  <c r="S389" i="2"/>
  <c r="S388" i="2"/>
  <c r="S387" i="2"/>
  <c r="S386" i="2"/>
  <c r="T385" i="2"/>
  <c r="S385" i="2"/>
  <c r="T384" i="2"/>
  <c r="S384" i="2"/>
  <c r="T383" i="2"/>
  <c r="S383" i="2"/>
  <c r="T382" i="2"/>
  <c r="S382" i="2"/>
  <c r="T381" i="2"/>
  <c r="S381" i="2"/>
  <c r="T380" i="2"/>
  <c r="S380" i="2"/>
  <c r="T379" i="2"/>
  <c r="S379" i="2"/>
  <c r="T378" i="2"/>
  <c r="S378" i="2"/>
  <c r="T377" i="2"/>
  <c r="S377" i="2"/>
  <c r="T376" i="2"/>
  <c r="S376" i="2"/>
  <c r="T375" i="2"/>
  <c r="S375" i="2"/>
  <c r="T374" i="2"/>
  <c r="S374" i="2"/>
  <c r="T373" i="2"/>
  <c r="T372" i="2"/>
  <c r="S372" i="2"/>
  <c r="T371" i="2"/>
  <c r="S371" i="2"/>
  <c r="T370" i="2"/>
  <c r="T369" i="2"/>
  <c r="S369" i="2"/>
  <c r="T368" i="2"/>
  <c r="S368" i="2"/>
  <c r="T367" i="2"/>
  <c r="T366" i="2"/>
  <c r="S366" i="2"/>
  <c r="T365" i="2"/>
  <c r="S365" i="2"/>
  <c r="T364" i="2"/>
  <c r="T363" i="2"/>
  <c r="S363" i="2"/>
  <c r="T362" i="2"/>
  <c r="S362" i="2"/>
  <c r="S361" i="2"/>
  <c r="S360" i="2"/>
  <c r="S359" i="2"/>
  <c r="T358" i="2"/>
  <c r="S358" i="2"/>
  <c r="T357" i="2"/>
  <c r="S357" i="2"/>
  <c r="T356" i="2"/>
  <c r="S356" i="2"/>
  <c r="T355" i="2"/>
  <c r="S355" i="2"/>
  <c r="T354" i="2"/>
  <c r="S354" i="2"/>
  <c r="T353" i="2"/>
  <c r="S353" i="2"/>
  <c r="T352" i="2"/>
  <c r="S352" i="2"/>
  <c r="T351" i="2"/>
  <c r="S351" i="2"/>
  <c r="T350" i="2"/>
  <c r="S350" i="2"/>
  <c r="T349" i="2"/>
  <c r="S349" i="2"/>
  <c r="T348" i="2"/>
  <c r="S348" i="2"/>
  <c r="T347" i="2"/>
  <c r="S347" i="2"/>
  <c r="T346" i="2"/>
  <c r="S346" i="2"/>
  <c r="T345" i="2"/>
  <c r="S345" i="2"/>
  <c r="S344" i="2"/>
  <c r="S343" i="2"/>
  <c r="S342" i="2"/>
  <c r="S341" i="2"/>
  <c r="T340" i="2"/>
  <c r="S340" i="2"/>
  <c r="T339" i="2"/>
  <c r="S339" i="2"/>
  <c r="S338" i="2"/>
  <c r="T337" i="2"/>
  <c r="S337" i="2"/>
  <c r="T336" i="2"/>
  <c r="S336" i="2"/>
  <c r="T335" i="2"/>
  <c r="S335" i="2"/>
  <c r="T334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T292" i="2"/>
  <c r="S291" i="2"/>
  <c r="T290" i="2"/>
  <c r="S289" i="2"/>
  <c r="T288" i="2"/>
  <c r="S287" i="2"/>
  <c r="T286" i="2"/>
  <c r="S285" i="2"/>
  <c r="T284" i="2"/>
  <c r="S283" i="2"/>
  <c r="T282" i="2"/>
  <c r="S281" i="2"/>
  <c r="T280" i="2"/>
  <c r="S279" i="2"/>
  <c r="T278" i="2"/>
  <c r="S277" i="2"/>
  <c r="T276" i="2"/>
  <c r="S275" i="2"/>
  <c r="T274" i="2"/>
  <c r="S273" i="2"/>
  <c r="T272" i="2"/>
  <c r="S271" i="2"/>
  <c r="T270" i="2"/>
  <c r="S269" i="2"/>
  <c r="T268" i="2"/>
  <c r="S267" i="2"/>
  <c r="T266" i="2"/>
  <c r="S265" i="2"/>
  <c r="T264" i="2"/>
  <c r="S263" i="2"/>
  <c r="T262" i="2"/>
  <c r="S261" i="2"/>
  <c r="S260" i="2"/>
  <c r="T259" i="2"/>
  <c r="S259" i="2"/>
  <c r="T258" i="2"/>
  <c r="S258" i="2"/>
  <c r="T257" i="2"/>
  <c r="S257" i="2"/>
  <c r="S256" i="2"/>
  <c r="S255" i="2"/>
  <c r="S254" i="2"/>
  <c r="T253" i="2"/>
  <c r="S253" i="2"/>
  <c r="T252" i="2"/>
  <c r="S252" i="2"/>
  <c r="T251" i="2"/>
  <c r="S251" i="2"/>
  <c r="T250" i="2"/>
  <c r="S250" i="2"/>
  <c r="T249" i="2"/>
  <c r="S249" i="2"/>
  <c r="T248" i="2"/>
  <c r="S248" i="2"/>
  <c r="T247" i="2"/>
  <c r="S247" i="2"/>
  <c r="T246" i="2"/>
  <c r="S246" i="2"/>
  <c r="T245" i="2"/>
  <c r="T244" i="2"/>
  <c r="T243" i="2"/>
  <c r="T242" i="2"/>
  <c r="T241" i="2"/>
  <c r="T240" i="2"/>
  <c r="S239" i="2"/>
  <c r="S238" i="2"/>
  <c r="T237" i="2"/>
  <c r="S237" i="2"/>
  <c r="T236" i="2"/>
  <c r="S236" i="2"/>
  <c r="T235" i="2"/>
  <c r="S235" i="2"/>
  <c r="T234" i="2"/>
  <c r="S234" i="2"/>
  <c r="T233" i="2"/>
  <c r="S233" i="2"/>
  <c r="T232" i="2"/>
  <c r="S232" i="2"/>
  <c r="T231" i="2"/>
  <c r="S231" i="2"/>
  <c r="T230" i="2"/>
  <c r="S230" i="2"/>
  <c r="T229" i="2"/>
  <c r="S229" i="2"/>
  <c r="T228" i="2"/>
  <c r="S228" i="2"/>
  <c r="T227" i="2"/>
  <c r="S227" i="2"/>
  <c r="T226" i="2"/>
  <c r="S226" i="2"/>
  <c r="T225" i="2"/>
  <c r="S225" i="2"/>
  <c r="T224" i="2"/>
  <c r="S224" i="2"/>
  <c r="T223" i="2"/>
  <c r="S223" i="2"/>
  <c r="S222" i="2"/>
  <c r="T221" i="2"/>
  <c r="S221" i="2"/>
  <c r="T220" i="2"/>
  <c r="S220" i="2"/>
  <c r="T219" i="2"/>
  <c r="S219" i="2"/>
  <c r="T218" i="2"/>
  <c r="S218" i="2"/>
  <c r="T217" i="2"/>
  <c r="S217" i="2"/>
  <c r="T216" i="2"/>
  <c r="S216" i="2"/>
  <c r="T215" i="2"/>
  <c r="S215" i="2"/>
  <c r="T214" i="2"/>
  <c r="S214" i="2"/>
  <c r="T213" i="2"/>
  <c r="S213" i="2"/>
  <c r="T212" i="2"/>
  <c r="S212" i="2"/>
  <c r="T211" i="2"/>
  <c r="S211" i="2"/>
  <c r="T210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T198" i="2"/>
  <c r="S198" i="2"/>
  <c r="T197" i="2"/>
  <c r="S197" i="2"/>
  <c r="S196" i="2"/>
  <c r="S195" i="2"/>
  <c r="S194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S186" i="2"/>
  <c r="S185" i="2"/>
  <c r="S184" i="2"/>
  <c r="S183" i="2"/>
  <c r="S182" i="2"/>
  <c r="S181" i="2"/>
  <c r="S180" i="2"/>
  <c r="S179" i="2"/>
  <c r="S178" i="2"/>
  <c r="T177" i="2"/>
  <c r="S177" i="2"/>
  <c r="T176" i="2"/>
  <c r="S176" i="2"/>
  <c r="T175" i="2"/>
  <c r="S175" i="2"/>
  <c r="T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S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T77" i="2"/>
  <c r="T76" i="2"/>
  <c r="S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T21" i="2"/>
  <c r="S21" i="2"/>
  <c r="T20" i="2"/>
  <c r="S20" i="2"/>
  <c r="T19" i="2"/>
  <c r="S19" i="2"/>
  <c r="T18" i="2"/>
  <c r="S18" i="2"/>
  <c r="T17" i="2"/>
  <c r="S17" i="2"/>
  <c r="S16" i="2"/>
  <c r="T15" i="2"/>
  <c r="S15" i="2"/>
  <c r="T14" i="2"/>
  <c r="S14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  <c r="T3" i="2"/>
  <c r="S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C1" i="2"/>
</calcChain>
</file>

<file path=xl/sharedStrings.xml><?xml version="1.0" encoding="utf-8"?>
<sst xmlns="http://schemas.openxmlformats.org/spreadsheetml/2006/main" count="11893" uniqueCount="2725">
  <si>
    <t xml:space="preserve">CENNIK PODSTAWOWY </t>
  </si>
  <si>
    <t>obowiązujący od dnia:</t>
  </si>
  <si>
    <t>GRUPA</t>
  </si>
  <si>
    <t>WPISZ RABAT %</t>
  </si>
  <si>
    <t>01KI TASMY</t>
  </si>
  <si>
    <t>OPRAWY PRZEMYSŁOWE</t>
  </si>
  <si>
    <t>02KI L OPR</t>
  </si>
  <si>
    <t>02KI DELFI</t>
  </si>
  <si>
    <t>02KI TECHN</t>
  </si>
  <si>
    <t>OPRAWY DOMOWE</t>
  </si>
  <si>
    <t>03KI BIURK</t>
  </si>
  <si>
    <t>03KI L MEB</t>
  </si>
  <si>
    <t>03KI DOGRU</t>
  </si>
  <si>
    <t>03KI OGRÓD</t>
  </si>
  <si>
    <t>AKCESORIA</t>
  </si>
  <si>
    <t>04KI AKCES</t>
  </si>
  <si>
    <t>04KI L AKC</t>
  </si>
  <si>
    <t>URZĄDZENIA ELEKTRYCZNE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</si>
  <si>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</si>
  <si>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</si>
  <si>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</si>
  <si>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</si>
  <si>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</si>
  <si>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KATEGORIA</t>
  </si>
  <si>
    <t>PODKATEGORIA</t>
  </si>
  <si>
    <t>TYP</t>
  </si>
  <si>
    <t>MARKA</t>
  </si>
  <si>
    <t>UWAGI</t>
  </si>
  <si>
    <t>ARTYKUŁ</t>
  </si>
  <si>
    <t>INDEKS</t>
  </si>
  <si>
    <t>CENA CENNIKOWA</t>
  </si>
  <si>
    <t>KOD CN</t>
  </si>
  <si>
    <t>JEDNOSTKA MIARY</t>
  </si>
  <si>
    <t>ILOŚĆ W OPAKOWANIU ZBIORCZYM</t>
  </si>
  <si>
    <t>ILOŚĆ NA PALECIE</t>
  </si>
  <si>
    <t>DATA WAŻNOŚCI / GWARANCJA</t>
  </si>
  <si>
    <t>LINK</t>
  </si>
  <si>
    <t>WAGA NETTO [KG]</t>
  </si>
  <si>
    <t>WAGA BRUTTO [KG]</t>
  </si>
  <si>
    <t>DŁUGOŚĆ [MM]</t>
  </si>
  <si>
    <t>SZEROKOŚĆ [MM]</t>
  </si>
  <si>
    <t>WYSOKOŚĆ [MM]</t>
  </si>
  <si>
    <t>SPLIT PAYMENT</t>
  </si>
  <si>
    <t>GTU</t>
  </si>
  <si>
    <t>ŹRÓDŁA ŚWIATŁA</t>
  </si>
  <si>
    <t>LAMPY LED</t>
  </si>
  <si>
    <t>OPRAWY ULICZNE</t>
  </si>
  <si>
    <t>EEI</t>
  </si>
  <si>
    <t>KOD EAN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</si>
  <si>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</si>
  <si>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</si>
  <si>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</si>
  <si>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</si>
  <si>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</si>
  <si>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</si>
  <si>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</si>
  <si>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</si>
  <si>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</si>
  <si>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</si>
  <si>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NEXUS</t>
  </si>
  <si>
    <t>OPRAWY PARKOWE</t>
  </si>
  <si>
    <t>OPRAWY BIUROWE</t>
  </si>
  <si>
    <t>OPRAWY SKLEPOWE LED I AKCESORIA</t>
  </si>
  <si>
    <t>OPRAWY LINIOWE</t>
  </si>
  <si>
    <t>NEXTRACK AKCESORIA</t>
  </si>
  <si>
    <t>05KI BANKI</t>
  </si>
  <si>
    <t>KOBI LIGHT SP. Z O.O.</t>
  </si>
  <si>
    <t>03KI DEKOR</t>
  </si>
  <si>
    <t>EPREL</t>
  </si>
  <si>
    <t>KOBI</t>
  </si>
  <si>
    <t>GS E27</t>
  </si>
  <si>
    <t/>
  </si>
  <si>
    <t>LED GS 15W E27 3000K</t>
  </si>
  <si>
    <t>KAGSE2715CB</t>
  </si>
  <si>
    <t>LED GS 15W E27 6000K</t>
  </si>
  <si>
    <t>KAGSE2715ZB</t>
  </si>
  <si>
    <t>LED GS 13W E27 3000K</t>
  </si>
  <si>
    <t>KAGSE2713CB2</t>
  </si>
  <si>
    <t>LED GS 13W E27 6000K</t>
  </si>
  <si>
    <t>KAGSE2713ZB2</t>
  </si>
  <si>
    <t>LED GS 10W E27 3000K</t>
  </si>
  <si>
    <t>KAGSE2710WCB</t>
  </si>
  <si>
    <t>LED GS 10W E27 4000K</t>
  </si>
  <si>
    <t>KAGSE2710WNB</t>
  </si>
  <si>
    <t>LED GS 10W E27 6000K</t>
  </si>
  <si>
    <t>KAGSE2710WZB</t>
  </si>
  <si>
    <t>LED GS 13W E27 4000K</t>
  </si>
  <si>
    <t>KAGSE2713NB2</t>
  </si>
  <si>
    <t>LED GS 7W E27 3000K</t>
  </si>
  <si>
    <t>KAGSE277CB24</t>
  </si>
  <si>
    <t>LED GS 7W E27 6000K</t>
  </si>
  <si>
    <t>KAGSE277ZB24</t>
  </si>
  <si>
    <t>LED GS 15W E27 4000K</t>
  </si>
  <si>
    <t>KAGSE2715NB</t>
  </si>
  <si>
    <t>LED GS 7W E27 4000K</t>
  </si>
  <si>
    <t>KAGSE277NB24</t>
  </si>
  <si>
    <t>ZASILACZE LED</t>
  </si>
  <si>
    <t>DESK</t>
  </si>
  <si>
    <t>ZASILACZ DESKTOP 12V  72W 6,0A</t>
  </si>
  <si>
    <t>KYSDK72W</t>
  </si>
  <si>
    <t>FILAMENT E14</t>
  </si>
  <si>
    <t>LED FDE 4W E14 3000K</t>
  </si>
  <si>
    <t>KAFDEE144WCB</t>
  </si>
  <si>
    <t>LED FSW 4W E14 3000K</t>
  </si>
  <si>
    <t>KAFSWE144WCB</t>
  </si>
  <si>
    <t>SW E14</t>
  </si>
  <si>
    <t>LED SW 6W E14 3000K</t>
  </si>
  <si>
    <t>KASWE146WCB2</t>
  </si>
  <si>
    <t>LED SW 3W E14 3000K</t>
  </si>
  <si>
    <t>KASWE143WCB2</t>
  </si>
  <si>
    <t>LED SW 4,5W E14 3000K</t>
  </si>
  <si>
    <t>KASWE1445CB2</t>
  </si>
  <si>
    <t>LED SW 6W E14 6000K</t>
  </si>
  <si>
    <t>KASWE146WZB</t>
  </si>
  <si>
    <t>SW E27</t>
  </si>
  <si>
    <t>LED SW 6W E27 3000K</t>
  </si>
  <si>
    <t>KASWE276WCB2</t>
  </si>
  <si>
    <t>LED SW 6W E27 6000K</t>
  </si>
  <si>
    <t>KASWE276WZB</t>
  </si>
  <si>
    <t>GU10</t>
  </si>
  <si>
    <t>LED GU10 1W 3000K</t>
  </si>
  <si>
    <t>KAGU1,0CB</t>
  </si>
  <si>
    <t>LED GU10 1W 6000K</t>
  </si>
  <si>
    <t>KAGU1,0ZB</t>
  </si>
  <si>
    <t>LED GU10 7W 6000K</t>
  </si>
  <si>
    <t>KAGU7,0ZBPOM</t>
  </si>
  <si>
    <t>LED GU10 7W 3000K</t>
  </si>
  <si>
    <t>KAGU7,0CBPOM</t>
  </si>
  <si>
    <t>MB E14</t>
  </si>
  <si>
    <t>LED MB 6W E14 6000K</t>
  </si>
  <si>
    <t>KAMBE146WZB</t>
  </si>
  <si>
    <t>MB E27</t>
  </si>
  <si>
    <t>LED MB 6W E27 6000K</t>
  </si>
  <si>
    <t>KAMBE276WZB</t>
  </si>
  <si>
    <t>LED MB 6W E27 3000K</t>
  </si>
  <si>
    <t>KAMBE276WCB2</t>
  </si>
  <si>
    <t>INSTALACYJNE</t>
  </si>
  <si>
    <t>ZASILACZ INSTALACYJN 12V  80W 6,67A IP67</t>
  </si>
  <si>
    <t>KYCP12080A67</t>
  </si>
  <si>
    <t>ZASILACZ INSTALACYJN 12V 120W 10,0A IP67</t>
  </si>
  <si>
    <t>KYCP12120A67</t>
  </si>
  <si>
    <t>ZASILACZ INSTALACYJN 12V 150W 12,5A IP67</t>
  </si>
  <si>
    <t>KYKBA12-1252</t>
  </si>
  <si>
    <t>ZASILACZ INSTALACYJN 12V  30W 2,5A IP67</t>
  </si>
  <si>
    <t>KYKBA12-2501</t>
  </si>
  <si>
    <t>ZASILACZ INSTALACYJN 12V  20W 1,67A IP67</t>
  </si>
  <si>
    <t>KYKBS12-1671</t>
  </si>
  <si>
    <t>OSPRZĘT LED</t>
  </si>
  <si>
    <t>STEROWNIKI RGB</t>
  </si>
  <si>
    <t>do wyczerpania zapasów</t>
  </si>
  <si>
    <t>STEROWNIK LEDST06FP 5-24V 6A Z PILOTEM</t>
  </si>
  <si>
    <t>KYST06FP</t>
  </si>
  <si>
    <t>WZMACNIACZE SYGNAŁU</t>
  </si>
  <si>
    <t>WZMACNIACZ LEDST07F 5-24V 12A</t>
  </si>
  <si>
    <t>KYST07F</t>
  </si>
  <si>
    <t>ŚCIEMNIACZE</t>
  </si>
  <si>
    <t>ŚCIEMNIACZ LEDSC02DP 5-24V 6A Z PILOTEM</t>
  </si>
  <si>
    <t>KYSC02DP</t>
  </si>
  <si>
    <t>MONTAŻOWE</t>
  </si>
  <si>
    <t>OPRAWKI CERAMICZNE</t>
  </si>
  <si>
    <t>OPRAWKA PORCELANOWA Z BLASZKĄ K003 E27</t>
  </si>
  <si>
    <t>KXK003</t>
  </si>
  <si>
    <t>KOSTKA HALOGENOWA K002 GU10</t>
  </si>
  <si>
    <t>KXK002*</t>
  </si>
  <si>
    <t>KOSTKA HALOGENOWA G5,3</t>
  </si>
  <si>
    <t>KXK001</t>
  </si>
  <si>
    <t>LAMPKI BIURKOWE</t>
  </si>
  <si>
    <t>LAMPKA BIURKOWA ŚMIESZEK KX3087 CZARNA</t>
  </si>
  <si>
    <t>KLKXSMICZA</t>
  </si>
  <si>
    <t>LAMPKA BIURKOWA ŚMIESZEK KX3087 CZERWONA</t>
  </si>
  <si>
    <t>KLKXSMICZE</t>
  </si>
  <si>
    <t>LAMPKA BIURKOWA ŚMIESZEK KX3087 ŻÓŁTA</t>
  </si>
  <si>
    <t>KLKXSMIZOL</t>
  </si>
  <si>
    <t>PODTYNKOWE</t>
  </si>
  <si>
    <t>PIERŚCIEŃ OZDOBNY OH14 BIAŁY</t>
  </si>
  <si>
    <t>KPOH14BI</t>
  </si>
  <si>
    <t>PIERŚCIEŃ OZDOBNY OH26 BLACK</t>
  </si>
  <si>
    <t>KPOH26CZ</t>
  </si>
  <si>
    <t>PIERŚCIEŃ OZDOBNY OH21 CHROM</t>
  </si>
  <si>
    <t>KPOH21CH</t>
  </si>
  <si>
    <t>PIERŚCIEŃ OZDOBNY OH14 MAT CHROM</t>
  </si>
  <si>
    <t>KPOH14MCH</t>
  </si>
  <si>
    <t>PIERŚCIEŃ OZDOBNY OH14 PATYNA</t>
  </si>
  <si>
    <t>KPOH14PA</t>
  </si>
  <si>
    <t>PIERŚCIEŃ OZDOBNY OH27 CLEAR</t>
  </si>
  <si>
    <t>KPOH27CL</t>
  </si>
  <si>
    <t>CZUJNIKI RUCHU</t>
  </si>
  <si>
    <t>LX39 PREMIUM 180° IP44 PIR BIAŁY</t>
  </si>
  <si>
    <t>KVLX39180SBI</t>
  </si>
  <si>
    <t>PROGRAMATORY</t>
  </si>
  <si>
    <t>PROGRAMATOR DOBOWY PC24</t>
  </si>
  <si>
    <t>KWPC24</t>
  </si>
  <si>
    <t>LX01 PREMIUM 160° IP20 PIR BIALY</t>
  </si>
  <si>
    <t>KVLX01140ST</t>
  </si>
  <si>
    <t>LX39 PREMIUM 180° IP44 PIR CZARNY</t>
  </si>
  <si>
    <t>KVLX39180SCZ</t>
  </si>
  <si>
    <t>LX40 PREMIUM 180° IP44 PIR BIAŁY</t>
  </si>
  <si>
    <t>KVLX40BIA</t>
  </si>
  <si>
    <t>LX40 PREMIUM 180° IP44 PIR CZARNY</t>
  </si>
  <si>
    <t>KVLX40CZA</t>
  </si>
  <si>
    <t>LAMPKA BIURKOWA ŚMIESZEK KX3087 ZIELONA</t>
  </si>
  <si>
    <t>KLKXSMIZIE</t>
  </si>
  <si>
    <t>LX06 PREMIUM 360° IP20 PIR</t>
  </si>
  <si>
    <t>KVLX06360ST</t>
  </si>
  <si>
    <t>LX41 PREMIUM 360° IP20 PIR BIAŁY</t>
  </si>
  <si>
    <t>KVLX41360STB</t>
  </si>
  <si>
    <t>LX701 PROFESSIONAL 360° IP20 MIC</t>
  </si>
  <si>
    <t>KVLX70360ST</t>
  </si>
  <si>
    <t>PIERŚCIEŃ OZDOBNY OH14 CHROM</t>
  </si>
  <si>
    <t>KPOH14CH</t>
  </si>
  <si>
    <t>LX42 PREMIUM 360° IP20 PIR</t>
  </si>
  <si>
    <t>KVLX42360STB</t>
  </si>
  <si>
    <t>OGRODOWE</t>
  </si>
  <si>
    <t>KINKIET PODWÓJNY</t>
  </si>
  <si>
    <t>QUAZAR 5 2XGU10 CZARNY</t>
  </si>
  <si>
    <t>KTLOQZ5</t>
  </si>
  <si>
    <t>QUAZAR 4 2XGU10 CZARNY</t>
  </si>
  <si>
    <t>KTLOQZ4</t>
  </si>
  <si>
    <t>QUAZAR 3 2XGU10 CZARNY</t>
  </si>
  <si>
    <t>KTLOQZ3</t>
  </si>
  <si>
    <t>PLAFONIERY</t>
  </si>
  <si>
    <t>NATYNKOWA</t>
  </si>
  <si>
    <t>OPRAWA OŚWIETLENIOWA RUTO 100W E27 BIAŁA</t>
  </si>
  <si>
    <t>KKROB</t>
  </si>
  <si>
    <t>OPR.OŚWIETLENIOWA WEGA 75W/PC E27 BIAŁA</t>
  </si>
  <si>
    <t>KKWA75WPC</t>
  </si>
  <si>
    <t>RUCHOME</t>
  </si>
  <si>
    <t>PIERŚCIEŃ OZDOBNY OH15 BIAŁY</t>
  </si>
  <si>
    <t>KPOH15BI</t>
  </si>
  <si>
    <t>PIERŚCIEŃ OZDOBNY OH15 PATYNA</t>
  </si>
  <si>
    <t>KPOH15PA</t>
  </si>
  <si>
    <t>PIERŚCIEŃ OZDOBNY OH15 CHROM</t>
  </si>
  <si>
    <t>KPOH15CH</t>
  </si>
  <si>
    <t>PIERŚCIEŃ OZDOBNY OH15 MAT CHROM</t>
  </si>
  <si>
    <t>KPOH15MCH</t>
  </si>
  <si>
    <t>PIERŚCIEŃ OZDOBNY OH28 CHROM</t>
  </si>
  <si>
    <t>KPOH28CH</t>
  </si>
  <si>
    <t>PIERŚCIEŃ OZDOBNY OH228 CZARNY</t>
  </si>
  <si>
    <t>KPOH228CZ</t>
  </si>
  <si>
    <t>PIERŚCIEŃ OZDOBNY OH15 GRAFIT</t>
  </si>
  <si>
    <t>KPOH15GR</t>
  </si>
  <si>
    <t>PIERŚCIEŃ OZDOBNY OH28 CZARNY</t>
  </si>
  <si>
    <t>KPOH28CZ</t>
  </si>
  <si>
    <t>ZASILACZ MONTAŻOWY 12V 100W 8,3A</t>
  </si>
  <si>
    <t>KYSDK100WMOD</t>
  </si>
  <si>
    <t>ZASILACZ MONTAŻOWY 12V 150W 12,5A</t>
  </si>
  <si>
    <t>KYSDK150WMON</t>
  </si>
  <si>
    <t>ZASILACZ MONTAŻOWY 12V 250W 20,8A</t>
  </si>
  <si>
    <t>KYSDK250WMON</t>
  </si>
  <si>
    <t>ZASILACZ MONTAŻOWY 12V   6W 0,5A</t>
  </si>
  <si>
    <t>KYSDK6W</t>
  </si>
  <si>
    <t>R E14</t>
  </si>
  <si>
    <t>LED R50 5W E14 3000K</t>
  </si>
  <si>
    <t>KAR50E145WCB</t>
  </si>
  <si>
    <t>R E27</t>
  </si>
  <si>
    <t>LED R63 8W E27 3000K</t>
  </si>
  <si>
    <t>KAR63E278WCB</t>
  </si>
  <si>
    <t>WBUDOWANE ŹRÓDŁO</t>
  </si>
  <si>
    <t>OPRAWA LEDWALLY2 MAT CHR 2700K 1,4W 35LM</t>
  </si>
  <si>
    <t>KQWY214WMC</t>
  </si>
  <si>
    <t>G9</t>
  </si>
  <si>
    <t>LED G9 4W 3000K</t>
  </si>
  <si>
    <t>KAG94WCB360</t>
  </si>
  <si>
    <t>ZASILACZ INSTALACYJN 12V  50W 4,16A IP67</t>
  </si>
  <si>
    <t>KYCP12050A67</t>
  </si>
  <si>
    <t>ZASILACZ MONTAŻOWY 12V 200W 16,6A</t>
  </si>
  <si>
    <t>KYKBI16,6A</t>
  </si>
  <si>
    <t>LED MB 4,5W E14 3000K</t>
  </si>
  <si>
    <t>KAMBE1445WCB</t>
  </si>
  <si>
    <t>LED MB 4,5W E27 3000K</t>
  </si>
  <si>
    <t>KAMBE2745WCB</t>
  </si>
  <si>
    <t>LED MB 6W E14 3000K</t>
  </si>
  <si>
    <t>KAMBE146WCB</t>
  </si>
  <si>
    <t>PIERŚCIEŃ OZDOBNY OH29 CHROM</t>
  </si>
  <si>
    <t>KPOH29CH</t>
  </si>
  <si>
    <t>MEBLOWE</t>
  </si>
  <si>
    <t>LED WL 8W 4000K</t>
  </si>
  <si>
    <t>KOWL8W</t>
  </si>
  <si>
    <t>DOGRUNTOWE</t>
  </si>
  <si>
    <t>ENTRADA 1 GU10 KWADRAT</t>
  </si>
  <si>
    <t>KUEA1</t>
  </si>
  <si>
    <t>ENTRADA 2 GU10 OKRĄGŁA</t>
  </si>
  <si>
    <t>KUEA2</t>
  </si>
  <si>
    <t>ZASILACZ DESKTOP 12V  90W 7,5A</t>
  </si>
  <si>
    <t>KYSDK90WDESK</t>
  </si>
  <si>
    <t>ZASILACZ MONTAŻOWY 12V 350W 29,0A</t>
  </si>
  <si>
    <t>KYSDK350WMON</t>
  </si>
  <si>
    <t>ZASILACZ INSTALACYJN 12V 100W 8,3A IP67</t>
  </si>
  <si>
    <t>KYSDKH100W</t>
  </si>
  <si>
    <t>HERMETYCZNE</t>
  </si>
  <si>
    <t>HERMIC 1X120</t>
  </si>
  <si>
    <t>KFHCL1120</t>
  </si>
  <si>
    <t>HERMIC 2X120</t>
  </si>
  <si>
    <t>KFHCL2120</t>
  </si>
  <si>
    <t>TAŚMY LED</t>
  </si>
  <si>
    <t>LED TRAMO 300 2835 IP20 3000K 5M</t>
  </si>
  <si>
    <t>KB2835CBBIA</t>
  </si>
  <si>
    <t>LED TRAMO 300 2835 IP20 4000K 5M</t>
  </si>
  <si>
    <t>KB2835NBBIA</t>
  </si>
  <si>
    <t>LED TRAMO 300 2835 IP20 6500K 5M</t>
  </si>
  <si>
    <t>KB2835ZBBIA</t>
  </si>
  <si>
    <t>LED G9 4W 4000K</t>
  </si>
  <si>
    <t>KAG94WNB360</t>
  </si>
  <si>
    <t>LED G9 4W 6000K</t>
  </si>
  <si>
    <t>KAG94WZB360</t>
  </si>
  <si>
    <t>LED MB 4,5W E14 6000K</t>
  </si>
  <si>
    <t>KAMBE1445WZB</t>
  </si>
  <si>
    <t>LED MB 4,5W E27 6000K</t>
  </si>
  <si>
    <t>KAMBE2745WZB</t>
  </si>
  <si>
    <t>LED SW 4,5W E14 6000K</t>
  </si>
  <si>
    <t>KASWE1445ZB</t>
  </si>
  <si>
    <t>PIERŚCIEŃ OZDOBNY OH34 MAT CHROM</t>
  </si>
  <si>
    <t>KPOH34MC</t>
  </si>
  <si>
    <t>PIERŚCIEŃ OZDOBNY OH35 MAT CHROM</t>
  </si>
  <si>
    <t>KPOH35MC</t>
  </si>
  <si>
    <t>NATYNKOWE</t>
  </si>
  <si>
    <t>OPRAWA DO NABUDOWANIA OH37 BIAŁA</t>
  </si>
  <si>
    <t>KPOH37BI</t>
  </si>
  <si>
    <t>ZASILACZ INSTALACYJN 12V 200W 16,7A IP67</t>
  </si>
  <si>
    <t>KBA12-1672</t>
  </si>
  <si>
    <t>LED SW 6W E14 4000K</t>
  </si>
  <si>
    <t>KASWE146WNB</t>
  </si>
  <si>
    <t>LED SW 6W E27 4000K</t>
  </si>
  <si>
    <t>KASWE276WNB</t>
  </si>
  <si>
    <t>LED MB 6W E14 4000K</t>
  </si>
  <si>
    <t>KAMBE146WNB</t>
  </si>
  <si>
    <t>LED MB 6W E27 4000K</t>
  </si>
  <si>
    <t>KAMBE276WNB</t>
  </si>
  <si>
    <t>T E14</t>
  </si>
  <si>
    <t>LED T 2W E14 4000K</t>
  </si>
  <si>
    <t>KATE142WNB</t>
  </si>
  <si>
    <t>KINKIET PODWÓJNY Q7</t>
  </si>
  <si>
    <t>QUAZAR 7 2XGU10 CZARNA</t>
  </si>
  <si>
    <t>KTLOQZ7CZ</t>
  </si>
  <si>
    <t>QUAZAR 7 2XGU10 SZARA</t>
  </si>
  <si>
    <t>KTLOQZ7SZ</t>
  </si>
  <si>
    <t>KINKIET PODWÓJNY Q10</t>
  </si>
  <si>
    <t>QUAZAR 10 2XGU10 STAL</t>
  </si>
  <si>
    <t>KTLOQZ10ST</t>
  </si>
  <si>
    <t>LED R50 5W E14 4000K</t>
  </si>
  <si>
    <t>KAR50E145WNB</t>
  </si>
  <si>
    <t>LED GU10 7W 4000K</t>
  </si>
  <si>
    <t>KAGU7,0NB</t>
  </si>
  <si>
    <t>PANELE</t>
  </si>
  <si>
    <t>LED NELIO PREMIUM 40W 60X60 4000K</t>
  </si>
  <si>
    <t>KFNO2PT40NB</t>
  </si>
  <si>
    <t>OPRAWA DO NABUDOWANIA OH37 CHROM</t>
  </si>
  <si>
    <t>KPOH37CH</t>
  </si>
  <si>
    <t>OPRAWA DO NABUDOWANIA OH37 CZARNA</t>
  </si>
  <si>
    <t>KPOH37CZ</t>
  </si>
  <si>
    <t>PIERŚCIEŃ OZDOBNY OH28 MAT CZARNY</t>
  </si>
  <si>
    <t>KPOH28MCZ</t>
  </si>
  <si>
    <t>PIERŚCIEŃ OZDOBNY OH34 CHROM</t>
  </si>
  <si>
    <t>KPOH34CH</t>
  </si>
  <si>
    <t>PIERŚCIEŃ OZDOBNY OH35 BIAŁY</t>
  </si>
  <si>
    <t>KPOH35BI</t>
  </si>
  <si>
    <t>LED SW 4,5W E14 4000K</t>
  </si>
  <si>
    <t>KASWE1445NB</t>
  </si>
  <si>
    <t>LED R63 8W E27 4000K</t>
  </si>
  <si>
    <t>KAR63E278WNB</t>
  </si>
  <si>
    <t>LAMPKA BIURKOWA ŚMIESZEK KX3087 BIAŁA</t>
  </si>
  <si>
    <t>KLKXSMIBIA</t>
  </si>
  <si>
    <t>KINKIET DÓŁ Q7</t>
  </si>
  <si>
    <t>QUAZAR 11 1XGU10 CZARNA</t>
  </si>
  <si>
    <t>KTLOQZ11CZ</t>
  </si>
  <si>
    <t>QUAZAR 11 1XGU10 SZARA</t>
  </si>
  <si>
    <t>KTLOQZ11SZ</t>
  </si>
  <si>
    <t>SŁUPEK Q7</t>
  </si>
  <si>
    <t>QUAZAR 12 1XGU10 CZARNA</t>
  </si>
  <si>
    <t>KTLOQZ12CZ</t>
  </si>
  <si>
    <t>QUAZAR 12 1XGU10 SZARA</t>
  </si>
  <si>
    <t>KTLOQZ12SZ</t>
  </si>
  <si>
    <t>BLAKE 2 GU10 IP65 CZARNA</t>
  </si>
  <si>
    <t>KTLOBE2CZ</t>
  </si>
  <si>
    <t>LED GU10 1W 4000K</t>
  </si>
  <si>
    <t>KAGU1,0NB</t>
  </si>
  <si>
    <t>LED GU10 5W 3000K</t>
  </si>
  <si>
    <t>KAGU5,0CB</t>
  </si>
  <si>
    <t>LED GU10 5W 4000K</t>
  </si>
  <si>
    <t>KAGU5,0NB</t>
  </si>
  <si>
    <t>LED GU10 5W 6000K</t>
  </si>
  <si>
    <t>KAGU5,0ZB</t>
  </si>
  <si>
    <t>ZASILACZ MONTAŻOWY 12V  25W 2,1A</t>
  </si>
  <si>
    <t>KYSDK25WMONT</t>
  </si>
  <si>
    <t>ZASILACZ MONTAŻOWY 12V  35W 2,9A</t>
  </si>
  <si>
    <t>KYSDK35WMONT</t>
  </si>
  <si>
    <t>ZASILACZ MONTAŻOWY 12V  60W 5,0A</t>
  </si>
  <si>
    <t>KYSDK60WMONT</t>
  </si>
  <si>
    <t>SAMIRA S 2XE27 CHROM</t>
  </si>
  <si>
    <t>KKSAS</t>
  </si>
  <si>
    <t>SAMIRA B 2XE27 CHROM</t>
  </si>
  <si>
    <t>KKSAB</t>
  </si>
  <si>
    <t>ROMERO 2XE27 CHROM</t>
  </si>
  <si>
    <t>KKRO</t>
  </si>
  <si>
    <t>PIERŚCIEŃ OZDOBNY OH49 PRZEŹROCZYSTY</t>
  </si>
  <si>
    <t>KPOH49CL</t>
  </si>
  <si>
    <t>PIERŚCIEŃ OZDOBNY OH49 CZARNY</t>
  </si>
  <si>
    <t>KPOH49CZ</t>
  </si>
  <si>
    <t>ZASILACZ DESKTOP 12V 120W 10,0A</t>
  </si>
  <si>
    <t>KYSDK120WDES</t>
  </si>
  <si>
    <t>HERMETIC 2X120</t>
  </si>
  <si>
    <t>KFHCE2120</t>
  </si>
  <si>
    <t>HERMETIC 1X60</t>
  </si>
  <si>
    <t>KFHCE160</t>
  </si>
  <si>
    <t>HERMETIC 2X60</t>
  </si>
  <si>
    <t>KFHCE260</t>
  </si>
  <si>
    <t>HERMETIC 1X120</t>
  </si>
  <si>
    <t>KFHCE1120</t>
  </si>
  <si>
    <t>HERMETIC 1X150</t>
  </si>
  <si>
    <t>KFHCE1150</t>
  </si>
  <si>
    <t>HERMETIC 2X150</t>
  </si>
  <si>
    <t>KFHCE2150</t>
  </si>
  <si>
    <t>LED NELIO PREMIUM 40W 30X120 4000K</t>
  </si>
  <si>
    <t>KFNO2PT312NB</t>
  </si>
  <si>
    <t>LED SW 4,5W E27 3000K</t>
  </si>
  <si>
    <t>KASWE2745WCB</t>
  </si>
  <si>
    <t>NIEHERMETYCZNE</t>
  </si>
  <si>
    <t>DELFIA 2X120</t>
  </si>
  <si>
    <t>KFDA2120</t>
  </si>
  <si>
    <t>LED R63 8W E27 6000K</t>
  </si>
  <si>
    <t>KAR63E278WZB</t>
  </si>
  <si>
    <t>AKCESORIA DO PANELI</t>
  </si>
  <si>
    <t>UCHWYTY DO KARTONGIPSU NELIO</t>
  </si>
  <si>
    <t>KFNOUKG</t>
  </si>
  <si>
    <t>PREMIUM</t>
  </si>
  <si>
    <t>LED TRAMO 300 2835 IP65 3000K 5M PREMIUM</t>
  </si>
  <si>
    <t>KB2835HCBPRE</t>
  </si>
  <si>
    <t>ZEBRA 2X120</t>
  </si>
  <si>
    <t>KFZA2120</t>
  </si>
  <si>
    <t>ZEBRA 1X120</t>
  </si>
  <si>
    <t>KFZA1120</t>
  </si>
  <si>
    <t>LED FMB 4W E14 3000K</t>
  </si>
  <si>
    <t>KAFMBE144WCB</t>
  </si>
  <si>
    <t>FILAMENT E27</t>
  </si>
  <si>
    <t>LED FMB 4W E27 3000K</t>
  </si>
  <si>
    <t>KAFMBE274WCB</t>
  </si>
  <si>
    <t>WKŁADY LED</t>
  </si>
  <si>
    <t>LED INSERT 5W 3000K MILKY</t>
  </si>
  <si>
    <t>KAIS5WCBML</t>
  </si>
  <si>
    <t>UCHWYTY DO KARTONGIPSU NELIO 30X120</t>
  </si>
  <si>
    <t>KFNOUKG30</t>
  </si>
  <si>
    <t>LED SW 9W E14 3000K PREMIUM</t>
  </si>
  <si>
    <t>KASWE149WCB</t>
  </si>
  <si>
    <t>LED SW 9W E14 4000K PREMIUM</t>
  </si>
  <si>
    <t>KASWE149WNB</t>
  </si>
  <si>
    <t>LED MB 9W E14 4000K PREMIUM</t>
  </si>
  <si>
    <t>KAMBE149WNB</t>
  </si>
  <si>
    <t>LED MB 9W E14 3000K PREMIUM</t>
  </si>
  <si>
    <t>KAMBE149WCB</t>
  </si>
  <si>
    <t>LED MB 9W E27 4000K PREMIUM</t>
  </si>
  <si>
    <t>KAMBE279WNB</t>
  </si>
  <si>
    <t>LED MB 9W E27 3000K PREMIUM</t>
  </si>
  <si>
    <t>KAMBE279WCB</t>
  </si>
  <si>
    <t>KINKIET DÓŁ Q15</t>
  </si>
  <si>
    <t>QUAZAR 15 1XGU10 CZARNA</t>
  </si>
  <si>
    <t>KTLOQZ15CZ</t>
  </si>
  <si>
    <t>QUAZAR 15 1XGU10 SZARA</t>
  </si>
  <si>
    <t>KTLOQZ15SZ</t>
  </si>
  <si>
    <t>LED NELIO PREMIUM 28W 60X30 4000K</t>
  </si>
  <si>
    <t>KFNOP3060NB</t>
  </si>
  <si>
    <t>NATYNKOWE HERMETYCZNE</t>
  </si>
  <si>
    <t>AQUARIUS IP44 ROUND WHITE</t>
  </si>
  <si>
    <t>KPARBI</t>
  </si>
  <si>
    <t>AQUARIUS IP44 ROUND CHROME</t>
  </si>
  <si>
    <t>KPARCH</t>
  </si>
  <si>
    <t>AQUARIUS IP44 ROUND BLACK</t>
  </si>
  <si>
    <t>KPARCZ</t>
  </si>
  <si>
    <t>AQUARIUS IP44 SQUARE WHITE</t>
  </si>
  <si>
    <t>KPASBI</t>
  </si>
  <si>
    <t>AQUARIUS IP44 SQUARE BLACK</t>
  </si>
  <si>
    <t>KPASCZ</t>
  </si>
  <si>
    <t>PIERŚCIEŃ OZDOBNY OH26N PRZEŹROCZYSTY</t>
  </si>
  <si>
    <t>KPOH26NCL</t>
  </si>
  <si>
    <t>PIERŚCIEŃ OZDOBNY OH26N CZARNY</t>
  </si>
  <si>
    <t>KPOH26NCZ</t>
  </si>
  <si>
    <t>PIERŚCIEŃ OZDOBNY OH27N PRZEŹROCZYSTY</t>
  </si>
  <si>
    <t>KPOH27NCL</t>
  </si>
  <si>
    <t>PIERŚCIEŃ OZDOBNY OH27N CZARNY</t>
  </si>
  <si>
    <t>KPOH27NCZ</t>
  </si>
  <si>
    <t>KULE</t>
  </si>
  <si>
    <t>GARDEN BALL L 1XE27</t>
  </si>
  <si>
    <t>KTGBL</t>
  </si>
  <si>
    <t>GARDEN BALL M 1XE27</t>
  </si>
  <si>
    <t>KTGBM</t>
  </si>
  <si>
    <t>GARDEN BALL S 1XE27</t>
  </si>
  <si>
    <t>KTGBS</t>
  </si>
  <si>
    <t>ARTOFLIGHT</t>
  </si>
  <si>
    <t>OPRAWA KOGE 10W 3000K WHITE</t>
  </si>
  <si>
    <t>KQKE</t>
  </si>
  <si>
    <t>OPRAWA OSLO 14W 3000K WHITE</t>
  </si>
  <si>
    <t>KQOO14W</t>
  </si>
  <si>
    <t>OPRAWA OSLO 10W 3000K WHITE</t>
  </si>
  <si>
    <t>KQOO10W</t>
  </si>
  <si>
    <t>RGB</t>
  </si>
  <si>
    <t>LED TRAMO 300 5050 IP20 RGB 5M</t>
  </si>
  <si>
    <t>KB50503NRGB</t>
  </si>
  <si>
    <t>HERMETYCZNE RGB</t>
  </si>
  <si>
    <t>LED TRAMO 300 5050 IP65 RGB 5M</t>
  </si>
  <si>
    <t>KB50503HRGB</t>
  </si>
  <si>
    <t>OPRAWA DO NABUDOWANIA OH37 S BIAŁA</t>
  </si>
  <si>
    <t>KPOH37SBI</t>
  </si>
  <si>
    <t>OPRAWA DO NABUDOWANIA OH37 S CHROM</t>
  </si>
  <si>
    <t>KPOH37SCH</t>
  </si>
  <si>
    <t>OPRAWA DO NABUDOWANIA OH37 S CZARNA</t>
  </si>
  <si>
    <t>KPOH37SCZ</t>
  </si>
  <si>
    <t>LED WL 10W 4000K</t>
  </si>
  <si>
    <t>KOWL10W</t>
  </si>
  <si>
    <t>LED SW 9W E14 6000K PREMIUM</t>
  </si>
  <si>
    <t>KASWE149WZB</t>
  </si>
  <si>
    <t>LED MB 9W E14 6000K PREMIUM</t>
  </si>
  <si>
    <t>KAMBE149WZB</t>
  </si>
  <si>
    <t>LED SW 9W E27 6000K PREMIUM</t>
  </si>
  <si>
    <t>KASWE279WZB</t>
  </si>
  <si>
    <t>NAŚWIETLACZE SOLARNE</t>
  </si>
  <si>
    <t>SOLAR LED MHC 10W 4000K</t>
  </si>
  <si>
    <t>KFNSC10NB</t>
  </si>
  <si>
    <t>SOLAR LED MHC 5W 4000K</t>
  </si>
  <si>
    <t>KFNSC5NB</t>
  </si>
  <si>
    <t>NEXTRACK NT1 30W 45ST 3400K CRI 95 BIAŁY</t>
  </si>
  <si>
    <t>02NSTT12GD5B</t>
  </si>
  <si>
    <t>NEXTRACK NT2 35W 15ST 3000K CRI 90 CZARN</t>
  </si>
  <si>
    <t>02NSTT23BA0C</t>
  </si>
  <si>
    <t>NEXTRACK NT3 35W 25ST 3000K CRI 90 CZARN</t>
  </si>
  <si>
    <t>02NSTT33DA0C</t>
  </si>
  <si>
    <t>NEXTRACK NT4 38W 12ST 3000K CRI 90 CZARN</t>
  </si>
  <si>
    <t>02NSTT44AA0C</t>
  </si>
  <si>
    <t>NEXTRACK NT4 38W 24ST 3000K CRI 90 CZARN</t>
  </si>
  <si>
    <t>02NSTT44CA0C</t>
  </si>
  <si>
    <t>NEXTRACK NT5 28W 15ST 3000K CRI 90 BIAŁY</t>
  </si>
  <si>
    <t>02NSTT51BA0B</t>
  </si>
  <si>
    <t>NEXTRACK NT5 28W 15ST 3000K CRI 90 CZARN</t>
  </si>
  <si>
    <t>02NSTT51BA0C</t>
  </si>
  <si>
    <t>NEXTRACK NT5 28W 24ST 3000K CRI 90 CZARN</t>
  </si>
  <si>
    <t>02NSTT51CA0C</t>
  </si>
  <si>
    <t>NEXTRACK NT5 28W 45ST 3000K CRI 90 CZARN</t>
  </si>
  <si>
    <t>02NSTT51GA0C</t>
  </si>
  <si>
    <t>NEXPULLOUT NP2 40W 24ST 3000K CRI 90 CZA</t>
  </si>
  <si>
    <t>02NSTP25CA0C</t>
  </si>
  <si>
    <t>SZYNA 3-FAZOWA 2M CZARNA DO NEXTRACK NT</t>
  </si>
  <si>
    <t>NTTS2C</t>
  </si>
  <si>
    <t>LED MB 4,5W E14 4000K</t>
  </si>
  <si>
    <t>KAMBE1445WNB</t>
  </si>
  <si>
    <t>LED INSERT 5W 4000K MILKY</t>
  </si>
  <si>
    <t>KAIS5WNBML</t>
  </si>
  <si>
    <t>LED INSERT 5W 6000K MILKY</t>
  </si>
  <si>
    <t>KAIS5WZBML</t>
  </si>
  <si>
    <t>LED NELIO PROFESSIONAL 48W 60X60 4000K</t>
  </si>
  <si>
    <t>KFNOP66N48</t>
  </si>
  <si>
    <t>LED SW 9W E27 3000K PREMIUM</t>
  </si>
  <si>
    <t>KASWE279WCB</t>
  </si>
  <si>
    <t>LED SW 9W E27 4000K PREMIUM</t>
  </si>
  <si>
    <t>KASWE279WNB</t>
  </si>
  <si>
    <t>LED CORTEZ 2 60W 120CM 4000K</t>
  </si>
  <si>
    <t>KFCZ260WNB</t>
  </si>
  <si>
    <t>CZĘŚCI DO OPRAW</t>
  </si>
  <si>
    <t>KLOSZ PRZYZMATIC LED HERMIC 2X120</t>
  </si>
  <si>
    <t>KKHCL2120PR</t>
  </si>
  <si>
    <t>ZASILANIE LEWE BIAŁE DO NEXTRACK NT</t>
  </si>
  <si>
    <t>NTTZLB</t>
  </si>
  <si>
    <t>ZASILANIE LEWE CZARNE DO NEXTRACK NT</t>
  </si>
  <si>
    <t>NTTZLC</t>
  </si>
  <si>
    <t>ZASILANIE PRAWE BIAŁE DO NEXTRACK NT</t>
  </si>
  <si>
    <t>NTTZPB</t>
  </si>
  <si>
    <t>ZASILANIE PRAWE CZARNE DO NEXTRACK NT</t>
  </si>
  <si>
    <t>NTTZPC</t>
  </si>
  <si>
    <t>ZAŚLEPKA BIAŁA DO NEXTRACK NT</t>
  </si>
  <si>
    <t>NTTZB</t>
  </si>
  <si>
    <t>ZAŚLEPKA CZARNA DO NEXTRACK NT</t>
  </si>
  <si>
    <t>NTTZC</t>
  </si>
  <si>
    <t>ŁĄCZNIK I WEWNĘTRZN BIAŁY DO NEXTRACK NT</t>
  </si>
  <si>
    <t>NTTLIWB</t>
  </si>
  <si>
    <t>ŁĄCZNIK I WEWNĘTRZN CZARN DO NEXTRACK NT</t>
  </si>
  <si>
    <t>NTTLIWC</t>
  </si>
  <si>
    <t>ŁĄCZNIK I ZEWNĘTRZN BIAŁY DO NEXTRACK NT</t>
  </si>
  <si>
    <t>NTTLIZB</t>
  </si>
  <si>
    <t>ŁĄCZNIK I ZEWNĘTRZN CZARN DO NEXTRACK NT</t>
  </si>
  <si>
    <t>NTTLIZC</t>
  </si>
  <si>
    <t>ŁĄCZNIK X ZEWNĘTRZN BIAŁY DO NEXTRACK NT</t>
  </si>
  <si>
    <t>NTTLXZB</t>
  </si>
  <si>
    <t>ŁĄCZNIK X ZEWNĘTRZN CZARN DO NEXTRACK NT</t>
  </si>
  <si>
    <t>NTTLXZC</t>
  </si>
  <si>
    <t>ŁĄCZNIK T ZEWNĘTRZN BIAŁY DO NEXTRACK NT</t>
  </si>
  <si>
    <t>NTTLTZB</t>
  </si>
  <si>
    <t>ŁĄCZNIK T ZEWNĘTRZN CZARN DO NEXTRACK NT</t>
  </si>
  <si>
    <t>NTTLTZC</t>
  </si>
  <si>
    <t>ŁĄCZNIK L ZEWN LEWY BIAŁY DO NEXTRACK</t>
  </si>
  <si>
    <t>NTTLZB</t>
  </si>
  <si>
    <t>ŁĄCZNIK L ZEWN LEWY CZARNY DO NEXTRACK</t>
  </si>
  <si>
    <t>NTTLZC</t>
  </si>
  <si>
    <t>ZESTAW DO ZAW SZYNY 2M BIAŁY NEXTRACK</t>
  </si>
  <si>
    <t>NTTZS2B</t>
  </si>
  <si>
    <t>ZESTAW DO ZAW SZYNY 2M CZARNY NEXTRACK</t>
  </si>
  <si>
    <t>NTTZS2C</t>
  </si>
  <si>
    <t>ES GU10</t>
  </si>
  <si>
    <t>LED ES111 15W GU10 4000K</t>
  </si>
  <si>
    <t>KAES15WNB</t>
  </si>
  <si>
    <t>LED NELIO PROFESSIONAL 40W 60X60 4000K</t>
  </si>
  <si>
    <t>KFNO3PT606NB</t>
  </si>
  <si>
    <t>LED NELIO PROFESSIONAL 40W 30X120 4000K</t>
  </si>
  <si>
    <t>KFNO3PT312NB</t>
  </si>
  <si>
    <t>PIERŚCIEŃ OZDOBNY OH51 PRZEŹROCZYSTY</t>
  </si>
  <si>
    <t>KPOH51CL</t>
  </si>
  <si>
    <t>PIERŚCIEŃ OZDOBNY OH51 CZARNY</t>
  </si>
  <si>
    <t>KPOH51CZ</t>
  </si>
  <si>
    <t>NUUK 1XGU10 BIAŁY</t>
  </si>
  <si>
    <t>KRNKBI</t>
  </si>
  <si>
    <t>NUUK 1XGU10 CZARNY</t>
  </si>
  <si>
    <t>KRNKCZ</t>
  </si>
  <si>
    <t>KINKIET DÓŁ Z CZUJNIKIEM Q15</t>
  </si>
  <si>
    <t>QUAZAR 15 LX 1XGU10 CZARNA</t>
  </si>
  <si>
    <t>KTLOQZ15LXCZ</t>
  </si>
  <si>
    <t>QUAZAR 15 LX 1XGU10 SZARA</t>
  </si>
  <si>
    <t>KTLOQZ15LXSZ</t>
  </si>
  <si>
    <t>SŁUPEK Q15</t>
  </si>
  <si>
    <t>QUAZAR 15S 1XGU10 CZARNA</t>
  </si>
  <si>
    <t>KTLOQZ15SCZ</t>
  </si>
  <si>
    <t>QUAZAR 15S 1XGU10 SZARA</t>
  </si>
  <si>
    <t>KTLOQZ15SSZ</t>
  </si>
  <si>
    <t>LED FG125 7W E27 2700K</t>
  </si>
  <si>
    <t>KAFG125E277C</t>
  </si>
  <si>
    <t>LED FST64 7W E27 2700K</t>
  </si>
  <si>
    <t>KAFST64E277C</t>
  </si>
  <si>
    <t>SOLAR LED STREET 15W 4000K</t>
  </si>
  <si>
    <t>KFNSU15NB</t>
  </si>
  <si>
    <t>MR11 GU10</t>
  </si>
  <si>
    <t>LED MR11 4W GU10 3000K</t>
  </si>
  <si>
    <t>KAM1GU4WCB</t>
  </si>
  <si>
    <t>LED MR11 4W GU10 4000K</t>
  </si>
  <si>
    <t>KAM1GU4WNB</t>
  </si>
  <si>
    <t>LED MR11 4W GU10 6000K</t>
  </si>
  <si>
    <t>KAM1GU4WZB</t>
  </si>
  <si>
    <t>LED WL 4W 4000K</t>
  </si>
  <si>
    <t>KOWL4W</t>
  </si>
  <si>
    <t>RAMKA 45MM DO PANELU LED 60X60 KLIK</t>
  </si>
  <si>
    <t>KFNORK6060</t>
  </si>
  <si>
    <t>LED FGS 7W E27 3000K</t>
  </si>
  <si>
    <t>KAFGSE277WCB</t>
  </si>
  <si>
    <t>LED FGS 11,5W E27 3000K</t>
  </si>
  <si>
    <t>KAFGSE27115C</t>
  </si>
  <si>
    <t>LED FGS 11,5W E27 4000K</t>
  </si>
  <si>
    <t>KAFGSE27115N</t>
  </si>
  <si>
    <t>OPRAWA DO NABUDOWANIA KIVI 1XGU10 BL/G</t>
  </si>
  <si>
    <t>KPKIBLG</t>
  </si>
  <si>
    <t>OPRAWA DO NABUDOWANIA KIVI 1XGU10 WH/G</t>
  </si>
  <si>
    <t>KPKIWHG</t>
  </si>
  <si>
    <t>OPRAWA DO NABUDOWANIA KIVI 1XGU10 BL/BL</t>
  </si>
  <si>
    <t>KPKIBL</t>
  </si>
  <si>
    <t>OPRAWA DO NABUDOWANIA KIVI 1XGU10 WH/WH</t>
  </si>
  <si>
    <t>KPKIWH</t>
  </si>
  <si>
    <t>GLOB E27</t>
  </si>
  <si>
    <t>LED G120 24W E27 3000K</t>
  </si>
  <si>
    <t>KAG120E2724C</t>
  </si>
  <si>
    <t>LED G120 24W E27 4000K</t>
  </si>
  <si>
    <t>KAG120E2724N</t>
  </si>
  <si>
    <t>T8 G13</t>
  </si>
  <si>
    <t>LED T8 9W 60CM 4000K PREMIUM</t>
  </si>
  <si>
    <t>KAT89WNBP</t>
  </si>
  <si>
    <t>LED T8 9W 60CM 6500K PREMIUM</t>
  </si>
  <si>
    <t>KAT89WZBP</t>
  </si>
  <si>
    <t>LED T8 18W 120CM 4000K PREMIUM</t>
  </si>
  <si>
    <t>KAT818WNBP</t>
  </si>
  <si>
    <t>LED T8 18W 120CM 6500K PREMIUM</t>
  </si>
  <si>
    <t>KAT818WZBP</t>
  </si>
  <si>
    <t>LED T8 22W 150CM 4000K PREMIUM</t>
  </si>
  <si>
    <t>KAT822WNBP</t>
  </si>
  <si>
    <t>LED T8 22W 150CM 6500K PREMIUM</t>
  </si>
  <si>
    <t>KAT822WZBP</t>
  </si>
  <si>
    <t>LED2B</t>
  </si>
  <si>
    <t>LED T8 22W 150CM 4000K LED2B</t>
  </si>
  <si>
    <t>KALT822WNB</t>
  </si>
  <si>
    <t>LED T8 22W 150CM 6500K LED2B</t>
  </si>
  <si>
    <t>KALT822WZB</t>
  </si>
  <si>
    <t>LED INSERT 6,5W 3000K MILKY</t>
  </si>
  <si>
    <t>KAIS7WCBML</t>
  </si>
  <si>
    <t>LED INSERT 6,5W 4000K MILKY</t>
  </si>
  <si>
    <t>KAIS7WNBML</t>
  </si>
  <si>
    <t>LED INSERT 6,5W 6000K MILKY</t>
  </si>
  <si>
    <t>KAIS7WZBML</t>
  </si>
  <si>
    <t>LED FGS 7W E27 4000K</t>
  </si>
  <si>
    <t>KAFGSE277WNB</t>
  </si>
  <si>
    <t>LED FGS 8W E27 4000K</t>
  </si>
  <si>
    <t>KAFGSE278NB</t>
  </si>
  <si>
    <t>NEXTRACK NT4 38W 60ST 4000K CRI 90 CZ. P</t>
  </si>
  <si>
    <t>02NSTT4HG0CP</t>
  </si>
  <si>
    <t>LED GS 18W E27 3000K</t>
  </si>
  <si>
    <t>KAGSE2718CB2</t>
  </si>
  <si>
    <t>LED MB 7W E27 3000K LED2B</t>
  </si>
  <si>
    <t>KALMBE277CB</t>
  </si>
  <si>
    <t>LINKA DO PANELU LED</t>
  </si>
  <si>
    <t>KFNOLA1</t>
  </si>
  <si>
    <t>LED NEGRO 36W 4000K</t>
  </si>
  <si>
    <t>KFNR36NB</t>
  </si>
  <si>
    <t>LED NEGRO 36W 6000K</t>
  </si>
  <si>
    <t>KFNR36ZB</t>
  </si>
  <si>
    <t>LED GS 7W E27 3000K LED2B</t>
  </si>
  <si>
    <t>KALGSE277C2</t>
  </si>
  <si>
    <t>LED GS 7W E27 4000K LED2B</t>
  </si>
  <si>
    <t>KALGSE277N2</t>
  </si>
  <si>
    <t>LED MB 7W E14 3000K LED2B</t>
  </si>
  <si>
    <t>KALMBE147CB</t>
  </si>
  <si>
    <t>LED MB 7W E14 4000K LED2B</t>
  </si>
  <si>
    <t>KALMBE147NB</t>
  </si>
  <si>
    <t>LED MB 7W E27 4000K LED2B</t>
  </si>
  <si>
    <t>KALMBE277NB</t>
  </si>
  <si>
    <t>LED SW 7W E14 3000K LED2B</t>
  </si>
  <si>
    <t>KALSWE147CB</t>
  </si>
  <si>
    <t>LED SW 7W E14 4000K LED2B</t>
  </si>
  <si>
    <t>KALSWE147NB</t>
  </si>
  <si>
    <t>LED SW 7W E27 3000K LED2B</t>
  </si>
  <si>
    <t>KALSWE277CB</t>
  </si>
  <si>
    <t>LED SW 7W E27 4000K LED2B</t>
  </si>
  <si>
    <t>KALSWE277NB</t>
  </si>
  <si>
    <t>NAŚWIETLACZE</t>
  </si>
  <si>
    <t>LED MH 10W CZARNA 6500K LED2B</t>
  </si>
  <si>
    <t>KFLNL10ZBCZ</t>
  </si>
  <si>
    <t>LED MH 20W CZARNA 6500K LED2B</t>
  </si>
  <si>
    <t>KFLNL20ZBCZ</t>
  </si>
  <si>
    <t>LED MH 50W CZARNA 6500K LED2B</t>
  </si>
  <si>
    <t>KFLNL50ZBCZ</t>
  </si>
  <si>
    <t>LED MH 30W CZARNA 6500K LED2B</t>
  </si>
  <si>
    <t>KFLNL30ZBCZ</t>
  </si>
  <si>
    <t>LED MH 100W CZARNA 6500K LED2B</t>
  </si>
  <si>
    <t>KFLNL100ZBCZ</t>
  </si>
  <si>
    <t>NAŚWIETLACZE Z CZUJNIKIEM</t>
  </si>
  <si>
    <t>LED MHC 10W CZARNA 6500K LED2B</t>
  </si>
  <si>
    <t>KFLNLC10ZBCZ</t>
  </si>
  <si>
    <t>LED MHC 20W CZARNA 6500K LED2B</t>
  </si>
  <si>
    <t>KFLNLC20ZBCZ</t>
  </si>
  <si>
    <t>LED MHC 30W CZARNA 6500K LED2B</t>
  </si>
  <si>
    <t>KFLNLC30ZBCZ</t>
  </si>
  <si>
    <t>LED MHC 50W CZARNA 6500K LED2B</t>
  </si>
  <si>
    <t>KFLNLC50ZBCZ</t>
  </si>
  <si>
    <t>RAMKA 63MM DO PANELU LED 60X60 KLIK</t>
  </si>
  <si>
    <t>KFNORC6060</t>
  </si>
  <si>
    <t>LED GU10 7W 3000K PREMIUM</t>
  </si>
  <si>
    <t>KAGU7,0CBPRE</t>
  </si>
  <si>
    <t>LED WL 14W 4000K</t>
  </si>
  <si>
    <t>KOWL14W</t>
  </si>
  <si>
    <t>NEXTRACK NT4 MINI 10W 36ST 4000K CRI90 C</t>
  </si>
  <si>
    <t>02NSTM46FG0C</t>
  </si>
  <si>
    <t>HIGH BAY</t>
  </si>
  <si>
    <t>KOBI PROFESSIONAL</t>
  </si>
  <si>
    <t>LED NEO HIGH BAY 200W 110° 4000K IP65</t>
  </si>
  <si>
    <t>02NSNO20114</t>
  </si>
  <si>
    <t>UCHWYT DO NEO HB 150W/200W</t>
  </si>
  <si>
    <t>NNOU150</t>
  </si>
  <si>
    <t>LED FMB 1,3W E27 2700K</t>
  </si>
  <si>
    <t>KAFMBE271WCB</t>
  </si>
  <si>
    <t>GIRLANDY</t>
  </si>
  <si>
    <t>GIRLANDA MIMOSA 10M 20XE27</t>
  </si>
  <si>
    <t>KTMA10M20G</t>
  </si>
  <si>
    <t>GIRLANDA MIMOSA 20M 20XE27</t>
  </si>
  <si>
    <t>KTMA20M20G</t>
  </si>
  <si>
    <t>HERMETYCZNE KOLOROWE</t>
  </si>
  <si>
    <t>LED TRAMO 300 2835 IP65 RED 5M</t>
  </si>
  <si>
    <t>KB2835HR</t>
  </si>
  <si>
    <t>LED GU10 7W 4000K PREMIUM</t>
  </si>
  <si>
    <t>KAGU7,0NBPRE</t>
  </si>
  <si>
    <t>LED GU10 7W 6500K PREMIUM</t>
  </si>
  <si>
    <t>KAGU7,0ZBPRE</t>
  </si>
  <si>
    <t>RAMKA 63MM DO PANELU LED 30X120 KLIK</t>
  </si>
  <si>
    <t>KFNORC30120</t>
  </si>
  <si>
    <t>RAMKA 45MM DO PANELU LED 30X120 KLIK</t>
  </si>
  <si>
    <t>KFNORK30120</t>
  </si>
  <si>
    <t>LED G9 6W 3000K</t>
  </si>
  <si>
    <t>KAG96WCB2</t>
  </si>
  <si>
    <t>LED G9 6W 4000K</t>
  </si>
  <si>
    <t>KAG96WNB2</t>
  </si>
  <si>
    <t>LED G9 6W 6000K</t>
  </si>
  <si>
    <t>KAG96WZB2</t>
  </si>
  <si>
    <t>PLAFONIERY PT</t>
  </si>
  <si>
    <t>LED NEXEYE NE1 PT 15W 4000K IP44</t>
  </si>
  <si>
    <t>02NSNNP15NBT</t>
  </si>
  <si>
    <t>LED NEXEYE NE1 PT 20W 4000K IP44</t>
  </si>
  <si>
    <t>02NSNNP20NBT</t>
  </si>
  <si>
    <t>LED NEXEYE NE1 PT 30W 4000K IP44</t>
  </si>
  <si>
    <t>02NSNNP30NBT</t>
  </si>
  <si>
    <t>PANELE NISKI UGR</t>
  </si>
  <si>
    <t>LED CAPRI PRO 40W 120X30 4000K UGR&lt;19</t>
  </si>
  <si>
    <t>KFCP312NBU</t>
  </si>
  <si>
    <t>LED MH 10W CZARNA 4000K LED2B</t>
  </si>
  <si>
    <t>KFLNL10NBCZ</t>
  </si>
  <si>
    <t>LED MH 20W CZARNA 4000K LED2B</t>
  </si>
  <si>
    <t>KFLNL20NBCZ</t>
  </si>
  <si>
    <t>LED MH 30W CZARNA 4000K LED2B</t>
  </si>
  <si>
    <t>KFLNL30NBCZ</t>
  </si>
  <si>
    <t>LED MH 50W CZARNA 4000K LED2B</t>
  </si>
  <si>
    <t>KFLNL50NBCZ</t>
  </si>
  <si>
    <t>LED MHC 10W CZARNA 4000K LED2B</t>
  </si>
  <si>
    <t>KFLNLC10NBCZ</t>
  </si>
  <si>
    <t>LED MHC 20W CZARNA 4000K LED2B</t>
  </si>
  <si>
    <t>KFLNLC20NBCZ</t>
  </si>
  <si>
    <t>LED MHC 30W CZARNA 4000K LED2B</t>
  </si>
  <si>
    <t>KFLNLC30NBCZ</t>
  </si>
  <si>
    <t>LED MHC 50W CZARNA 4000K LED2B</t>
  </si>
  <si>
    <t>KFLNLC50NBCZ</t>
  </si>
  <si>
    <t>LED CAMARO 40W 60X60 4000K LED2B</t>
  </si>
  <si>
    <t>KFLCO40NB</t>
  </si>
  <si>
    <t>LED NEXPRO FL 150W 4000K 45/80ST</t>
  </si>
  <si>
    <t>02NSNX15484</t>
  </si>
  <si>
    <t>LED GU10 5W 3000K PREMIUM</t>
  </si>
  <si>
    <t>KAGU5,0CBPRE</t>
  </si>
  <si>
    <t>LED GU10 5W 4000K PREMIUM</t>
  </si>
  <si>
    <t>KAGU5,0NBPRE</t>
  </si>
  <si>
    <t>LED GU10 5W 6500K PREMIUM</t>
  </si>
  <si>
    <t>KAGU5,0ZBPRE</t>
  </si>
  <si>
    <t>LED NEXPRO FL 150W 4000K</t>
  </si>
  <si>
    <t>02NSNX15114</t>
  </si>
  <si>
    <t>LED ARIEL 40W 4400LM 4000K  IP44</t>
  </si>
  <si>
    <t>02NSAL40NB</t>
  </si>
  <si>
    <t>NEXTRACK NT4 MINI 10W 36ST 4000K CRI90 B</t>
  </si>
  <si>
    <t>02NSTM46FG0B</t>
  </si>
  <si>
    <t>QUAZAR 17 1XGU10 SZARA</t>
  </si>
  <si>
    <t>KTLOQZ17SZ</t>
  </si>
  <si>
    <t>QUAZAR 17 1XGU10 CZARNA</t>
  </si>
  <si>
    <t>KTLOQZ17CZ</t>
  </si>
  <si>
    <t>QUAZAR 18 1XGU10 SZARA</t>
  </si>
  <si>
    <t>KTLOQZ18SZ</t>
  </si>
  <si>
    <t>QUAZAR 18 1XGU10 CZARNA</t>
  </si>
  <si>
    <t>KTLOQZ18CZ</t>
  </si>
  <si>
    <t>GS E27 WIFI</t>
  </si>
  <si>
    <t>SMARTHOME</t>
  </si>
  <si>
    <t>LED GS 18W E27 4000K</t>
  </si>
  <si>
    <t>KAGSE2718NB2</t>
  </si>
  <si>
    <t>LED GS 18W E27 6000K</t>
  </si>
  <si>
    <t>KAGSE2718ZB2</t>
  </si>
  <si>
    <t>STARTERY</t>
  </si>
  <si>
    <t>STARTER DO LED T8</t>
  </si>
  <si>
    <t>KYSLT8</t>
  </si>
  <si>
    <t>LED MB 4,5W E27 4000K</t>
  </si>
  <si>
    <t>KAMBE2745WNB</t>
  </si>
  <si>
    <t>LED TRAMO 150 5050 IP20 RGB 5M</t>
  </si>
  <si>
    <t>KB50501NRGB</t>
  </si>
  <si>
    <t>LED TRAMO 150 5050 IP65 RGB 5M</t>
  </si>
  <si>
    <t>KB50501HRGB</t>
  </si>
  <si>
    <t>LED MB 9W E27 6000K PREMIUM</t>
  </si>
  <si>
    <t>KAMBE279WZB</t>
  </si>
  <si>
    <t>LED GU10 3W 3000K PREMIUM</t>
  </si>
  <si>
    <t>KAGU3,0CBPRE</t>
  </si>
  <si>
    <t>LED GU10 3W 4000K PREMIUM</t>
  </si>
  <si>
    <t>KAGU3,0NBPRE</t>
  </si>
  <si>
    <t>LED GU10 3W 6200K PREMIUM</t>
  </si>
  <si>
    <t>KAGU3,0ZBPRE</t>
  </si>
  <si>
    <t>LED MB 7W E14 6500K LED2B</t>
  </si>
  <si>
    <t>KALMBE147ZB</t>
  </si>
  <si>
    <t>LED MB 7W E27 6500K LED2B</t>
  </si>
  <si>
    <t>KALMBE277ZB</t>
  </si>
  <si>
    <t>LED SW 7W E14 6500K LED2B</t>
  </si>
  <si>
    <t>KALSWE147ZB</t>
  </si>
  <si>
    <t>LED SW 7W E27 6500K LED2B</t>
  </si>
  <si>
    <t>KALSWE277ZB</t>
  </si>
  <si>
    <t>AKUM. 18650 3,7V 7,2AH (SOLAR MHC/S 10W)</t>
  </si>
  <si>
    <t>KFNSC10BAT</t>
  </si>
  <si>
    <t>AKUM. 18650 3,7V 3AH (SOLAR MHC 5W)</t>
  </si>
  <si>
    <t>KFNSC5BAT</t>
  </si>
  <si>
    <t>AKUM. 18650 7,4V 5,4AH (SOLAR STREET 15W</t>
  </si>
  <si>
    <t>KFNSU15BAT</t>
  </si>
  <si>
    <t>LED TRAMO 300 2835 IP65 YELLOW 5M</t>
  </si>
  <si>
    <t>KB2835HY</t>
  </si>
  <si>
    <t>KOLOROWE</t>
  </si>
  <si>
    <t>LED TRAMO 300 2835 IP20 YELLOW 5M</t>
  </si>
  <si>
    <t>KB2835NY</t>
  </si>
  <si>
    <t>LED SW 1,5W E14 4000K</t>
  </si>
  <si>
    <t>KASWE1415NB</t>
  </si>
  <si>
    <t>LED SW 1,5W E14 6000K</t>
  </si>
  <si>
    <t>KASWE1415ZB</t>
  </si>
  <si>
    <t>LED SIGARO CIRCLE PT 6W 4000K PREMIUM</t>
  </si>
  <si>
    <t>KFSCPP6NB</t>
  </si>
  <si>
    <t>LED SIGARO CIRCLE PT 12W 4000K PREMIUM</t>
  </si>
  <si>
    <t>KFSCPP12NB</t>
  </si>
  <si>
    <t>LED SIGARO CIRCLE PT 18W 4000K PREMIUM</t>
  </si>
  <si>
    <t>KFSCPP18NB</t>
  </si>
  <si>
    <t>LED SIGARO CIRCLE PT 24W 4000K PREMIUM</t>
  </si>
  <si>
    <t>KFSCPP24NB</t>
  </si>
  <si>
    <t>LED SIGARO CIRCLE 18W 4000K PREMIUM</t>
  </si>
  <si>
    <t>KFSCNP18NB</t>
  </si>
  <si>
    <t>LED SIGARO CIRCLE 24W 4000K PREMIUM</t>
  </si>
  <si>
    <t>KFSCNP24NB</t>
  </si>
  <si>
    <t>LED SIGARO SQUARE 18W 4000K PREMIUM</t>
  </si>
  <si>
    <t>KFSSNP18NB</t>
  </si>
  <si>
    <t>LED SIGARO SQUARE 24W 4000K PREMIUM</t>
  </si>
  <si>
    <t>KFSSNP24NB</t>
  </si>
  <si>
    <t>LED TRAMO 300 2835 IP65 GREEN 5M</t>
  </si>
  <si>
    <t>KB2835HG</t>
  </si>
  <si>
    <t>LED TRAMO 300 2835 IP20 RED 5M</t>
  </si>
  <si>
    <t>KB2835NR</t>
  </si>
  <si>
    <t>LED TRAMO 300 2835 IP20 GREEN 5M</t>
  </si>
  <si>
    <t>KB2835NG</t>
  </si>
  <si>
    <t>LED RIO HIGH BAY 150W 4000K</t>
  </si>
  <si>
    <t>KFRO150NB</t>
  </si>
  <si>
    <t>ROMERO 2XE27 CZARNA</t>
  </si>
  <si>
    <t>KKROCZ</t>
  </si>
  <si>
    <t>SAMIRA B 2XE27 CZARNA</t>
  </si>
  <si>
    <t>KKSABCZ</t>
  </si>
  <si>
    <t>SAMIRA S 2XE27 CZARNA</t>
  </si>
  <si>
    <t>KKSASCZ</t>
  </si>
  <si>
    <t>LED T 4,2W E14 4000K</t>
  </si>
  <si>
    <t>KATE1442WNB</t>
  </si>
  <si>
    <t>LED GS 7W E27 6500K LED2B</t>
  </si>
  <si>
    <t>KALGSE277Z2</t>
  </si>
  <si>
    <t>LED NEXFORCE1 40W 4000K</t>
  </si>
  <si>
    <t>02NSNF140NB</t>
  </si>
  <si>
    <t>LED NEXFORCE1 60W 4000K</t>
  </si>
  <si>
    <t>02NSNF160NB</t>
  </si>
  <si>
    <t>HERMES 2X120 LED2B</t>
  </si>
  <si>
    <t>KFHS2120</t>
  </si>
  <si>
    <t>SZYNA 3-FAZOWA 2M BIAŁA DO NEXTRACK NT</t>
  </si>
  <si>
    <t>NTTS2B1</t>
  </si>
  <si>
    <t>LED MHN 10W 4000K</t>
  </si>
  <si>
    <t>KFNLN10NB2</t>
  </si>
  <si>
    <t>LED MHN 10W 6500K</t>
  </si>
  <si>
    <t>KFNLN10ZB2</t>
  </si>
  <si>
    <t>LED MHN 20W 6500K</t>
  </si>
  <si>
    <t>KFNLN20ZB2</t>
  </si>
  <si>
    <t>LED MHN 30W 6500K</t>
  </si>
  <si>
    <t>KFNLN30ZB2</t>
  </si>
  <si>
    <t>LED MHN 50W 6500K</t>
  </si>
  <si>
    <t>KFNLN50ZB2</t>
  </si>
  <si>
    <t>ZASILACZ DESKTOP 12V  30W 2,5A</t>
  </si>
  <si>
    <t>KYZD30W</t>
  </si>
  <si>
    <t>ZASILACZ DESKTOP 12V  36W 3,0A</t>
  </si>
  <si>
    <t>KYZD36W</t>
  </si>
  <si>
    <t>SOLAR LED NCS 10W 6500K LED2B</t>
  </si>
  <si>
    <t>KFLNCS10ZB</t>
  </si>
  <si>
    <t>SOLAR LED NCS 20W 6500K LED2B</t>
  </si>
  <si>
    <t>KFLNCS20ZB</t>
  </si>
  <si>
    <t>SOLAR LED NCS 30W 6500K LED2B</t>
  </si>
  <si>
    <t>KFLNCS30ZB</t>
  </si>
  <si>
    <t>GS E27 LX</t>
  </si>
  <si>
    <t>LED GS 9W E27 3000K LX PREMIUM</t>
  </si>
  <si>
    <t>KAGSE279WCPX</t>
  </si>
  <si>
    <t>UCHWYT DO RIO HB 100W/150W/200W</t>
  </si>
  <si>
    <t>KFROU</t>
  </si>
  <si>
    <t>WENTYLATORY</t>
  </si>
  <si>
    <t>WINDSTAR</t>
  </si>
  <si>
    <t>WENTYLATOR PODŁOGOWY VIENTO 45W BIAŁY</t>
  </si>
  <si>
    <t>KZWVOP45WB</t>
  </si>
  <si>
    <t>WENTYLATOR PODŁOGOWY VIENTO 45W CZARNY</t>
  </si>
  <si>
    <t>KZWVOP45WC</t>
  </si>
  <si>
    <t>ZASILACZ DESKTOP 12V  60W 5,0A</t>
  </si>
  <si>
    <t>KYZD60W</t>
  </si>
  <si>
    <t>ZASILACZ DESKTOP 12V  42W 3,5A</t>
  </si>
  <si>
    <t>KYZD42W</t>
  </si>
  <si>
    <t>LED VESPA 100W 4000K 120*80</t>
  </si>
  <si>
    <t>KFVA100NBAS</t>
  </si>
  <si>
    <t>LED VESPA 200W 4000K 120*80</t>
  </si>
  <si>
    <t>KFVA200NBAS</t>
  </si>
  <si>
    <t>LED MHNC 20W 4000K</t>
  </si>
  <si>
    <t>KFNLNC20NB2</t>
  </si>
  <si>
    <t>LED ZOE 12W 4000K CZARNA PREMIUM</t>
  </si>
  <si>
    <t>KFZE12WNBCZ</t>
  </si>
  <si>
    <t>PLAFONIERY Z CZUJNIKIEM</t>
  </si>
  <si>
    <t>LED ZOE LX 24W 4000K CZARNA PREMIUM</t>
  </si>
  <si>
    <t>KFZX24WNBCZ</t>
  </si>
  <si>
    <t>OPRAWY HERMETYCZNE</t>
  </si>
  <si>
    <t>LED DEFENDER 18W 4000K IP66</t>
  </si>
  <si>
    <t>KFDR18WNBBI</t>
  </si>
  <si>
    <t>LED DEFENDER 24W 4000K IP66</t>
  </si>
  <si>
    <t>KFDR24WNBBI</t>
  </si>
  <si>
    <t>OPRAWY HERMETYCZNE Z CZUJNIKIEM</t>
  </si>
  <si>
    <t>LED DEFENDER LX 18W 4000K IP66</t>
  </si>
  <si>
    <t>KFDX18WNBBI</t>
  </si>
  <si>
    <t>LED DEFENDER LX 24W 4000K IP66</t>
  </si>
  <si>
    <t>KFDX24WNBBI</t>
  </si>
  <si>
    <t>LED ZOE 24W 4000K BIAŁA PREMIUM</t>
  </si>
  <si>
    <t>KFZE24WNBBI</t>
  </si>
  <si>
    <t>LED CORTEZ 3 18W 4000K</t>
  </si>
  <si>
    <t>KFCZ318WNB</t>
  </si>
  <si>
    <t>LED CORTEZ 3 36W 4000K</t>
  </si>
  <si>
    <t>KFCZ336WNB</t>
  </si>
  <si>
    <t>LED ZOE 12W 4000K BIAŁA PREMIUM</t>
  </si>
  <si>
    <t>KFZE12WNBBI</t>
  </si>
  <si>
    <t>WENTYLATOR PODŁOGOWY VIENTO-R 45W CZARNY</t>
  </si>
  <si>
    <t>KZWVRP45WC</t>
  </si>
  <si>
    <t>WENTYLATOR PODŁOGOWY VIENTO 100W</t>
  </si>
  <si>
    <t>KZWVOP100WH</t>
  </si>
  <si>
    <t>HERMIC 2X60</t>
  </si>
  <si>
    <t>KFHCL260</t>
  </si>
  <si>
    <t>HERMIC 1X150</t>
  </si>
  <si>
    <t>KFHCL1150</t>
  </si>
  <si>
    <t>NUUK PT 1XGU10 BIAŁY</t>
  </si>
  <si>
    <t>KRNKPTBI</t>
  </si>
  <si>
    <t>NUUK PT 1XGU10 CZARNY</t>
  </si>
  <si>
    <t>KRNKPTCZ</t>
  </si>
  <si>
    <t>TERMOWENTYLATORY</t>
  </si>
  <si>
    <t>GRZEJNIK OLEJOWY YUGO-11 2500W</t>
  </si>
  <si>
    <t>KGYO</t>
  </si>
  <si>
    <t>SOLAR LED STREET 40W 4000K</t>
  </si>
  <si>
    <t>KFNSU40NB</t>
  </si>
  <si>
    <t>LED GS 9W E27 4000K LX PREMIUM</t>
  </si>
  <si>
    <t>KAGSE279WNPX</t>
  </si>
  <si>
    <t>LED GS 9W E27 6500K LX PREMIUM</t>
  </si>
  <si>
    <t>KAGSE279WZPX</t>
  </si>
  <si>
    <t>LED NEXEYE NE1 PT 15W 4000K IP44 DALI</t>
  </si>
  <si>
    <t>02NSNNP15NBD</t>
  </si>
  <si>
    <t>LED NEXEYE NE1 PT 20W 4000K IP44 DALI</t>
  </si>
  <si>
    <t>02NSNNP20NBD</t>
  </si>
  <si>
    <t>LED NEXEYE NE1 PT 30W 4000K IP44 DALI</t>
  </si>
  <si>
    <t>02NSNNP30NBD</t>
  </si>
  <si>
    <t>ZASILACZ DESKTOP 12V  24W 2,0A</t>
  </si>
  <si>
    <t>KYZD24</t>
  </si>
  <si>
    <t>NEXTRACK NT4 38W 36ST 4000K CRI 90 CZ. P</t>
  </si>
  <si>
    <t>ONNSTT4HG0BP</t>
  </si>
  <si>
    <t>ŁĄCZNIK L ZEWN PRAWY CZARNY DO NEXTRACK</t>
  </si>
  <si>
    <t>NTTPZC</t>
  </si>
  <si>
    <t>ŁĄCZNIK L ZEWN PRAWY BIAŁY DO NEXTRACK</t>
  </si>
  <si>
    <t>NTTPZB</t>
  </si>
  <si>
    <t>LED MOSS 10W 3000K BLACK</t>
  </si>
  <si>
    <t>KFMS10CBC</t>
  </si>
  <si>
    <t>LED MOSS 20W 3000K BLACK</t>
  </si>
  <si>
    <t>KFMS20CBC</t>
  </si>
  <si>
    <t>RAMKA 45MM DO PANELU LED 30X60 KLIK</t>
  </si>
  <si>
    <t>KFNORK3060</t>
  </si>
  <si>
    <t>LED NEXTUBE T8 18W 120CM 4000K</t>
  </si>
  <si>
    <t>01NST818WNB</t>
  </si>
  <si>
    <t>LED NEXTUBE T8 24W 150CM 4000K</t>
  </si>
  <si>
    <t>01NST824WNB</t>
  </si>
  <si>
    <t>LED MH 100W CZARNA 4000K LED2B</t>
  </si>
  <si>
    <t>KFLNL100NBCZ</t>
  </si>
  <si>
    <t>NEXTRACK NT4 MINI 20W 60ST 4000K CRI90 B</t>
  </si>
  <si>
    <t>02NSTM47HG0B</t>
  </si>
  <si>
    <t>NEXPULLOUT NP2 40W 36ST 3000K CRI 90 CZA</t>
  </si>
  <si>
    <t>02NSTP25FA0C</t>
  </si>
  <si>
    <t>LED ORIO 60X60 18W</t>
  </si>
  <si>
    <t>02NSOO18WNB</t>
  </si>
  <si>
    <t>LED ORIO 60X60 20W</t>
  </si>
  <si>
    <t>02NSOO20WNB</t>
  </si>
  <si>
    <t>LED ORIO 60X60 22W</t>
  </si>
  <si>
    <t>02NSOO22WNB</t>
  </si>
  <si>
    <t>LED ORIO 60X60 24W</t>
  </si>
  <si>
    <t>02NSOO24WNB</t>
  </si>
  <si>
    <t>LED ORIO 60X60 26W</t>
  </si>
  <si>
    <t>02NSOO26WNB</t>
  </si>
  <si>
    <t>LED ORIO 60X60 28W</t>
  </si>
  <si>
    <t>02NSOO28WNB</t>
  </si>
  <si>
    <t>LED ORIO 60X60 30W</t>
  </si>
  <si>
    <t>02NSOO30WNB</t>
  </si>
  <si>
    <t>LED ORIO 60X60 32W</t>
  </si>
  <si>
    <t>02NSOO32WNB</t>
  </si>
  <si>
    <t>LED ORIO 60X60 34W</t>
  </si>
  <si>
    <t>02NSOO34WNB</t>
  </si>
  <si>
    <t>LED ORIO 60X60 36W</t>
  </si>
  <si>
    <t>02NSOO36WNB</t>
  </si>
  <si>
    <t>LED ORIO 60X60 38W</t>
  </si>
  <si>
    <t>02NSOO38WNB</t>
  </si>
  <si>
    <t>LED ORIO 60X60 40W</t>
  </si>
  <si>
    <t>02NSOO40WNB</t>
  </si>
  <si>
    <t>ZESTAW HERMETIC 2X120 + LED T8 18W 6500K</t>
  </si>
  <si>
    <t>KFHC218ZB1</t>
  </si>
  <si>
    <t>LED HALO 5W 4000K</t>
  </si>
  <si>
    <t>KQHO5NB</t>
  </si>
  <si>
    <t>LED GU10 9W 4000K PREMIUM</t>
  </si>
  <si>
    <t>KAGU9NB</t>
  </si>
  <si>
    <t>ZASILACZ INSTALACYJNY 12V 10W 0,83A IP67</t>
  </si>
  <si>
    <t>KYZI12V10W</t>
  </si>
  <si>
    <t>ZASILACZ INSTALACYJNY 12V 60W 5,0A IP67</t>
  </si>
  <si>
    <t>KYZI12V60W</t>
  </si>
  <si>
    <t>PIERŚCIEŃ OZDOBNY OH14 MAT CZARNY</t>
  </si>
  <si>
    <t>KPOH14MCZ</t>
  </si>
  <si>
    <t>PIERŚCIEŃ OZDOBNY OH15 MAT CZARNY</t>
  </si>
  <si>
    <t>KPOH15MCZ</t>
  </si>
  <si>
    <t>PIERŚCIEŃ OZDOBNY OH22 MAT CZARNY</t>
  </si>
  <si>
    <t>KPOH22MCZ</t>
  </si>
  <si>
    <t>PIERŚCIEŃ OZDOBNY OH28 MAT BIAŁY</t>
  </si>
  <si>
    <t>KPOH28MBI</t>
  </si>
  <si>
    <t>PIERŚCIEŃ OZDOBNY OH29 MAT BIAŁY</t>
  </si>
  <si>
    <t>KPOH29MBI</t>
  </si>
  <si>
    <t>PIERŚCIEŃ OZDOBNY OH29 MAT CZARNY</t>
  </si>
  <si>
    <t>KPOH29MCZ</t>
  </si>
  <si>
    <t>PIERŚCIEŃ OZDOBNY OH34 MAT CZARNY</t>
  </si>
  <si>
    <t>KPOH34MCZ</t>
  </si>
  <si>
    <t>LED MHN 100W 6500K</t>
  </si>
  <si>
    <t>KFNLN100ZB</t>
  </si>
  <si>
    <t>G4</t>
  </si>
  <si>
    <t>LED G4 1,5W 3000K</t>
  </si>
  <si>
    <t>KAG41,5WCB</t>
  </si>
  <si>
    <t>LED G4 1,5W 4000K</t>
  </si>
  <si>
    <t>KAG41,5WNB</t>
  </si>
  <si>
    <t>OSŁONA DO NEO HB 150W/200W</t>
  </si>
  <si>
    <t>NNOO20</t>
  </si>
  <si>
    <t>ZESTAW HERMETIC 2X120 + LED T8 18W 4000K</t>
  </si>
  <si>
    <t>KFHC218NB1</t>
  </si>
  <si>
    <t>PRZEDŁUŻACZE</t>
  </si>
  <si>
    <t>PRZEDŁUŻACZ KOBI LINEA 3GN/1,5M/ZU</t>
  </si>
  <si>
    <t>KGLAZ3G1,5M</t>
  </si>
  <si>
    <t>PRZEDŁUŻACZ KOBI LINEA 3GN/3M/ZU</t>
  </si>
  <si>
    <t>KGLAZ3G3M</t>
  </si>
  <si>
    <t>PRZEDŁUŻACZ KOBI LINEA 3GN/5M/ZU</t>
  </si>
  <si>
    <t>KGLAZ3G5M</t>
  </si>
  <si>
    <t>PRZEDŁUŻACZ KOBI LINEA 4GN/1,5M/ZU</t>
  </si>
  <si>
    <t>KGLAZ4G1,5M</t>
  </si>
  <si>
    <t>PRZEDŁUŻACZ KOBI LINEA 5GN/3M/ZU</t>
  </si>
  <si>
    <t>KGLAZ5G3M</t>
  </si>
  <si>
    <t>PRZEDŁUŻACZ KOBI LINEA 5GN/3M/ZU+W</t>
  </si>
  <si>
    <t>KGLAZW5G3M</t>
  </si>
  <si>
    <t>PRZEDŁUŻACZ KOBI LINEA 5GN/5M/ZU+W</t>
  </si>
  <si>
    <t>KGLAZW5G5M</t>
  </si>
  <si>
    <t>LED T8 18W 120CM 6500K LED2B</t>
  </si>
  <si>
    <t>KALT818ZB</t>
  </si>
  <si>
    <t>LED NUMOS LX 7W 4000K</t>
  </si>
  <si>
    <t>02NSNSX7WNB</t>
  </si>
  <si>
    <t>LED ORBIS LX 10W 4000K</t>
  </si>
  <si>
    <t>02NSOSX10WNB</t>
  </si>
  <si>
    <t>LED CAPRI PROFESSIONAL 40W 30X120 4000K</t>
  </si>
  <si>
    <t>KFCP312NB</t>
  </si>
  <si>
    <t>GRZEJNIK KONWEKTOROWY SONDO 2000W TURBO</t>
  </si>
  <si>
    <t>KGST</t>
  </si>
  <si>
    <t>LED ZOE LX 13W 4000K CZARNA PREMIUM</t>
  </si>
  <si>
    <t>KFZX13WNBCZ</t>
  </si>
  <si>
    <t>OPRAWA LAHTI MINI DIM 9W 3000K BLACK</t>
  </si>
  <si>
    <t>KQLM9BD</t>
  </si>
  <si>
    <t>OPRAWA LAHTI MINI DIM 9W 3000K WHITE</t>
  </si>
  <si>
    <t>KQLM9WD</t>
  </si>
  <si>
    <t>OPRAWA LAHTI MINI DIM 2X9W 3000K WHITE</t>
  </si>
  <si>
    <t>KQLM2X9WD</t>
  </si>
  <si>
    <t>OPRAWA LAHTI MINI DIM 2X9W 3000K BLACK</t>
  </si>
  <si>
    <t>KQLM2X9BD</t>
  </si>
  <si>
    <t>OPRAWA LAHTI DIM 10,5W 3000K BLACK</t>
  </si>
  <si>
    <t>KQLI10BD</t>
  </si>
  <si>
    <t>OPRAWA LAHTI DIM 10,5W 3000K WHITE</t>
  </si>
  <si>
    <t>KQLI10WD</t>
  </si>
  <si>
    <t>OPRAWA LAHTI DIM 13,5W 3000K BLACK</t>
  </si>
  <si>
    <t>KQLI13BD</t>
  </si>
  <si>
    <t>OPRAWA LAHTI DIM 13,5W 3000K WHITE</t>
  </si>
  <si>
    <t>KQLI13WD</t>
  </si>
  <si>
    <t>LED GS 11W E27 6500K LED2B</t>
  </si>
  <si>
    <t>KALGSE2711ZB</t>
  </si>
  <si>
    <t>LED GU10 9W 3000K PREMIUM</t>
  </si>
  <si>
    <t>KAGU9CB</t>
  </si>
  <si>
    <t>LED HALO 5W 3000K</t>
  </si>
  <si>
    <t>KQHO5CB</t>
  </si>
  <si>
    <t>OSŁONA DO NINA HB 150W</t>
  </si>
  <si>
    <t>KFNAO150</t>
  </si>
  <si>
    <t>UCHWYT DO NINA HB 100W</t>
  </si>
  <si>
    <t>KFNAU100</t>
  </si>
  <si>
    <t>UCHWYT DO NINA HB 150W</t>
  </si>
  <si>
    <t>KFNAU150</t>
  </si>
  <si>
    <t>UCHWYT DO NINA HB 200W</t>
  </si>
  <si>
    <t>KFNAU200</t>
  </si>
  <si>
    <t>J78 R7S</t>
  </si>
  <si>
    <t>LED J78 8W R7S 4000K</t>
  </si>
  <si>
    <t>KAJ788WNB</t>
  </si>
  <si>
    <t>LED G4 2W 3000K</t>
  </si>
  <si>
    <t>KAG42WCB</t>
  </si>
  <si>
    <t>LED G4 2W 4000K</t>
  </si>
  <si>
    <t>KAG42WNB</t>
  </si>
  <si>
    <t>LED J78 8W R7S 3000K</t>
  </si>
  <si>
    <t>KAJ788WCB</t>
  </si>
  <si>
    <t>J118 R7S</t>
  </si>
  <si>
    <t>LED J118 15W R7S 3000K</t>
  </si>
  <si>
    <t>KAJ11815WCB</t>
  </si>
  <si>
    <t>LED J118 15W R7S 4000K</t>
  </si>
  <si>
    <t>KAJ11815WNB</t>
  </si>
  <si>
    <t>LED NINA HIGH BAY 100W 110° 4000K IP65</t>
  </si>
  <si>
    <t>KFNA10114</t>
  </si>
  <si>
    <t>LED NINA HIGH BAY 150W 110° 4000K IP65</t>
  </si>
  <si>
    <t>KFNA15114</t>
  </si>
  <si>
    <t>LED NINA HIGH BAY 200W 110° 4000K IP65</t>
  </si>
  <si>
    <t>KFNA20114</t>
  </si>
  <si>
    <t>PRZEDŁUŻACZ KOBI LINEA 4GN/3M/ZU</t>
  </si>
  <si>
    <t>KGLAZ4G3M</t>
  </si>
  <si>
    <t>PRZEDŁUŻACZ KOBI LINEA 4GN/5M/ZU</t>
  </si>
  <si>
    <t>KGLAZ4G5M</t>
  </si>
  <si>
    <t>PRZEDŁUŻACZ KOBI LINEA 5GN/1,5M/ZU</t>
  </si>
  <si>
    <t>KGLAZ5G1,5M</t>
  </si>
  <si>
    <t>PRZEDŁUŻACZ KOBI LINEA 5GN/5M/ZU</t>
  </si>
  <si>
    <t>KGLAZ5G5M</t>
  </si>
  <si>
    <t>PRZEDŁUŻACZ KOBI LINEA 3GN/3M/ZU+W</t>
  </si>
  <si>
    <t>KGLAZW3G3M</t>
  </si>
  <si>
    <t>PRZEDŁUŻACZ KOBI LINEA 3GN/5M/ZU+W</t>
  </si>
  <si>
    <t>KGLAZW3G5M</t>
  </si>
  <si>
    <t>LED TIGRA P 50W 4000K</t>
  </si>
  <si>
    <t>KFNLP50NB</t>
  </si>
  <si>
    <t>LED TIGRA P 100W 4000K</t>
  </si>
  <si>
    <t>KFNLP100NB</t>
  </si>
  <si>
    <t>LED TIGRA S 2X30W 4000K</t>
  </si>
  <si>
    <t>KFNLS2X30NB</t>
  </si>
  <si>
    <t>LED TIGRA S 2X50W 4000K</t>
  </si>
  <si>
    <t>KFNLS2X50NB</t>
  </si>
  <si>
    <t>LED T8 18W 120CM 4000K LED2B</t>
  </si>
  <si>
    <t>KALT818NB</t>
  </si>
  <si>
    <t>SMART LED 14W E27 RGB CCT WIFI</t>
  </si>
  <si>
    <t>KAGS14RGBCTW</t>
  </si>
  <si>
    <t>LED GS 11W E27 4000K LED2B</t>
  </si>
  <si>
    <t>KALGSE2711NB</t>
  </si>
  <si>
    <t>TECHNICZNE I KANAŁOWE</t>
  </si>
  <si>
    <t>SOMA PC 60 SIATKA PLASTIK</t>
  </si>
  <si>
    <t>KKSA60SP</t>
  </si>
  <si>
    <t>SOMA PC 60 SIATKA METAL</t>
  </si>
  <si>
    <t>KKSA60SM</t>
  </si>
  <si>
    <t>SOMA PC 100 SIATKA METAL</t>
  </si>
  <si>
    <t>KKSA100SM</t>
  </si>
  <si>
    <t>SOMA PC 100 SIATKA PLASTIK</t>
  </si>
  <si>
    <t>KKSA100SP</t>
  </si>
  <si>
    <t>ŁĄCZNIK FLEX ZEWN CZARNY DO NEXTRACK</t>
  </si>
  <si>
    <t>NTTLFZC</t>
  </si>
  <si>
    <t>LAMPKA BIURKOWA ŚMIESZEK KX3087 RÓŻOWA</t>
  </si>
  <si>
    <t>KLKXSMIROZ</t>
  </si>
  <si>
    <t>LED VESPA PRO 40W 4000K</t>
  </si>
  <si>
    <t>KFVP40NBAS</t>
  </si>
  <si>
    <t>LED VESPA PRO 60W 4000K</t>
  </si>
  <si>
    <t>KFVP60NBAS</t>
  </si>
  <si>
    <t>LED VESPA PRO 100W 4000K</t>
  </si>
  <si>
    <t>KFVP100NBAS</t>
  </si>
  <si>
    <t>LED VESPA PRO 150W 4000K</t>
  </si>
  <si>
    <t>KFVP150NBAS</t>
  </si>
  <si>
    <t>LED VESPA PRO 200W 4000K</t>
  </si>
  <si>
    <t>KFVP200NBAS</t>
  </si>
  <si>
    <t>NEW STREET PARK 50W 4000K IP66</t>
  </si>
  <si>
    <t>KFNSP50NB</t>
  </si>
  <si>
    <t>LED SOFI LX 13W 4000K PREMIUM</t>
  </si>
  <si>
    <t>KFSX13WNB</t>
  </si>
  <si>
    <t>OSŁONA DO NINA HB 200W</t>
  </si>
  <si>
    <t>KFNAO200</t>
  </si>
  <si>
    <t>GNIAZDO SMART</t>
  </si>
  <si>
    <t>WIFI</t>
  </si>
  <si>
    <t>SMART SOCKET WIFI</t>
  </si>
  <si>
    <t>KWSSW</t>
  </si>
  <si>
    <t>LED T8 9W 60CM 4000K LED2B</t>
  </si>
  <si>
    <t>KALT89WNBS</t>
  </si>
  <si>
    <t>LED T8 9W 60CM 6500K LED2B</t>
  </si>
  <si>
    <t>KALT89WZBS</t>
  </si>
  <si>
    <t>OPRAWA DO NABUDOWANIA OH36 L BIAŁA</t>
  </si>
  <si>
    <t>KPOH36LBI</t>
  </si>
  <si>
    <t>OPRAWA DO NABUDOWANIA OH36 BIAŁA</t>
  </si>
  <si>
    <t>KPOH36BI</t>
  </si>
  <si>
    <t>LAMPKA BIURKOWA ŚMIESZEK KX3087 NIEBIESK</t>
  </si>
  <si>
    <t>KLKXSMINIE</t>
  </si>
  <si>
    <t>LED CAPRI PROFESSIONAL 40W 60X60 3000K</t>
  </si>
  <si>
    <t>KFCP40CB</t>
  </si>
  <si>
    <t>LED NEXFORCE1 20W 4000K</t>
  </si>
  <si>
    <t>02NSNF120NB</t>
  </si>
  <si>
    <t>LED WL 4W 3000K</t>
  </si>
  <si>
    <t>KOWL4WCB</t>
  </si>
  <si>
    <t>LED WL 8W 3000K</t>
  </si>
  <si>
    <t>KOWL8WCB</t>
  </si>
  <si>
    <t>LED WL 10W 3000K</t>
  </si>
  <si>
    <t>KOWL10WCB</t>
  </si>
  <si>
    <t>LED WL 14W 3000K</t>
  </si>
  <si>
    <t>KOWL14WCB</t>
  </si>
  <si>
    <t>LED CORTEZ 3 45W 4000K</t>
  </si>
  <si>
    <t>KFCZ345WNB</t>
  </si>
  <si>
    <t>ZESTAW HERMETIC 2X60 + LED T8 9W 4000K</t>
  </si>
  <si>
    <t>KFHC29NB</t>
  </si>
  <si>
    <t>ZESTAW HERMETIC 1X120 + LED T8 18W 4000K</t>
  </si>
  <si>
    <t>KFHC118NB</t>
  </si>
  <si>
    <t>LED CLICK PREMIUM 1,5W CCT</t>
  </si>
  <si>
    <t>KOCP1,5W</t>
  </si>
  <si>
    <t>ŁĄCZNIK FLEX ZEWN BIAŁY DO NEXTRACK</t>
  </si>
  <si>
    <t>NTTLFZB</t>
  </si>
  <si>
    <t>SOLAR LED MHCS 10W 4000K PREMIUM</t>
  </si>
  <si>
    <t>KFNSR10NB</t>
  </si>
  <si>
    <t>SOLAR LED MHCS 30W 4000K PREMIUM</t>
  </si>
  <si>
    <t>KFNSCS30NB</t>
  </si>
  <si>
    <t>BANKI ENERGII</t>
  </si>
  <si>
    <t>KOBI POWER BOX 600W</t>
  </si>
  <si>
    <t>KHPB600W</t>
  </si>
  <si>
    <t>KOBI POWER BOX 1000W</t>
  </si>
  <si>
    <t>KHPB1000W</t>
  </si>
  <si>
    <t>KOBI POWER BOX 1800W</t>
  </si>
  <si>
    <t>KHPB1800W</t>
  </si>
  <si>
    <t>KOBI SUNFLASH 100W</t>
  </si>
  <si>
    <t>KHSH100W</t>
  </si>
  <si>
    <t>KOBI SUNFLASH 300W</t>
  </si>
  <si>
    <t>KHSH300W</t>
  </si>
  <si>
    <t>NEXTRACK S-LINE 1XGU10 CZARNY</t>
  </si>
  <si>
    <t>KFNKSCZ</t>
  </si>
  <si>
    <t>NEXTRACK S-LINE 1XGU10 BIAŁY</t>
  </si>
  <si>
    <t>KFNKSBI</t>
  </si>
  <si>
    <t>LED GS 11W E27 3000K LED2B</t>
  </si>
  <si>
    <t>KALGSE2711CB</t>
  </si>
  <si>
    <t>LED NEO HIGH BAY 150W 110° 4000K IP65</t>
  </si>
  <si>
    <t>02NSNO15114</t>
  </si>
  <si>
    <t>UCHWYT DO NEO HB 100W</t>
  </si>
  <si>
    <t>NNOU100</t>
  </si>
  <si>
    <t>OPRAWA DO NABUDOWANIA OH36 S BIAŁA</t>
  </si>
  <si>
    <t>KPOH36SBI</t>
  </si>
  <si>
    <t>OPRAWA DO NABUDOWANIA OH36 S CZARNA</t>
  </si>
  <si>
    <t>KPOH36SCZ</t>
  </si>
  <si>
    <t>OPRAWA DO NABUDOWANIA OH36 L CZARNA</t>
  </si>
  <si>
    <t>KPOH36LCZ</t>
  </si>
  <si>
    <t>OPRAWA DO NABUDOWANIA OH36 CZARNA</t>
  </si>
  <si>
    <t>KPOH36CZ</t>
  </si>
  <si>
    <t>PIERŚCIEŃ OZDOBNY OH29 CZARNY</t>
  </si>
  <si>
    <t>KPOH29CZ</t>
  </si>
  <si>
    <t>PIERŚCIEŃ OZDOBNY OH21 CZARNY</t>
  </si>
  <si>
    <t>KPOH21CZ</t>
  </si>
  <si>
    <t>LED T8 18W 120CM 3000K PREMIUM</t>
  </si>
  <si>
    <t>KAT818WCBP</t>
  </si>
  <si>
    <t>nowość</t>
  </si>
  <si>
    <t>LED KOBI SEUL 50W 4000K</t>
  </si>
  <si>
    <t>KFSL50NB</t>
  </si>
  <si>
    <t>LED KOBI SEUL 100W 4000K</t>
  </si>
  <si>
    <t>KFSL100NB</t>
  </si>
  <si>
    <t>LED KOBI SEUL 150W 4000K</t>
  </si>
  <si>
    <t>KFSL150NB</t>
  </si>
  <si>
    <t>LED KOBI SEUL 200W 4000K</t>
  </si>
  <si>
    <t>KFSL200NB</t>
  </si>
  <si>
    <t>LED US 300W 5000K 90ST IP65 DIM</t>
  </si>
  <si>
    <t>KFUS30905SC</t>
  </si>
  <si>
    <t>LED G9 3W 3000K</t>
  </si>
  <si>
    <t>KAG93WCB</t>
  </si>
  <si>
    <t>LED G9 3W 6000K</t>
  </si>
  <si>
    <t>KAG93WZB</t>
  </si>
  <si>
    <t>LED CAPRI PRO 40W 60X60 IP65 4000K</t>
  </si>
  <si>
    <t>KFCP40NB65</t>
  </si>
  <si>
    <t>LED US 500W 5000K 60ST IP66 DIM</t>
  </si>
  <si>
    <t>KFUS50605SC</t>
  </si>
  <si>
    <t>LED MIA PREMIUM 36W 4000K</t>
  </si>
  <si>
    <t>KFMP36NB</t>
  </si>
  <si>
    <t>LUMOS</t>
  </si>
  <si>
    <t>LUMOS LED SET 3000K IP20 3M</t>
  </si>
  <si>
    <t>KBLSTN3MCB</t>
  </si>
  <si>
    <t>LUMOS LED SET 4000K IP20 3M</t>
  </si>
  <si>
    <t>KBLSTN3MNB</t>
  </si>
  <si>
    <t>LED NINA HIGH BAY 100W 90° 4000K IP65</t>
  </si>
  <si>
    <t>KFNA10904</t>
  </si>
  <si>
    <t>LED NINA HIGH BAY 150W 90° 4000K IP65</t>
  </si>
  <si>
    <t>KFNA15904</t>
  </si>
  <si>
    <t>LED NINA HIGH BAY 200W 90° 4000K IP65</t>
  </si>
  <si>
    <t>KFNA20904</t>
  </si>
  <si>
    <t>LAMPKA BIURKOWA ROLIG CZARNA</t>
  </si>
  <si>
    <t>KLRGCZA</t>
  </si>
  <si>
    <t>LAMPKA BIURKOWA ROLIG BIAŁA</t>
  </si>
  <si>
    <t>KLRGBIA</t>
  </si>
  <si>
    <t>LED GU10 9W 6000K PREMIUM</t>
  </si>
  <si>
    <t>KAGU9ZB</t>
  </si>
  <si>
    <t>LED TRAMO 300 2835 IP20 BLUE 5M</t>
  </si>
  <si>
    <t>KB2835NB</t>
  </si>
  <si>
    <t>LED LIZBONA 3,5W CZARNA</t>
  </si>
  <si>
    <t>KLLACZA</t>
  </si>
  <si>
    <t>LED LIZBONA 3,5W BIAŁA</t>
  </si>
  <si>
    <t>KLLABIA</t>
  </si>
  <si>
    <t>LED RIO PRO 100W 4000K</t>
  </si>
  <si>
    <t>KFRP100NB</t>
  </si>
  <si>
    <t>UCHWYT DO RIO PRO 200W</t>
  </si>
  <si>
    <t>KFRPU200</t>
  </si>
  <si>
    <t>LED KOLINE K1 20W 4000K BIAŁA PROFESSION</t>
  </si>
  <si>
    <t>KFKE20WNBBI</t>
  </si>
  <si>
    <t>LED KOLINE K1 20W 4000K CZARNA PROFESSIO</t>
  </si>
  <si>
    <t>KFKE20WNBCZ</t>
  </si>
  <si>
    <t>LED KOLINE K1 40W 4000K BIAŁA PROFESSION</t>
  </si>
  <si>
    <t>KFKE40WNBBI</t>
  </si>
  <si>
    <t>LED KOLINE K1 40W 4000K CZARNA PROFESSIO</t>
  </si>
  <si>
    <t>KFKE40WNBCZ</t>
  </si>
  <si>
    <t>RAMKA 63MM DO PANELU LED 60X60 KLIK CZAR</t>
  </si>
  <si>
    <t>KFNORC6060C</t>
  </si>
  <si>
    <t>LED T8 9W 60CM 4000K LED2B RED</t>
  </si>
  <si>
    <t>KALT89WNBR</t>
  </si>
  <si>
    <t>LED T8 9W 60CM 6500K LED2B RED</t>
  </si>
  <si>
    <t>KALT89WZBR</t>
  </si>
  <si>
    <t>LED T8 18W 120CM 6500K LED2B RED</t>
  </si>
  <si>
    <t>KALT818WZBR</t>
  </si>
  <si>
    <t>LED T8 18W 120CM 4000K LED2B RED</t>
  </si>
  <si>
    <t>KALT818WNBR</t>
  </si>
  <si>
    <t>LED T8 22W 150CM 4000K LED2B RED</t>
  </si>
  <si>
    <t>KALT822WNBR</t>
  </si>
  <si>
    <t>LED T8 22W 150CM 6500K LED2B RED</t>
  </si>
  <si>
    <t>KALT822WZBR</t>
  </si>
  <si>
    <t>LED NEXFORCE1 80W 4000K</t>
  </si>
  <si>
    <t>02NSNF180NB</t>
  </si>
  <si>
    <t>LED GS 8,5W E27 6500K LED2B</t>
  </si>
  <si>
    <t>KALGSE2785ZB</t>
  </si>
  <si>
    <t>LED CAPRI PROFESSIONAL 50W 60X60 4000K</t>
  </si>
  <si>
    <t>KFCP50NB</t>
  </si>
  <si>
    <t>LED CAPRI PRO 36W 30X120 4000K UGR&lt;19</t>
  </si>
  <si>
    <t>KFCP36PNBU</t>
  </si>
  <si>
    <t>LED CAPRI PRO 36W 60X60 4000K</t>
  </si>
  <si>
    <t>KFCP36NB</t>
  </si>
  <si>
    <t>LED CAPRI PRO 36W 60X60 4000K UGR&lt;19</t>
  </si>
  <si>
    <t>KFCP36NBU</t>
  </si>
  <si>
    <t>LED CAPRI PRO 28W 60X60 IP44 4000K</t>
  </si>
  <si>
    <t>KFCP28NB44</t>
  </si>
  <si>
    <t>LED GS 8,5W E27 3000K LED2B</t>
  </si>
  <si>
    <t>KALGSE2785CB</t>
  </si>
  <si>
    <t>LED GS 8,5W E27 4000K LED2B</t>
  </si>
  <si>
    <t>KALGSE2785NB</t>
  </si>
  <si>
    <t>KINKIET DÓŁ Q8</t>
  </si>
  <si>
    <t>QUAZAR 8 1XGU10 CZARNA</t>
  </si>
  <si>
    <t>KTLOQZ8CZ</t>
  </si>
  <si>
    <t>KINKIET PODWÓJNY Q8</t>
  </si>
  <si>
    <t>QUAZAR 9 2XGU10 CZARNA</t>
  </si>
  <si>
    <t>KTLOQZ9CZ</t>
  </si>
  <si>
    <t>QUAZAR 9 2XGU10 SZARA</t>
  </si>
  <si>
    <t>KTLOQZ9SZ</t>
  </si>
  <si>
    <t>GIRLANDA MIMOSA 2 10M 10XE27</t>
  </si>
  <si>
    <t>KTMA210M10G</t>
  </si>
  <si>
    <t>ZEWNĘTRZNE SOLARNE</t>
  </si>
  <si>
    <t>SOLAR LED PHOTON 3000K LED2B 8X</t>
  </si>
  <si>
    <t>KTLPNCB8</t>
  </si>
  <si>
    <t>SOLAR LED FUSION 6500K LED2B 12X</t>
  </si>
  <si>
    <t>KTLFNZB12</t>
  </si>
  <si>
    <t>SOLAR 10 LED STARLIGHT 6000K LED2B</t>
  </si>
  <si>
    <t>KTLST10ZB</t>
  </si>
  <si>
    <t>SOLAR 20 LED STARLIGHT 3000K LED2B</t>
  </si>
  <si>
    <t>KTLST20CB</t>
  </si>
  <si>
    <t>SOLAR 30 LED STARLIGHT 3000K LED2B</t>
  </si>
  <si>
    <t>KTLST30CB</t>
  </si>
  <si>
    <t>SOLAR 30 LED AURA 3000K LED2B</t>
  </si>
  <si>
    <t>KTLAA30CB</t>
  </si>
  <si>
    <t>SOLAR 300 LED SPARK 3000K LED2B</t>
  </si>
  <si>
    <t>KTLSK300CB</t>
  </si>
  <si>
    <t>SOLAR 50 LED LUME RGB LED2B</t>
  </si>
  <si>
    <t>KTLLE50RGB</t>
  </si>
  <si>
    <t>SOLAR LED LUMINA 6500K LED2B</t>
  </si>
  <si>
    <t>KTLLAZB</t>
  </si>
  <si>
    <t>SOLAR LED GLOW 6000K LED2B</t>
  </si>
  <si>
    <t>KTLGWZB</t>
  </si>
  <si>
    <t>SOLAR LED PRISM 6000K LED2B</t>
  </si>
  <si>
    <t>KTLPMZB</t>
  </si>
  <si>
    <t>SOLAR LED HARMONY 3000K LED2B</t>
  </si>
  <si>
    <t>KTLHYCB</t>
  </si>
  <si>
    <t>SOLAR LED SWAY 6000K LED2B</t>
  </si>
  <si>
    <t>KTLSYZB</t>
  </si>
  <si>
    <t>SOLAR LED SPIKE 6500K LED2B 4X</t>
  </si>
  <si>
    <t>KTLSEZB4</t>
  </si>
  <si>
    <t>SOLAR LED LANCE 6000K LED2B</t>
  </si>
  <si>
    <t>KTLLEZB</t>
  </si>
  <si>
    <t>SOLAR LED ZEN 6000K LED2B 10X</t>
  </si>
  <si>
    <t>KTLZNZB10</t>
  </si>
  <si>
    <t>SOLAR LED ECLIPSE 6000K LED2B 10X</t>
  </si>
  <si>
    <t>KTLEEZB10</t>
  </si>
  <si>
    <t>LED TRAMO 320 COB IP20 4000K 5M</t>
  </si>
  <si>
    <t>KBCOB320NNB</t>
  </si>
  <si>
    <t>LED TRAMO 320 COB IP20 3000K 5M</t>
  </si>
  <si>
    <t>KBCOB320NCB</t>
  </si>
  <si>
    <t>LED TRAMO 320 COB IP20 6500K 5M</t>
  </si>
  <si>
    <t>KBCOB320NZB</t>
  </si>
  <si>
    <t>LED TRAMO 320 COB IP65 6500K 5M</t>
  </si>
  <si>
    <t>KBCOB320HZB</t>
  </si>
  <si>
    <t>LED TRAMO 320 COB IP65 4000K 5M</t>
  </si>
  <si>
    <t>KBCOB320HNB</t>
  </si>
  <si>
    <t>LED TRAMO 320 COB IP65 3000K 5M</t>
  </si>
  <si>
    <t>KBCOB320HCB</t>
  </si>
  <si>
    <t>OSŁONA DO NINA HB 100W</t>
  </si>
  <si>
    <t>KFNA0100</t>
  </si>
  <si>
    <t>UCHWYT DO RIO PRO 100W</t>
  </si>
  <si>
    <t>KFRPU100</t>
  </si>
  <si>
    <t>UCHWYT DO RIO PRO 150W</t>
  </si>
  <si>
    <t>KFRPU150</t>
  </si>
  <si>
    <t>LED NAIROS 12W CCT BIAŁY PREMIUM</t>
  </si>
  <si>
    <t>KFNS12WBI</t>
  </si>
  <si>
    <t>LED NAIROS 12W CCT CZARNY PREMIUM</t>
  </si>
  <si>
    <t>KFNS12WCZ</t>
  </si>
  <si>
    <t>LED NAIROS 18W CCT CZARNY PREMIUM</t>
  </si>
  <si>
    <t>KFNS18WCZ</t>
  </si>
  <si>
    <t>LED NAIROS 24W CCT CZARNY PREMIUM</t>
  </si>
  <si>
    <t>KFNS24WCZ</t>
  </si>
  <si>
    <t>LED NAIROS 18W CCT BIAŁY PREMIUM</t>
  </si>
  <si>
    <t>KFNS18WBI</t>
  </si>
  <si>
    <t>LED NAIROS 24W CCT BIAŁY PREMIUM</t>
  </si>
  <si>
    <t>KFNS24WBI</t>
  </si>
  <si>
    <t>LED NAIROS 36W CCT BIAŁY PREMIUM</t>
  </si>
  <si>
    <t>KFNS36WBI</t>
  </si>
  <si>
    <t>LED NAIROS LX 12W CCT BIAŁY PREMIUM</t>
  </si>
  <si>
    <t>KFNX12WBI</t>
  </si>
  <si>
    <t>LED NAIROS LX 18W CCT BIAŁY PREMIUM</t>
  </si>
  <si>
    <t>KFNX18WBI</t>
  </si>
  <si>
    <t>LED NAIROS LX 24W CCT BIAŁY PREMIUM</t>
  </si>
  <si>
    <t>KFNX24WBI</t>
  </si>
  <si>
    <t>LED NAIROS LX 12W CCT CZARNY PREMIUM</t>
  </si>
  <si>
    <t>KFNX12WCZ</t>
  </si>
  <si>
    <t>LED NAIROS LX 18W CCT CZARNY PREMIUM</t>
  </si>
  <si>
    <t>KFNX18WCZ</t>
  </si>
  <si>
    <t>LED NAIROS LX 24W CCT CZARNY PREMIUM</t>
  </si>
  <si>
    <t>KFNX24WCZ</t>
  </si>
  <si>
    <t>HYBRID LED FUSION 14W 4000K IP65</t>
  </si>
  <si>
    <t>KFHF14NB</t>
  </si>
  <si>
    <t>LED CYOTO 50W 4000K</t>
  </si>
  <si>
    <t>KFCO50NB</t>
  </si>
  <si>
    <t>LED ANICA HIGH BAY 100W 90° 4000K IP65</t>
  </si>
  <si>
    <t>KFAA10904</t>
  </si>
  <si>
    <t>LED ANICA HIGH BAY 100W 120° 4000K IP65</t>
  </si>
  <si>
    <t>KFAA10124</t>
  </si>
  <si>
    <t>LED NICO HIGH BAY 120W 60X90° 4000K IP65</t>
  </si>
  <si>
    <t>KFNO12694</t>
  </si>
  <si>
    <t>UCHWYT DO ANICA HB 100W</t>
  </si>
  <si>
    <t>KFAAU100</t>
  </si>
  <si>
    <t>LED BRISBANE 36W 60X60 4000K WHITE PREMI</t>
  </si>
  <si>
    <t>KFBE36NBB</t>
  </si>
  <si>
    <t>LED BRISBANE 36W 60X60 4000K BLACK PREMI</t>
  </si>
  <si>
    <t>KFBE36NBC</t>
  </si>
  <si>
    <t>LED BRISBANE 36W 30X120 4000K BLACK PREM</t>
  </si>
  <si>
    <t>KFBEP36NBC</t>
  </si>
  <si>
    <t>LED BRISBANE 36W 30X120 4000K WHITE PREM</t>
  </si>
  <si>
    <t>KFBEP36NBB</t>
  </si>
  <si>
    <t>MIMOSA LED SET 10M 10X1W E27</t>
  </si>
  <si>
    <t>KTMA10M10X1W</t>
  </si>
  <si>
    <t>MIMOSA LED SET 20M 20X1W E27</t>
  </si>
  <si>
    <t>KTMA20M20X1W</t>
  </si>
  <si>
    <t>LED ST45 1W E27 2700K LED2B</t>
  </si>
  <si>
    <t>KALFSTE271CB</t>
  </si>
  <si>
    <t>ZEWNĘTRZNE OGRODOWE</t>
  </si>
  <si>
    <t>QUERK</t>
  </si>
  <si>
    <t>QUERK 1 BLACK 1XGU10 LED2B</t>
  </si>
  <si>
    <t>KTLQK01CZ</t>
  </si>
  <si>
    <t>QUERK 2 BLACK 1XGU10 LED2B</t>
  </si>
  <si>
    <t>KTLQK02CZ</t>
  </si>
  <si>
    <t>QUERK 3 BLACK 2XGU10 LED2B</t>
  </si>
  <si>
    <t>KTLQK03CZ</t>
  </si>
  <si>
    <t>QUERK 4 BLACK 2XGU10 LED2B</t>
  </si>
  <si>
    <t>KTLQK04CZ</t>
  </si>
  <si>
    <t>QUERK 5 BLACK 2XGU10 LED2B</t>
  </si>
  <si>
    <t>KTLQK05CZ</t>
  </si>
  <si>
    <t>INGRESS GU10 ROUND LED2B</t>
  </si>
  <si>
    <t>KTLIORD</t>
  </si>
  <si>
    <t>INGRESS GU10 SQUARE LED2B</t>
  </si>
  <si>
    <t>KTLIOSE</t>
  </si>
  <si>
    <t>TOWER FAN KOBI LISSE 55W BLACK</t>
  </si>
  <si>
    <t>KDSN00000001</t>
  </si>
  <si>
    <t>TOWER FAN KOBI HOORN 45W BLACK</t>
  </si>
  <si>
    <t>KDSN00000002</t>
  </si>
  <si>
    <t>TOWER FAN KOBI VENLO 45W BLACK</t>
  </si>
  <si>
    <t>KDSN00000003</t>
  </si>
  <si>
    <t>MASTER STREET 35W 4000K MB</t>
  </si>
  <si>
    <t>KFMS35MBNB</t>
  </si>
  <si>
    <t>MASTER STREET 35W 4000K WB</t>
  </si>
  <si>
    <t>KFMS35WBNB</t>
  </si>
  <si>
    <t>MASTER STREET 80W 4000K MB</t>
  </si>
  <si>
    <t>KFMS80MBNB</t>
  </si>
  <si>
    <t>MASTER STREET 80W 4000K WB</t>
  </si>
  <si>
    <t>KFMS80WBNB</t>
  </si>
  <si>
    <t>MASTER STREET 120W 4000K MB</t>
  </si>
  <si>
    <t>KFMS120MBNB</t>
  </si>
  <si>
    <t>MASTER STREET 120W 4000K WB</t>
  </si>
  <si>
    <t>KFMS120WBNB</t>
  </si>
  <si>
    <t>WISZĄCA</t>
  </si>
  <si>
    <t>LO4105 1XE27 CZARNA</t>
  </si>
  <si>
    <t>KTLO4105CZAL</t>
  </si>
  <si>
    <t>KINKIET GÓRA</t>
  </si>
  <si>
    <t>LO4101 1XE27 ZŁOTA</t>
  </si>
  <si>
    <t>KTLO4101ZLAL</t>
  </si>
  <si>
    <t>KINKIET DÓŁ</t>
  </si>
  <si>
    <t>LO4102 1XE27 CZARNA</t>
  </si>
  <si>
    <t>KTLO4102CZAL</t>
  </si>
  <si>
    <t>LO4105 1XE27 ZŁOTA</t>
  </si>
  <si>
    <t>KTLO4105ZLAL</t>
  </si>
  <si>
    <t>LO4101 1XE27 CZARNA</t>
  </si>
  <si>
    <t>KTLO4101CZAL</t>
  </si>
  <si>
    <t>LO4102 1XE27 ZŁOTA</t>
  </si>
  <si>
    <t>KTLO4102ZLAL</t>
  </si>
  <si>
    <t>KOBI CRETE PC 5M</t>
  </si>
  <si>
    <t>KDSN00000007</t>
  </si>
  <si>
    <t>KOBI CRETE PC 10M</t>
  </si>
  <si>
    <t>KDSN00000008</t>
  </si>
  <si>
    <t>KOBI CRETE 5M 5XE27</t>
  </si>
  <si>
    <t>KDSN00000009</t>
  </si>
  <si>
    <t>KOBI CRETE LS M1 BLACK X5</t>
  </si>
  <si>
    <t>KDSN00000010</t>
  </si>
  <si>
    <t>KOBI CRETE LS M2 BLACK X5</t>
  </si>
  <si>
    <t>KDSN00000011</t>
  </si>
  <si>
    <t>KOBI CRETE LS D1 BLACK X5</t>
  </si>
  <si>
    <t>KDSN00000012</t>
  </si>
  <si>
    <t>KOBI CRETE LS R1 WOOD X5</t>
  </si>
  <si>
    <t>KDSN00000013</t>
  </si>
  <si>
    <t>KOBI CRETE LS R2 BLACK X5</t>
  </si>
  <si>
    <t>KDSN00000014</t>
  </si>
  <si>
    <t>LED KOBI VENEZIA 10W</t>
  </si>
  <si>
    <t>KDSN00000004</t>
  </si>
  <si>
    <t>OPRAWA LED HPL2 60W 90 PRO P</t>
  </si>
  <si>
    <t>02NSHL2609P</t>
  </si>
  <si>
    <t>OPRAWA LED HPL2 120W 120 PRO P</t>
  </si>
  <si>
    <t>02NSHL2121P</t>
  </si>
  <si>
    <t>OPRAWA LED HPL2 120W 90 PRO P</t>
  </si>
  <si>
    <t>02NSHL2129P</t>
  </si>
  <si>
    <t>OPRAWA LED HPL2 90W 90 PRO P</t>
  </si>
  <si>
    <t>02NSHL2909P</t>
  </si>
  <si>
    <t>OPRAWA LED HPL2 150W 120 PRO P</t>
  </si>
  <si>
    <t>02NSHL2150P</t>
  </si>
  <si>
    <t>OPRAWA LED HPL1 60W 120 PRO P</t>
  </si>
  <si>
    <t>02NSHL2601P</t>
  </si>
  <si>
    <t>OPRAWA LED HPL1 60W 90 PRO P</t>
  </si>
  <si>
    <t>02NSHL1609P</t>
  </si>
  <si>
    <t>OPRAWA LED HPL1 75W 90 PRO P</t>
  </si>
  <si>
    <t>02NSHL1759P</t>
  </si>
  <si>
    <t>OPRAWA LED HPL1 75W 120 PRO P</t>
  </si>
  <si>
    <t>02NSHL1751P</t>
  </si>
  <si>
    <t>OPRAWA LED HPL2 90W 120 PRO P</t>
  </si>
  <si>
    <t>02NSHL2901P</t>
  </si>
  <si>
    <t>OPRAWA LED HPL2 60W 120 PRO P</t>
  </si>
  <si>
    <t>02NSHL1601P</t>
  </si>
  <si>
    <t>OPRAWA LED HPL2 150W 90 PRO P</t>
  </si>
  <si>
    <t>02NSHL2159P</t>
  </si>
  <si>
    <t>OPRAWA LED HPL1 45W 90 PRO P</t>
  </si>
  <si>
    <t>02NSHL1459P</t>
  </si>
  <si>
    <t>OPRAWA LED HPL1 30W 120 PRO P</t>
  </si>
  <si>
    <t>02NSHL1301P</t>
  </si>
  <si>
    <t>OPRAWA LED HPL1 45W 120 PRO P</t>
  </si>
  <si>
    <t>02NSHL1451P</t>
  </si>
  <si>
    <t>OPRAWA LED HPL1 30W 90 PRO P</t>
  </si>
  <si>
    <t>02NSHL1309P</t>
  </si>
  <si>
    <t>CZUJNIK RUCHU ZHAGA HD06VCRH7C</t>
  </si>
  <si>
    <t>KVLXZH</t>
  </si>
  <si>
    <t>PILOT DO CZUJNIKA RUCHU ZHAGA HD05R</t>
  </si>
  <si>
    <t>KVLXRC</t>
  </si>
  <si>
    <t>ZASILACZ DO PANELU 36W LF-GIF040YS900H</t>
  </si>
  <si>
    <t>KFZP00000001</t>
  </si>
  <si>
    <t>ZASILACZ DO PANELU 40W LF-GIF040YS1000H</t>
  </si>
  <si>
    <t>KFZP00000002</t>
  </si>
  <si>
    <t>ZASILACZ LF-GSD020YC LIFUD DALI</t>
  </si>
  <si>
    <t>KFZP00000003</t>
  </si>
  <si>
    <t>GIRLANDA BAJA LED SET 15M 15X1W E27</t>
  </si>
  <si>
    <t>KTBA15M15G1W</t>
  </si>
  <si>
    <t>GIRLANDA BAJA LED SET 10M 20X1W E27</t>
  </si>
  <si>
    <t>KTBA10M20G1W</t>
  </si>
  <si>
    <t>GIRLANDA BAJA LED SET 10M 10X1W E27</t>
  </si>
  <si>
    <t>KTBA10M10G1W</t>
  </si>
  <si>
    <t>GIRLANDA BAJA LED SET 20M 20X1W E27</t>
  </si>
  <si>
    <t>KTBA20M20G1W</t>
  </si>
  <si>
    <t>LED RIO PRO 200W 4000K</t>
  </si>
  <si>
    <t>KFRP200NB</t>
  </si>
  <si>
    <t>SŁUPEK MAŁY</t>
  </si>
  <si>
    <t>LO4104 1XE27 ZŁOTA</t>
  </si>
  <si>
    <t>KTLO4104ZLAL</t>
  </si>
  <si>
    <t>PIERŚCIEŃ OZDOBNY OH27 BLACK</t>
  </si>
  <si>
    <t>KPOH27CZ</t>
  </si>
  <si>
    <t>OPRAWA NEXLINE1 31W P</t>
  </si>
  <si>
    <t>02NSNE15P</t>
  </si>
  <si>
    <t>OPRAWA NEXLINE2 62W P</t>
  </si>
  <si>
    <t>02NSNE30P</t>
  </si>
  <si>
    <t>OPRAWA LED HPL1 75W 120 PRO DALI P</t>
  </si>
  <si>
    <t>02NSHL1751DP</t>
  </si>
  <si>
    <t>LED CORREA 3,4W 3000K</t>
  </si>
  <si>
    <t>KOCA</t>
  </si>
  <si>
    <t>KLOSZ DO LED HERMETIC 2X150</t>
  </si>
  <si>
    <t>KFKLHCE2150</t>
  </si>
  <si>
    <t>LED T8 8W 60CM 6500K LED2B</t>
  </si>
  <si>
    <t>KALT88WZB</t>
  </si>
  <si>
    <t>LED GU10 7W 3000K LED2B</t>
  </si>
  <si>
    <t>KALGU7CB</t>
  </si>
  <si>
    <t>LED GU10 7W 4000K LED2B</t>
  </si>
  <si>
    <t>KALGU7NB</t>
  </si>
  <si>
    <t>LED MH 10W CZARNA 3000K LED2B</t>
  </si>
  <si>
    <t>KFLNL10CBCZ</t>
  </si>
  <si>
    <t>LED MH 20W CZARNA 3000K LED2B</t>
  </si>
  <si>
    <t>KFLNL20CBCZ</t>
  </si>
  <si>
    <t>LED MH 30W CZARNA 3000K LED2B</t>
  </si>
  <si>
    <t>KFLNL30CBCZ</t>
  </si>
  <si>
    <t>LED MH 50W CZARNA 3000K LED2B</t>
  </si>
  <si>
    <t>KFLNL50CBCZ</t>
  </si>
  <si>
    <t>LED MHC 10W CZARNA 3000K LED2B</t>
  </si>
  <si>
    <t>KFLNLC10CBCZ</t>
  </si>
  <si>
    <t>LED MHC 20W CZARNA 3000K LED2B</t>
  </si>
  <si>
    <t>KFLNLC20CBCZ</t>
  </si>
  <si>
    <t>LED MHC 30W CZARNA 3000K LED2B</t>
  </si>
  <si>
    <t>KFLNLC30CBCZ</t>
  </si>
  <si>
    <t>LED MHC 50W CZARNA 3000K LED2B</t>
  </si>
  <si>
    <t>KFLNLC50CBCZ</t>
  </si>
  <si>
    <t>IMPA STANDARD T 40W 4000K</t>
  </si>
  <si>
    <t>02NSIST40NB</t>
  </si>
  <si>
    <t>IMPA STANDARD M 40W 4000K</t>
  </si>
  <si>
    <t>02NSISM40NB</t>
  </si>
  <si>
    <t>LED GS 9W E27 3000K PREMIUM</t>
  </si>
  <si>
    <t>KAGSE279WCBP</t>
  </si>
  <si>
    <t>LED GS 11W E27 3000K PREMIUM</t>
  </si>
  <si>
    <t>KAGSE2711CBP</t>
  </si>
  <si>
    <t>IMPA STANDARD M 20W 4000K</t>
  </si>
  <si>
    <t>02NSISM20NB</t>
  </si>
  <si>
    <t>IMPA STANDARD T 20W 4000K</t>
  </si>
  <si>
    <t>02NSIST20NB</t>
  </si>
  <si>
    <t>IMPA PRO 40W T 4000K P</t>
  </si>
  <si>
    <t>02NSIPT40NB</t>
  </si>
  <si>
    <t>OPRAWA NEXLINE1 31W P DALI</t>
  </si>
  <si>
    <t>02NSNE15PD</t>
  </si>
  <si>
    <t>OPRAWA NEXLINE2 62W P DALI</t>
  </si>
  <si>
    <t>02NSNE30PD</t>
  </si>
  <si>
    <t>OPRAWA LED HPL1 30W 120 PRO DALI</t>
  </si>
  <si>
    <t>02NSHL1301DP</t>
  </si>
  <si>
    <t>OPRAWA LED HPL1 30W 90 PRO DALI</t>
  </si>
  <si>
    <t>02NSHL1309PD</t>
  </si>
  <si>
    <t>OPRAWA LED HPL1 45W 120 PRO DALI</t>
  </si>
  <si>
    <t>02NSHL1451PD</t>
  </si>
  <si>
    <t>OPRAWA LED HPL1 45W 90 PRO DALI</t>
  </si>
  <si>
    <t>02NSHL1459PD</t>
  </si>
  <si>
    <t>OPRAWA LED HPL1 60W 120 PRO DALI</t>
  </si>
  <si>
    <t>02NSHL1601PD</t>
  </si>
  <si>
    <t>OPRAWA LED HPL1 60W 90 PRO DALI</t>
  </si>
  <si>
    <t>02NSHL1609PD</t>
  </si>
  <si>
    <t>OPRAWA LED HPL1 75W 90 PRO DALI</t>
  </si>
  <si>
    <t>02NSHL1759PD</t>
  </si>
  <si>
    <t>OPRAWA LED HPL2 60W 120 PRO DALI</t>
  </si>
  <si>
    <t>02NSHL2601PD</t>
  </si>
  <si>
    <t>OPRAWA LED HPL2 60W 90 PRO DALI</t>
  </si>
  <si>
    <t>02NSHL2609PD</t>
  </si>
  <si>
    <t>OPRAWA LED HPL2 90W 120 PRO DALI</t>
  </si>
  <si>
    <t>02NSHL2901PD</t>
  </si>
  <si>
    <t>OPRAWA LED HPL2 90W 90 PRO DALI</t>
  </si>
  <si>
    <t>02NSHL2909PD</t>
  </si>
  <si>
    <t>OPRAWA LED HPL2 120W 120 PRO DALI</t>
  </si>
  <si>
    <t>02NSHL2121PD</t>
  </si>
  <si>
    <t>OPRAWA LED HPL2 120W 90 PRO DALI</t>
  </si>
  <si>
    <t>02NSHL2129PD</t>
  </si>
  <si>
    <t>OPRAWA LED HPL2 150W 120 PRO DALI</t>
  </si>
  <si>
    <t>02NSHL2151PD</t>
  </si>
  <si>
    <t>OPRAWA LED HPL2 150W 90 PRO DALI</t>
  </si>
  <si>
    <t>02NSHL2159PD</t>
  </si>
  <si>
    <t>OPRAWA NEXLINE1 31W P CZARNY</t>
  </si>
  <si>
    <t>02NSNE15PC</t>
  </si>
  <si>
    <t>OPRAWA NEXLINE2 62W P CZARNY</t>
  </si>
  <si>
    <t>02NSNE30PC</t>
  </si>
  <si>
    <t>IMPA PRO 40W M 4000K P</t>
  </si>
  <si>
    <t>02NSI040MP</t>
  </si>
  <si>
    <t>RAMKA 70MM DO PANELU LED 60X60 KLIK</t>
  </si>
  <si>
    <t>KFNOR76060</t>
  </si>
  <si>
    <t>LED G9 3W 4000K</t>
  </si>
  <si>
    <t>KAG93WNB</t>
  </si>
  <si>
    <t>LAMPY WISZĄCE</t>
  </si>
  <si>
    <t>BOHO RIGA</t>
  </si>
  <si>
    <t>KRBORACZ</t>
  </si>
  <si>
    <t>BOHO BRAGA</t>
  </si>
  <si>
    <t>KRBOBACZ</t>
  </si>
  <si>
    <t>BOHO BERN</t>
  </si>
  <si>
    <t>KRBOBNCZ</t>
  </si>
  <si>
    <t>BOHO BRUGIA S</t>
  </si>
  <si>
    <t>KRBOBISCZ</t>
  </si>
  <si>
    <t>BOHO BRUGIA M</t>
  </si>
  <si>
    <t>KRBOBIMCZ</t>
  </si>
  <si>
    <t>BOHO BAKU S</t>
  </si>
  <si>
    <t>KRBOBUSCZ</t>
  </si>
  <si>
    <t>BOHO BAKU M</t>
  </si>
  <si>
    <t>KRBOBUMCZ</t>
  </si>
  <si>
    <t>BOHO BONN</t>
  </si>
  <si>
    <t>KRBOBNNCZ</t>
  </si>
  <si>
    <t>BOHO BIMINI</t>
  </si>
  <si>
    <t>KRBOBICZ</t>
  </si>
  <si>
    <t>BOHO BEIRUT</t>
  </si>
  <si>
    <t>KRBOBTCZ</t>
  </si>
  <si>
    <t>BOHO VERONA</t>
  </si>
  <si>
    <t>KRBOVACZ</t>
  </si>
  <si>
    <t>BOHO RANGO</t>
  </si>
  <si>
    <t>KRBOROCZ</t>
  </si>
  <si>
    <t>BOHO VIENNA</t>
  </si>
  <si>
    <t>KRBOVNCZ</t>
  </si>
  <si>
    <t>BOHO SIENA</t>
  </si>
  <si>
    <t>KRBOSACZ</t>
  </si>
  <si>
    <t>BOHO SIBU</t>
  </si>
  <si>
    <t>KRBOSUCZ</t>
  </si>
  <si>
    <t>BOHO RENNES</t>
  </si>
  <si>
    <t>KRBORSCZ</t>
  </si>
  <si>
    <t>BOHO RONDA</t>
  </si>
  <si>
    <t>KRBORDCZ</t>
  </si>
  <si>
    <t>LED RIO PRO 150W 4000K</t>
  </si>
  <si>
    <t>KFRP150NB</t>
  </si>
  <si>
    <t>SOLAR LED GLEAM 3000K LED2B 5X</t>
  </si>
  <si>
    <t>KTLGMCB5</t>
  </si>
  <si>
    <t>SOLAR LED GLOBE 3000K LED2B 5X</t>
  </si>
  <si>
    <t>KTLGECB5</t>
  </si>
  <si>
    <t>LED KOBI VENEZIA S 2W</t>
  </si>
  <si>
    <t>KDSN00000005</t>
  </si>
  <si>
    <t>SOLAR LED AURORA 6000K LED2B 4X</t>
  </si>
  <si>
    <t>KTLAAZB4</t>
  </si>
  <si>
    <t>SOLAR LED AURORA 6000K LED2B 6X</t>
  </si>
  <si>
    <t>KTLAAZB6</t>
  </si>
  <si>
    <t>LED KOBI VENEZIA H 1,5W</t>
  </si>
  <si>
    <t>KDSN00000006</t>
  </si>
  <si>
    <t>SOLAR LED SPHERE 6500K LED2B 10X</t>
  </si>
  <si>
    <t>KTLSEZB10</t>
  </si>
  <si>
    <t>SOLAR LED SPECTRA 2700K LED2B</t>
  </si>
  <si>
    <t>KTLSACB</t>
  </si>
  <si>
    <t>SOLAR LED SPIKE 6500K LED2B</t>
  </si>
  <si>
    <t>KTLSEZB</t>
  </si>
  <si>
    <t>CZUJNIK RUCHU I ZMIERZCHU ZHAGA</t>
  </si>
  <si>
    <t>KVLXRZH</t>
  </si>
  <si>
    <t>CENA PO RABACIE</t>
  </si>
  <si>
    <t>w tym KGO</t>
  </si>
  <si>
    <t>LED PLAY SET 10M</t>
  </si>
  <si>
    <t>KDSN00000016</t>
  </si>
  <si>
    <t>LED PLAY SET 15M</t>
  </si>
  <si>
    <t>KDSN00000017</t>
  </si>
  <si>
    <t>LED PLAY SET 20M</t>
  </si>
  <si>
    <t>KDSN00000018</t>
  </si>
  <si>
    <t>LED PLAY SET 5M</t>
  </si>
  <si>
    <t>KDSN00000015</t>
  </si>
  <si>
    <t xml:space="preserve">F         </t>
  </si>
  <si>
    <t>5902846013709</t>
  </si>
  <si>
    <t>8539 52 00</t>
  </si>
  <si>
    <t>SZT</t>
  </si>
  <si>
    <t xml:space="preserve">2 LATA    </t>
  </si>
  <si>
    <t xml:space="preserve">   </t>
  </si>
  <si>
    <t xml:space="preserve">E         </t>
  </si>
  <si>
    <t>5900605095768</t>
  </si>
  <si>
    <t>5902846010579</t>
  </si>
  <si>
    <t>5900605095751</t>
  </si>
  <si>
    <t>5902846011958</t>
  </si>
  <si>
    <t>5902846016472</t>
  </si>
  <si>
    <t>5902846016960</t>
  </si>
  <si>
    <t>5902846016977</t>
  </si>
  <si>
    <t>5902846016656</t>
  </si>
  <si>
    <t>5902846016663</t>
  </si>
  <si>
    <t xml:space="preserve">          </t>
  </si>
  <si>
    <t>5902201300338</t>
  </si>
  <si>
    <t>5902846010586</t>
  </si>
  <si>
    <t>5902846011965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</si>
  <si>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</si>
  <si>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</si>
  <si>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</si>
  <si>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</si>
  <si>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</si>
  <si>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</si>
  <si>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</si>
  <si>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</si>
  <si>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</si>
  <si>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</si>
  <si>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</si>
  <si>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</si>
  <si>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</si>
  <si>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</si>
  <si>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</si>
  <si>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</si>
  <si>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</si>
  <si>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</si>
  <si>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</si>
  <si>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</si>
  <si>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</si>
  <si>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</si>
  <si>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</si>
  <si>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</si>
  <si>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</si>
  <si>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 xml:space="preserve">G         </t>
  </si>
  <si>
    <t>5902201301991</t>
  </si>
  <si>
    <t xml:space="preserve">3 LATA    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</si>
  <si>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</si>
  <si>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</si>
  <si>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</si>
  <si>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</si>
  <si>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</si>
  <si>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</si>
  <si>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</si>
  <si>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</si>
  <si>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5902201305562</t>
  </si>
  <si>
    <t>5902201305579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</si>
  <si>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</si>
  <si>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</si>
  <si>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</si>
  <si>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</si>
  <si>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</si>
  <si>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</si>
  <si>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</si>
  <si>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</si>
  <si>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</si>
  <si>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</si>
  <si>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</si>
  <si>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</si>
  <si>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</si>
  <si>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</si>
  <si>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</si>
  <si>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</si>
  <si>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</si>
  <si>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</si>
  <si>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</si>
  <si>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</si>
  <si>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</si>
  <si>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</si>
  <si>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</si>
  <si>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</si>
  <si>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</si>
  <si>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5902846017523</t>
  </si>
  <si>
    <t>5902846017516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</si>
  <si>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</si>
  <si>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</si>
  <si>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</si>
  <si>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</si>
  <si>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</si>
  <si>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</si>
  <si>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</si>
  <si>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</si>
  <si>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</si>
  <si>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</si>
  <si>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</si>
  <si>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</si>
  <si>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</si>
  <si>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</si>
  <si>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</si>
  <si>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</si>
  <si>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</si>
  <si>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</si>
  <si>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</si>
  <si>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</si>
  <si>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</si>
  <si>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</si>
  <si>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</si>
  <si>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</si>
  <si>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</si>
  <si>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</si>
  <si>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</si>
  <si>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</si>
  <si>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</si>
  <si>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</si>
  <si>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</si>
  <si>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</si>
  <si>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</si>
  <si>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</si>
  <si>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</si>
  <si>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</si>
  <si>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</si>
  <si>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</si>
  <si>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</si>
  <si>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</si>
  <si>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</si>
  <si>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</si>
  <si>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</si>
  <si>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</si>
  <si>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</si>
  <si>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</si>
  <si>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</si>
  <si>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</si>
  <si>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</si>
  <si>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</si>
  <si>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</si>
  <si>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</si>
  <si>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</si>
  <si>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</si>
  <si>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</si>
  <si>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</si>
  <si>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</si>
  <si>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</si>
  <si>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</si>
  <si>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</si>
  <si>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</si>
  <si>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</si>
  <si>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</si>
  <si>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</si>
  <si>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</si>
  <si>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</si>
  <si>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</si>
  <si>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</si>
  <si>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</si>
  <si>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5902846016267</t>
  </si>
  <si>
    <t>5902846012825</t>
  </si>
  <si>
    <t>5902846012832</t>
  </si>
  <si>
    <t>5902201365139</t>
  </si>
  <si>
    <t>5902201365146</t>
  </si>
  <si>
    <t>5902846016199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</si>
  <si>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</si>
  <si>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</si>
  <si>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</si>
  <si>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</si>
  <si>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</si>
  <si>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</si>
  <si>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</si>
  <si>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5902846016229</t>
  </si>
  <si>
    <t>5902846016298</t>
  </si>
  <si>
    <t>5902846016304</t>
  </si>
  <si>
    <t>5902201365177</t>
  </si>
  <si>
    <t>5902201365184</t>
  </si>
  <si>
    <t>5902846016236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</si>
  <si>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</si>
  <si>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</si>
  <si>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</si>
  <si>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</si>
  <si>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</si>
  <si>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</si>
  <si>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</si>
  <si>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</si>
  <si>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9405 42 31</t>
  </si>
  <si>
    <t xml:space="preserve">5 LAT     </t>
  </si>
  <si>
    <t>5900605096970</t>
  </si>
  <si>
    <t>5900605096987</t>
  </si>
  <si>
    <t>5902846010784</t>
  </si>
  <si>
    <t>5902201301151</t>
  </si>
  <si>
    <t>5902846019459</t>
  </si>
  <si>
    <t>5902201301175</t>
  </si>
  <si>
    <t>5902846014478</t>
  </si>
  <si>
    <t>5902846014492</t>
  </si>
  <si>
    <t>5902201301106</t>
  </si>
  <si>
    <t>5902201301144</t>
  </si>
  <si>
    <t>5902201301083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</si>
  <si>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</si>
  <si>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</si>
  <si>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</si>
  <si>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</si>
  <si>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</si>
  <si>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</si>
  <si>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</si>
  <si>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5902201359558</t>
  </si>
  <si>
    <t>5902201359565</t>
  </si>
  <si>
    <t>5902846014461</t>
  </si>
  <si>
    <t>5902846014485</t>
  </si>
  <si>
    <t xml:space="preserve">D         </t>
  </si>
  <si>
    <t>5902201304176</t>
  </si>
  <si>
    <t>5902201304183</t>
  </si>
  <si>
    <t>5902201359404</t>
  </si>
  <si>
    <t>8507 60 00</t>
  </si>
  <si>
    <t>tak</t>
  </si>
  <si>
    <t>5902201359411</t>
  </si>
  <si>
    <t>5902201359398</t>
  </si>
  <si>
    <t>5902201359428</t>
  </si>
  <si>
    <t>8541 43 00</t>
  </si>
  <si>
    <t>5902201359435</t>
  </si>
  <si>
    <t>5902201308068</t>
  </si>
  <si>
    <t>8516 29 50</t>
  </si>
  <si>
    <t>5902201304824</t>
  </si>
  <si>
    <t>8516 29 10</t>
  </si>
  <si>
    <t>5902201301731</t>
  </si>
  <si>
    <t>8414 51 00</t>
  </si>
  <si>
    <t xml:space="preserve">1 ROK     </t>
  </si>
  <si>
    <t>5902201301748</t>
  </si>
  <si>
    <t>5902201301755</t>
  </si>
  <si>
    <t>5902201301779</t>
  </si>
  <si>
    <t>5902201307474</t>
  </si>
  <si>
    <t>9405 42 39</t>
  </si>
  <si>
    <t>5902201307481</t>
  </si>
  <si>
    <t>5902201307498</t>
  </si>
  <si>
    <t>5902201307504</t>
  </si>
  <si>
    <t>5902201307511</t>
  </si>
  <si>
    <t>5902201307528</t>
  </si>
  <si>
    <t>5902201307535</t>
  </si>
  <si>
    <t>5902201307542</t>
  </si>
  <si>
    <t>5902201307559</t>
  </si>
  <si>
    <t>5902201307566</t>
  </si>
  <si>
    <t>5902201307573</t>
  </si>
  <si>
    <t>5902201307580</t>
  </si>
  <si>
    <t xml:space="preserve">A+        </t>
  </si>
  <si>
    <t>5902846013433</t>
  </si>
  <si>
    <t>5902846013440</t>
  </si>
  <si>
    <t>5902846012535</t>
  </si>
  <si>
    <t>5902846012542</t>
  </si>
  <si>
    <t>5902846012573</t>
  </si>
  <si>
    <t>5902846013327</t>
  </si>
  <si>
    <t>5902846013334</t>
  </si>
  <si>
    <t>5902201305258</t>
  </si>
  <si>
    <t>5902846019022</t>
  </si>
  <si>
    <t>5902846019381</t>
  </si>
  <si>
    <t>9405 11 90</t>
  </si>
  <si>
    <t>5902846019428</t>
  </si>
  <si>
    <t>5902201301199</t>
  </si>
  <si>
    <t>5902846013358</t>
  </si>
  <si>
    <t>5902846013389</t>
  </si>
  <si>
    <t>5902846013396</t>
  </si>
  <si>
    <t>5902846013402</t>
  </si>
  <si>
    <t>5902201359251</t>
  </si>
  <si>
    <t>5902201359244</t>
  </si>
  <si>
    <t>5902201305197</t>
  </si>
  <si>
    <t>9405 11 40</t>
  </si>
  <si>
    <t xml:space="preserve">C         </t>
  </si>
  <si>
    <t>5902201305203</t>
  </si>
  <si>
    <t>5902201305159</t>
  </si>
  <si>
    <t>5902201305173</t>
  </si>
  <si>
    <t>5902201305166</t>
  </si>
  <si>
    <t>5902201305180</t>
  </si>
  <si>
    <t>5902846019503</t>
  </si>
  <si>
    <t>5902846019510</t>
  </si>
  <si>
    <t>5902201300796</t>
  </si>
  <si>
    <t>5902201305340</t>
  </si>
  <si>
    <t>5902201300802</t>
  </si>
  <si>
    <t>5902201305357</t>
  </si>
  <si>
    <t>5902201300819</t>
  </si>
  <si>
    <t>5902201305364</t>
  </si>
  <si>
    <t>5902846015475</t>
  </si>
  <si>
    <t>5902201301427</t>
  </si>
  <si>
    <t>5902201301434</t>
  </si>
  <si>
    <t>5902846019572</t>
  </si>
  <si>
    <t>5902201300642</t>
  </si>
  <si>
    <t>5902201364194</t>
  </si>
  <si>
    <t>5902201359589</t>
  </si>
  <si>
    <t>5900605092569</t>
  </si>
  <si>
    <t>9405 49 40</t>
  </si>
  <si>
    <t>5902201304992</t>
  </si>
  <si>
    <t>5900605098837</t>
  </si>
  <si>
    <t>5902201305005</t>
  </si>
  <si>
    <t>5902846011774</t>
  </si>
  <si>
    <t>5902201305012</t>
  </si>
  <si>
    <t>5900605098486</t>
  </si>
  <si>
    <t>5902201305029</t>
  </si>
  <si>
    <t>5900605098493</t>
  </si>
  <si>
    <t>5902201305036</t>
  </si>
  <si>
    <t>5900605098462</t>
  </si>
  <si>
    <t>5902201305043</t>
  </si>
  <si>
    <t>5900605098080</t>
  </si>
  <si>
    <t>5902201305050</t>
  </si>
  <si>
    <t>5902846010357</t>
  </si>
  <si>
    <t>5902201305067</t>
  </si>
  <si>
    <t>5900605098097</t>
  </si>
  <si>
    <t>5902201305074</t>
  </si>
  <si>
    <t>5902846011699</t>
  </si>
  <si>
    <t>5902201305081</t>
  </si>
  <si>
    <t>5902846012238</t>
  </si>
  <si>
    <t>5902201305098</t>
  </si>
  <si>
    <t>5900605098479</t>
  </si>
  <si>
    <t>5902201305104</t>
  </si>
  <si>
    <t>5902846010388</t>
  </si>
  <si>
    <t>5902201305111</t>
  </si>
  <si>
    <t>5900605098011</t>
  </si>
  <si>
    <t>5902201305128</t>
  </si>
  <si>
    <t>5902846010371</t>
  </si>
  <si>
    <t>5902201305135</t>
  </si>
  <si>
    <t>5900605099278</t>
  </si>
  <si>
    <t>5902201305142</t>
  </si>
  <si>
    <t>5900605098004</t>
  </si>
  <si>
    <t>5906340215225</t>
  </si>
  <si>
    <t>9405 19 40</t>
  </si>
  <si>
    <t>5900605098813</t>
  </si>
  <si>
    <t>9405 49 90</t>
  </si>
  <si>
    <t>5902201301649</t>
  </si>
  <si>
    <t>5900605098806</t>
  </si>
  <si>
    <t>5902201301663</t>
  </si>
  <si>
    <t>5900605098790</t>
  </si>
  <si>
    <t>5902201301656</t>
  </si>
  <si>
    <t>5902201305722</t>
  </si>
  <si>
    <t>9405 99 00</t>
  </si>
  <si>
    <t>5902201364620</t>
  </si>
  <si>
    <t>5906340214594</t>
  </si>
  <si>
    <t>5906340215997</t>
  </si>
  <si>
    <t>5902846019527</t>
  </si>
  <si>
    <t>5902846019534</t>
  </si>
  <si>
    <t>5906340210008</t>
  </si>
  <si>
    <t>5902201308433</t>
  </si>
  <si>
    <t>5902201308440</t>
  </si>
  <si>
    <t>5902846018872</t>
  </si>
  <si>
    <t>KPL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</si>
  <si>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</si>
  <si>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</si>
  <si>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</si>
  <si>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</si>
  <si>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</si>
  <si>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</si>
  <si>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</si>
  <si>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</si>
  <si>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</si>
  <si>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</si>
  <si>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</si>
  <si>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</si>
  <si>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5902846017790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</si>
  <si>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</si>
  <si>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</si>
  <si>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</si>
  <si>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</si>
  <si>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</si>
  <si>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</si>
  <si>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</si>
  <si>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5902201305609</t>
  </si>
  <si>
    <t>5902201305593</t>
  </si>
  <si>
    <t>5900605096123</t>
  </si>
  <si>
    <t>5902846011804</t>
  </si>
  <si>
    <t>5902201303360</t>
  </si>
  <si>
    <t>5902201303377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</si>
  <si>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</si>
  <si>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</si>
  <si>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</si>
  <si>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</si>
  <si>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</si>
  <si>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</si>
  <si>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</si>
  <si>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</si>
  <si>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</si>
  <si>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</si>
  <si>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</si>
  <si>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5902846015925</t>
  </si>
  <si>
    <t>5902846015932</t>
  </si>
  <si>
    <t>5902846015949</t>
  </si>
  <si>
    <t>5902201308358</t>
  </si>
  <si>
    <t>5902201308365</t>
  </si>
  <si>
    <t>5902201308372</t>
  </si>
  <si>
    <t>5902201301601</t>
  </si>
  <si>
    <t>5902201369700</t>
  </si>
  <si>
    <t>5902201369717</t>
  </si>
  <si>
    <t>5902201369724</t>
  </si>
  <si>
    <t>5902201375961</t>
  </si>
  <si>
    <t xml:space="preserve">7 LAT     </t>
  </si>
  <si>
    <t>5902201375954</t>
  </si>
  <si>
    <t>5902201375978</t>
  </si>
  <si>
    <t>5902201304251</t>
  </si>
  <si>
    <t>5902846018209</t>
  </si>
  <si>
    <t>5902846018124</t>
  </si>
  <si>
    <t>5902201300468</t>
  </si>
  <si>
    <t>5902846018131</t>
  </si>
  <si>
    <t>5902846018148</t>
  </si>
  <si>
    <t>5902201300475</t>
  </si>
  <si>
    <t>5902846018155</t>
  </si>
  <si>
    <t>5902846018162</t>
  </si>
  <si>
    <t>5902201300482</t>
  </si>
  <si>
    <t>5902846018179</t>
  </si>
  <si>
    <t>5902846018186</t>
  </si>
  <si>
    <t>5902201300499</t>
  </si>
  <si>
    <t>5902846018193</t>
  </si>
  <si>
    <t>5902201303551</t>
  </si>
  <si>
    <t>5902201303568</t>
  </si>
  <si>
    <t>5902201303599</t>
  </si>
  <si>
    <t>5902201303629</t>
  </si>
  <si>
    <t>5902201303650</t>
  </si>
  <si>
    <t>5902846013921</t>
  </si>
  <si>
    <t>5902201307986</t>
  </si>
  <si>
    <t>5902201307979</t>
  </si>
  <si>
    <t>5902201307993</t>
  </si>
  <si>
    <t>5902201308006</t>
  </si>
  <si>
    <t>5902846013815</t>
  </si>
  <si>
    <t>9405 41 39</t>
  </si>
  <si>
    <t>5902846013822</t>
  </si>
  <si>
    <t>5902201359503</t>
  </si>
  <si>
    <t>5902201359510</t>
  </si>
  <si>
    <t>5902201302127</t>
  </si>
  <si>
    <t>5902201302134</t>
  </si>
  <si>
    <t>5902201302141</t>
  </si>
  <si>
    <t>5902846015697</t>
  </si>
  <si>
    <t>9405 41 31</t>
  </si>
  <si>
    <t>5902201304541</t>
  </si>
  <si>
    <t>5902846018216</t>
  </si>
  <si>
    <t>5902201300505</t>
  </si>
  <si>
    <t>5902846018223</t>
  </si>
  <si>
    <t>5902846018230</t>
  </si>
  <si>
    <t>5902201300512</t>
  </si>
  <si>
    <t>5902846018247</t>
  </si>
  <si>
    <t>5902846018254</t>
  </si>
  <si>
    <t>5902201300529</t>
  </si>
  <si>
    <t>5902846018261</t>
  </si>
  <si>
    <t>5902846018278</t>
  </si>
  <si>
    <t>5902201300536</t>
  </si>
  <si>
    <t>5902846018285</t>
  </si>
  <si>
    <t>5902201303704</t>
  </si>
  <si>
    <t>5902846010289</t>
  </si>
  <si>
    <t>5902846010555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</si>
  <si>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</si>
  <si>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</si>
  <si>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</si>
  <si>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</si>
  <si>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</si>
  <si>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</si>
  <si>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</si>
  <si>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</si>
  <si>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</si>
  <si>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</si>
  <si>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5902201305210</t>
  </si>
  <si>
    <t>5902201305234</t>
  </si>
  <si>
    <t>5902846010487</t>
  </si>
  <si>
    <t>5902201305227</t>
  </si>
  <si>
    <t>5902201305241</t>
  </si>
  <si>
    <t>5902201371246</t>
  </si>
  <si>
    <t>5902201371253</t>
  </si>
  <si>
    <t>5902201371208</t>
  </si>
  <si>
    <t>5902201371215</t>
  </si>
  <si>
    <t>5902201371222</t>
  </si>
  <si>
    <t>5902201371239</t>
  </si>
  <si>
    <t>5902201304145</t>
  </si>
  <si>
    <t>5902201304169</t>
  </si>
  <si>
    <t>5902201359343</t>
  </si>
  <si>
    <t>5902201359350</t>
  </si>
  <si>
    <t>5902201359367</t>
  </si>
  <si>
    <t>5902201359374</t>
  </si>
  <si>
    <t>5902201359381</t>
  </si>
  <si>
    <t>5902201375947</t>
  </si>
  <si>
    <t>5902201374414</t>
  </si>
  <si>
    <t>5902201359312</t>
  </si>
  <si>
    <t>5902201300628</t>
  </si>
  <si>
    <t>5902846015284</t>
  </si>
  <si>
    <t>5902201307955</t>
  </si>
  <si>
    <t>5902846015499</t>
  </si>
  <si>
    <t>5902846015352</t>
  </si>
  <si>
    <t>5900605098028</t>
  </si>
  <si>
    <t>5902846011743</t>
  </si>
  <si>
    <t>5902846016014</t>
  </si>
  <si>
    <t>5900605099414</t>
  </si>
  <si>
    <t>5902846011750</t>
  </si>
  <si>
    <t>5902201364538</t>
  </si>
  <si>
    <t>5902201364590</t>
  </si>
  <si>
    <t>5902201364569</t>
  </si>
  <si>
    <t>5902201364576</t>
  </si>
  <si>
    <t>5902201364583</t>
  </si>
  <si>
    <t>5902201364552</t>
  </si>
  <si>
    <t>5902201364545</t>
  </si>
  <si>
    <t>5902201375572</t>
  </si>
  <si>
    <t>5902201375565</t>
  </si>
  <si>
    <t>5902201375558</t>
  </si>
  <si>
    <t>5902201375541</t>
  </si>
  <si>
    <t>5902846019060</t>
  </si>
  <si>
    <t>5902201301250</t>
  </si>
  <si>
    <t>5902201301267</t>
  </si>
  <si>
    <t>5902201301274</t>
  </si>
  <si>
    <t>5902201301281</t>
  </si>
  <si>
    <t>5902201303933</t>
  </si>
  <si>
    <t>5902201303872</t>
  </si>
  <si>
    <t>5902201303896</t>
  </si>
  <si>
    <t>5902201368543</t>
  </si>
  <si>
    <t>5902201368550</t>
  </si>
  <si>
    <t>5902201368581</t>
  </si>
  <si>
    <t>5902201368598</t>
  </si>
  <si>
    <t>5902201368628</t>
  </si>
  <si>
    <t>5902201368635</t>
  </si>
  <si>
    <t>5902201368666</t>
  </si>
  <si>
    <t>5902201368567</t>
  </si>
  <si>
    <t>5902201368574</t>
  </si>
  <si>
    <t>5902201368604</t>
  </si>
  <si>
    <t>5902201368611</t>
  </si>
  <si>
    <t>5902201368642</t>
  </si>
  <si>
    <t>5902201368659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</si>
  <si>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</si>
  <si>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</si>
  <si>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</si>
  <si>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</si>
  <si>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</si>
  <si>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</si>
  <si>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</si>
  <si>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5902201306071</t>
  </si>
  <si>
    <t>5902201303988</t>
  </si>
  <si>
    <t>5902846015741</t>
  </si>
  <si>
    <t>5902846015758</t>
  </si>
  <si>
    <t>5902846015734</t>
  </si>
  <si>
    <t>5902846015727</t>
  </si>
  <si>
    <t>5900605097892</t>
  </si>
  <si>
    <t>9405 29 90</t>
  </si>
  <si>
    <t>5906340216987</t>
  </si>
  <si>
    <t>5906340218882</t>
  </si>
  <si>
    <t>5906340219599</t>
  </si>
  <si>
    <t>5902201359190</t>
  </si>
  <si>
    <t>5906340219131</t>
  </si>
  <si>
    <t>5906340218875</t>
  </si>
  <si>
    <t>5902846015468</t>
  </si>
  <si>
    <t>5902846015451</t>
  </si>
  <si>
    <t>5902201368253</t>
  </si>
  <si>
    <t>9405 21 40</t>
  </si>
  <si>
    <t>5902201368246</t>
  </si>
  <si>
    <t>5902201366280</t>
  </si>
  <si>
    <t>9405 19 90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</si>
  <si>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</si>
  <si>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</si>
  <si>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</si>
  <si>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</si>
  <si>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</si>
  <si>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</si>
  <si>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</si>
  <si>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</si>
  <si>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</si>
  <si>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</si>
  <si>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</si>
  <si>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</si>
  <si>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</si>
  <si>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</si>
  <si>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</si>
  <si>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</si>
  <si>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</si>
  <si>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</si>
  <si>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5902846016045</t>
  </si>
  <si>
    <t>5900605096314</t>
  </si>
  <si>
    <t>5900605096321</t>
  </si>
  <si>
    <t>5902846019244</t>
  </si>
  <si>
    <t>5902846015314</t>
  </si>
  <si>
    <t>5902846015321</t>
  </si>
  <si>
    <t>5902846015338</t>
  </si>
  <si>
    <t>5902846015345</t>
  </si>
  <si>
    <t>5902846016502</t>
  </si>
  <si>
    <t>5902846016175</t>
  </si>
  <si>
    <t>5902846016182</t>
  </si>
  <si>
    <t>5902846016519</t>
  </si>
  <si>
    <t>5902846011408</t>
  </si>
  <si>
    <t>5902846011415</t>
  </si>
  <si>
    <t>5900605096758</t>
  </si>
  <si>
    <t>5900605097670</t>
  </si>
  <si>
    <t>5900605098684</t>
  </si>
  <si>
    <t>5900605098714</t>
  </si>
  <si>
    <t>5902846014362</t>
  </si>
  <si>
    <t>9405 42 10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</si>
  <si>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</si>
  <si>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</si>
  <si>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</si>
  <si>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</si>
  <si>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</si>
  <si>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</si>
  <si>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</si>
  <si>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5902201305791</t>
  </si>
  <si>
    <t>5902201305807</t>
  </si>
  <si>
    <t>5902201305814</t>
  </si>
  <si>
    <t>5902201305821</t>
  </si>
  <si>
    <t>5902201305852</t>
  </si>
  <si>
    <t>5902201305869</t>
  </si>
  <si>
    <t>5902201305838</t>
  </si>
  <si>
    <t>5902201305845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</si>
  <si>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</si>
  <si>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</si>
  <si>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</si>
  <si>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</si>
  <si>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</si>
  <si>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</si>
  <si>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</si>
  <si>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</si>
  <si>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</si>
  <si>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</si>
  <si>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</si>
  <si>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</si>
  <si>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</si>
  <si>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</si>
  <si>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</si>
  <si>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</si>
  <si>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</si>
  <si>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</si>
  <si>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5902201373653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</si>
  <si>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</si>
  <si>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</si>
  <si>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</si>
  <si>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</si>
  <si>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</si>
  <si>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</si>
  <si>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</si>
  <si>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</si>
  <si>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</si>
  <si>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</si>
  <si>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</si>
  <si>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5900605097380</t>
  </si>
  <si>
    <t>5902846013174</t>
  </si>
  <si>
    <t>5902846013181</t>
  </si>
  <si>
    <t>5906340214914</t>
  </si>
  <si>
    <t>5906340214921</t>
  </si>
  <si>
    <t>5900605094631</t>
  </si>
  <si>
    <t>5900605094648</t>
  </si>
  <si>
    <t>5900605095249</t>
  </si>
  <si>
    <t>5900605097427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</si>
  <si>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</si>
  <si>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</si>
  <si>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</si>
  <si>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</si>
  <si>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</si>
  <si>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</si>
  <si>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</si>
  <si>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</si>
  <si>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</si>
  <si>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</si>
  <si>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</si>
  <si>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5906340214983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</si>
  <si>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</si>
  <si>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</si>
  <si>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</si>
  <si>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</si>
  <si>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</si>
  <si>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</si>
  <si>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</si>
  <si>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5902201304619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</si>
  <si>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</si>
  <si>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</si>
  <si>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</si>
  <si>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</si>
  <si>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</si>
  <si>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</si>
  <si>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</si>
  <si>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5902201304893</t>
  </si>
  <si>
    <t>5900605093443</t>
  </si>
  <si>
    <t>9405 91 90</t>
  </si>
  <si>
    <t>5902846011279</t>
  </si>
  <si>
    <t>5902846011262</t>
  </si>
  <si>
    <t>5900605093429</t>
  </si>
  <si>
    <t>5900605093412</t>
  </si>
  <si>
    <t>5902846011293</t>
  </si>
  <si>
    <t>5902846011286</t>
  </si>
  <si>
    <t>5900605097830</t>
  </si>
  <si>
    <t>5900605096734</t>
  </si>
  <si>
    <t>5902201305470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</si>
  <si>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</si>
  <si>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</si>
  <si>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</si>
  <si>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</si>
  <si>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</si>
  <si>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</si>
  <si>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</si>
  <si>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</si>
  <si>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</si>
  <si>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</si>
  <si>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5902201304886</t>
  </si>
  <si>
    <t xml:space="preserve">2  LATA   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</si>
  <si>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</si>
  <si>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</si>
  <si>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</si>
  <si>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</si>
  <si>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</si>
  <si>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</si>
  <si>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</si>
  <si>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</si>
  <si>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</si>
  <si>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</si>
  <si>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</si>
  <si>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</si>
  <si>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5902846011477</t>
  </si>
  <si>
    <t>5900605094655</t>
  </si>
  <si>
    <t>5902846011507</t>
  </si>
  <si>
    <t>5902846011460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</si>
  <si>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</si>
  <si>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</si>
  <si>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</si>
  <si>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</si>
  <si>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</si>
  <si>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</si>
  <si>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</si>
  <si>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</si>
  <si>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</si>
  <si>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5902201370911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</si>
  <si>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</si>
  <si>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</si>
  <si>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</si>
  <si>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</si>
  <si>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</si>
  <si>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</si>
  <si>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</si>
  <si>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</si>
  <si>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</si>
  <si>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</si>
  <si>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</si>
  <si>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</si>
  <si>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</si>
  <si>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</si>
  <si>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</si>
  <si>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</si>
  <si>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</si>
  <si>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5902201371109</t>
  </si>
  <si>
    <t>5902201371086</t>
  </si>
  <si>
    <t>5902201300789</t>
  </si>
  <si>
    <t>5902201301076</t>
  </si>
  <si>
    <t>8544 49 95</t>
  </si>
  <si>
    <t>5902846012801</t>
  </si>
  <si>
    <t>5902846012634</t>
  </si>
  <si>
    <t>3925 90 80</t>
  </si>
  <si>
    <t>5902846012641</t>
  </si>
  <si>
    <t>5902846012658</t>
  </si>
  <si>
    <t>5902846012665</t>
  </si>
  <si>
    <t>5902846012672</t>
  </si>
  <si>
    <t>9405 92 00</t>
  </si>
  <si>
    <t>5902846012689</t>
  </si>
  <si>
    <t>5902846012795</t>
  </si>
  <si>
    <t>7326 90 98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</si>
  <si>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</si>
  <si>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</si>
  <si>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</si>
  <si>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</si>
  <si>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</si>
  <si>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</si>
  <si>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</si>
  <si>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</si>
  <si>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</si>
  <si>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</si>
  <si>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</si>
  <si>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</si>
  <si>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</si>
  <si>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</si>
  <si>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</si>
  <si>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</si>
  <si>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</si>
  <si>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</si>
  <si>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</si>
  <si>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</si>
  <si>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</si>
  <si>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</si>
  <si>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</si>
  <si>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</si>
  <si>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</si>
  <si>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</si>
  <si>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</si>
  <si>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</si>
  <si>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8543 70 90</t>
  </si>
  <si>
    <t xml:space="preserve">             </t>
  </si>
  <si>
    <t>5902201376005</t>
  </si>
  <si>
    <t>5902201300390</t>
  </si>
  <si>
    <t>8536 69 90</t>
  </si>
  <si>
    <t>5906340210091</t>
  </si>
  <si>
    <t>8536 61 10</t>
  </si>
  <si>
    <t>5906340210107</t>
  </si>
  <si>
    <t>8536 61 90</t>
  </si>
  <si>
    <t>5906340213719</t>
  </si>
  <si>
    <t>5902201302257</t>
  </si>
  <si>
    <t>5902201302264</t>
  </si>
  <si>
    <t>5902201302271</t>
  </si>
  <si>
    <t>5902201302103</t>
  </si>
  <si>
    <t>5902201369731</t>
  </si>
  <si>
    <t>5900605092828</t>
  </si>
  <si>
    <t>8537 10 98</t>
  </si>
  <si>
    <t>5900605092835</t>
  </si>
  <si>
    <t>5900605092804</t>
  </si>
  <si>
    <t>5902201369748</t>
  </si>
  <si>
    <t>5902201369755</t>
  </si>
  <si>
    <t>5906340211883</t>
  </si>
  <si>
    <t>9107 00 00</t>
  </si>
  <si>
    <t>5902201308075</t>
  </si>
  <si>
    <t>8544 42 90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</si>
  <si>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</si>
  <si>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</si>
  <si>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</si>
  <si>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</si>
  <si>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</si>
  <si>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</si>
  <si>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</si>
  <si>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</si>
  <si>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</si>
  <si>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</si>
  <si>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</si>
  <si>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</si>
  <si>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</si>
  <si>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8536 90 10</t>
  </si>
  <si>
    <t>5902201304589</t>
  </si>
  <si>
    <t>8504 40 95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</si>
  <si>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</si>
  <si>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</si>
  <si>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</si>
  <si>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</si>
  <si>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</si>
  <si>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</si>
  <si>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</si>
  <si>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</si>
  <si>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</si>
  <si>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</si>
  <si>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</si>
  <si>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</si>
  <si>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</si>
  <si>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</si>
  <si>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</si>
  <si>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</si>
  <si>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</si>
  <si>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</si>
  <si>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</si>
  <si>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</si>
  <si>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</si>
  <si>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</si>
  <si>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</si>
  <si>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</si>
  <si>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</si>
  <si>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</si>
  <si>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</si>
  <si>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</si>
  <si>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</si>
  <si>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</si>
  <si>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</si>
  <si>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</si>
  <si>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</si>
  <si>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</si>
  <si>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5902201370737</t>
  </si>
  <si>
    <t>5902201370720</t>
  </si>
  <si>
    <t>5902201370744</t>
  </si>
  <si>
    <t>5902201376753</t>
  </si>
  <si>
    <t>5902201376760</t>
  </si>
  <si>
    <t>5902201376777</t>
  </si>
  <si>
    <t>5902201376746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</si>
  <si>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</si>
  <si>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</si>
  <si>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</si>
  <si>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</si>
  <si>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</si>
  <si>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</si>
  <si>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</si>
  <si>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</si>
  <si>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</si>
  <si>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</si>
  <si>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</si>
  <si>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</si>
  <si>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</si>
  <si>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</si>
  <si>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WZROST ROŚLIN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</si>
  <si>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</si>
  <si>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</si>
  <si>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</si>
  <si>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</si>
  <si>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</si>
  <si>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</si>
  <si>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</si>
  <si>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</si>
  <si>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</si>
  <si>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</si>
  <si>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</si>
  <si>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</si>
  <si>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</si>
  <si>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</si>
  <si>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</si>
  <si>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</si>
  <si>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</si>
  <si>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</si>
  <si>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</si>
  <si>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</si>
  <si>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</si>
  <si>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</si>
  <si>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</si>
  <si>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</si>
  <si>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</si>
  <si>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</si>
  <si>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</si>
  <si>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</si>
  <si>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</si>
  <si>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</si>
  <si>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</si>
  <si>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</si>
  <si>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</si>
  <si>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</si>
  <si>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</si>
  <si>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</si>
  <si>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</si>
  <si>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</si>
  <si>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</si>
  <si>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</si>
  <si>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</si>
  <si>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</si>
  <si>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KINKIETY</t>
  </si>
  <si>
    <t>LED LUMIREFLECT 8W</t>
  </si>
  <si>
    <t>KDSN00000030</t>
  </si>
  <si>
    <t>OGÓLNA</t>
  </si>
  <si>
    <t>LED LUMIREFLECT 10W</t>
  </si>
  <si>
    <t>KDSN00000031</t>
  </si>
  <si>
    <t>LED LUMIREFLECT 12W</t>
  </si>
  <si>
    <t>KDSN00000032</t>
  </si>
  <si>
    <t>LATARKI</t>
  </si>
  <si>
    <t>LED X-MPR 5W LED2B</t>
  </si>
  <si>
    <t>KDLXR5WCZZI</t>
  </si>
  <si>
    <t>04KI LATAR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</si>
  <si>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</si>
  <si>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</si>
  <si>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</si>
  <si>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</si>
  <si>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</si>
  <si>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</si>
  <si>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</si>
  <si>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</si>
  <si>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</si>
  <si>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</si>
  <si>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</si>
  <si>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</si>
  <si>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</si>
  <si>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</si>
  <si>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</si>
  <si>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</si>
  <si>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</si>
  <si>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</si>
  <si>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</si>
  <si>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</si>
  <si>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</si>
  <si>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</si>
  <si>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</si>
  <si>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</si>
  <si>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</si>
  <si>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</si>
  <si>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</si>
  <si>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</si>
  <si>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</si>
  <si>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</si>
  <si>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9405 21 90</t>
  </si>
  <si>
    <t xml:space="preserve">2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</si>
</sst>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0" xfId="0" applyBorder="1"/>
    <xf numFmtId="9" fontId="1" fillId="2" borderId="13" xfId="1" applyFill="1" applyBorder="1" applyAlignment="1" applyProtection="1">
      <alignment horizontal="center" vertical="center"/>
      <protection locked="0"/>
    </xf>
    <xf numFmtId="9" fontId="1" fillId="2" borderId="12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4" fontId="0" fillId="0" borderId="6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8">
    <dxf>
      <font>
        <color auto="1"/>
      </font>
    </dxf>
    <dxf>
      <font>
        <color theme="0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 tint="0.24994659260841701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6"/>
  <sheetViews>
    <sheetView workbookViewId="0">
      <selection activeCell="E23" sqref="E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8" width="9.140625" style="1"/>
    <col min="9" max="9" width="11.7109375" style="1" bestFit="1" customWidth="1"/>
    <col min="10" max="16384" width="9.140625" style="1"/>
  </cols>
  <sheetData>
    <row r="3" spans="3:5" x14ac:dyDescent="0.25">
      <c r="D3" s="2" t="s">
        <v>0</v>
      </c>
    </row>
    <row r="4" spans="3:5" x14ac:dyDescent="0.25">
      <c r="D4" s="2" t="s">
        <v>66</v>
      </c>
    </row>
    <row r="6" spans="3:5" x14ac:dyDescent="0.25">
      <c r="C6" s="2" t="s">
        <v>1</v>
      </c>
      <c r="D6" s="3">
        <v>45499</v>
      </c>
    </row>
    <row r="7" spans="3:5" x14ac:dyDescent="0.25">
      <c r="C7" s="2"/>
      <c r="D7" s="4"/>
    </row>
    <row r="9" spans="3:5" x14ac:dyDescent="0.25">
      <c r="C9" s="5"/>
      <c r="D9" s="6" t="s">
        <v>2</v>
      </c>
      <c r="E9" s="6" t="s">
        <v>3</v>
      </c>
    </row>
    <row r="10" spans="3:5" x14ac:dyDescent="0.25">
      <c r="C10" s="44" t="s">
        <v>44</v>
      </c>
      <c r="D10" s="7" t="s">
        <v>50</v>
      </c>
      <c r="E10" s="8">
        <v>0</v>
      </c>
    </row>
    <row r="11" spans="3:5" x14ac:dyDescent="0.25">
      <c r="C11" s="45"/>
      <c r="D11" s="9" t="s">
        <v>49</v>
      </c>
      <c r="E11" s="10">
        <v>0</v>
      </c>
    </row>
    <row r="12" spans="3:5" x14ac:dyDescent="0.25">
      <c r="C12" s="45"/>
      <c r="D12" s="9" t="s">
        <v>4</v>
      </c>
      <c r="E12" s="10">
        <v>0</v>
      </c>
    </row>
    <row r="13" spans="3:5" x14ac:dyDescent="0.25">
      <c r="C13" s="44" t="s">
        <v>5</v>
      </c>
      <c r="D13" s="7" t="s">
        <v>6</v>
      </c>
      <c r="E13" s="8">
        <v>0</v>
      </c>
    </row>
    <row r="14" spans="3:5" x14ac:dyDescent="0.25">
      <c r="C14" s="45"/>
      <c r="D14" s="9" t="s">
        <v>52</v>
      </c>
      <c r="E14" s="10">
        <v>0</v>
      </c>
    </row>
    <row r="15" spans="3:5" x14ac:dyDescent="0.25">
      <c r="C15" s="45"/>
      <c r="D15" s="9" t="s">
        <v>7</v>
      </c>
      <c r="E15" s="10">
        <v>0</v>
      </c>
    </row>
    <row r="16" spans="3:5" x14ac:dyDescent="0.25">
      <c r="C16" s="46"/>
      <c r="D16" s="11" t="s">
        <v>8</v>
      </c>
      <c r="E16" s="12">
        <v>0</v>
      </c>
    </row>
    <row r="17" spans="3:5" x14ac:dyDescent="0.25">
      <c r="C17" s="47" t="s">
        <v>9</v>
      </c>
      <c r="D17" s="7" t="s">
        <v>53</v>
      </c>
      <c r="E17" s="8">
        <v>0</v>
      </c>
    </row>
    <row r="18" spans="3:5" x14ac:dyDescent="0.25">
      <c r="C18" s="49"/>
      <c r="D18" s="9" t="s">
        <v>10</v>
      </c>
      <c r="E18" s="10">
        <v>0</v>
      </c>
    </row>
    <row r="19" spans="3:5" x14ac:dyDescent="0.25">
      <c r="C19" s="49"/>
      <c r="D19" s="9" t="s">
        <v>11</v>
      </c>
      <c r="E19" s="10">
        <v>0</v>
      </c>
    </row>
    <row r="20" spans="3:5" x14ac:dyDescent="0.25">
      <c r="C20" s="49"/>
      <c r="D20" s="9" t="s">
        <v>54</v>
      </c>
      <c r="E20" s="10">
        <v>0</v>
      </c>
    </row>
    <row r="21" spans="3:5" x14ac:dyDescent="0.25">
      <c r="C21" s="49"/>
      <c r="D21" s="9" t="s">
        <v>55</v>
      </c>
      <c r="E21" s="10">
        <v>0</v>
      </c>
    </row>
    <row r="22" spans="3:5" x14ac:dyDescent="0.25">
      <c r="C22" s="49"/>
      <c r="D22" s="9" t="s">
        <v>67</v>
      </c>
      <c r="E22" s="10">
        <v>0</v>
      </c>
    </row>
    <row r="23" spans="3:5" x14ac:dyDescent="0.25">
      <c r="C23" s="49"/>
      <c r="D23" s="9" t="s">
        <v>12</v>
      </c>
      <c r="E23" s="10">
        <v>0</v>
      </c>
    </row>
    <row r="24" spans="3:5" x14ac:dyDescent="0.25">
      <c r="C24" s="48"/>
      <c r="D24" s="9" t="s">
        <v>13</v>
      </c>
      <c r="E24" s="10">
        <v>0</v>
      </c>
    </row>
    <row r="25" spans="3:5" x14ac:dyDescent="0.25">
      <c r="C25" s="47" t="s">
        <v>14</v>
      </c>
      <c r="D25" s="7" t="s">
        <v>56</v>
      </c>
      <c r="E25" s="8">
        <v>0</v>
      </c>
    </row>
    <row r="26" spans="3:5" x14ac:dyDescent="0.25">
      <c r="C26" s="49"/>
      <c r="D26" s="9" t="s">
        <v>58</v>
      </c>
      <c r="E26" s="10">
        <v>0</v>
      </c>
    </row>
    <row r="27" spans="3:5" x14ac:dyDescent="0.25">
      <c r="C27" s="49"/>
      <c r="D27" s="9" t="s">
        <v>15</v>
      </c>
      <c r="E27" s="10">
        <v>0</v>
      </c>
    </row>
    <row r="28" spans="3:5" x14ac:dyDescent="0.25">
      <c r="C28" s="49"/>
      <c r="D28" s="9" t="s">
        <v>16</v>
      </c>
      <c r="E28" s="10">
        <v>0</v>
      </c>
    </row>
    <row r="29" spans="3:5" x14ac:dyDescent="0.25">
      <c r="C29" s="48"/>
      <c r="D29" s="11" t="s">
        <v>57</v>
      </c>
      <c r="E29" s="12">
        <v>0</v>
      </c>
    </row>
    <row r="30" spans="3:5" x14ac:dyDescent="0.25">
      <c r="C30" s="47" t="s">
        <v>17</v>
      </c>
      <c r="D30" s="9" t="s">
        <v>51</v>
      </c>
      <c r="E30" s="10">
        <v>0</v>
      </c>
    </row>
    <row r="31" spans="3:5" x14ac:dyDescent="0.25">
      <c r="C31" s="48"/>
      <c r="D31" s="11" t="s">
        <v>65</v>
      </c>
      <c r="E31" s="39">
        <v>0</v>
      </c>
    </row>
    <row r="32" spans="3:5" x14ac:dyDescent="0.25">
      <c r="C32" s="34" t="s">
        <v>45</v>
      </c>
      <c r="D32" s="7" t="s">
        <v>59</v>
      </c>
      <c r="E32" s="38">
        <v>0</v>
      </c>
    </row>
    <row r="33" spans="2:5" x14ac:dyDescent="0.25">
      <c r="C33" s="35" t="s">
        <v>46</v>
      </c>
      <c r="D33" s="9" t="s">
        <v>59</v>
      </c>
      <c r="E33" s="10">
        <v>0</v>
      </c>
    </row>
    <row r="34" spans="2:5" ht="30" x14ac:dyDescent="0.25">
      <c r="C34" s="35" t="s">
        <v>62</v>
      </c>
      <c r="D34" s="9" t="s">
        <v>59</v>
      </c>
      <c r="E34" s="10">
        <v>0</v>
      </c>
    </row>
    <row r="35" spans="2:5" x14ac:dyDescent="0.25">
      <c r="C35" s="35" t="s">
        <v>5</v>
      </c>
      <c r="D35" s="9" t="s">
        <v>59</v>
      </c>
      <c r="E35" s="10">
        <v>0</v>
      </c>
    </row>
    <row r="36" spans="2:5" x14ac:dyDescent="0.25">
      <c r="C36" s="35" t="s">
        <v>60</v>
      </c>
      <c r="D36" s="9" t="s">
        <v>59</v>
      </c>
      <c r="E36" s="10">
        <v>0</v>
      </c>
    </row>
    <row r="37" spans="2:5" x14ac:dyDescent="0.25">
      <c r="C37" s="35" t="s">
        <v>63</v>
      </c>
      <c r="D37" s="9" t="s">
        <v>59</v>
      </c>
      <c r="E37" s="10"/>
    </row>
    <row r="38" spans="2:5" x14ac:dyDescent="0.25">
      <c r="C38" s="35" t="s">
        <v>61</v>
      </c>
      <c r="D38" s="9" t="s">
        <v>59</v>
      </c>
      <c r="E38" s="10">
        <v>0</v>
      </c>
    </row>
    <row r="39" spans="2:5" x14ac:dyDescent="0.25">
      <c r="C39" s="36" t="s">
        <v>64</v>
      </c>
      <c r="D39" s="11" t="s">
        <v>59</v>
      </c>
      <c r="E39" s="12">
        <v>0</v>
      </c>
    </row>
    <row r="40" spans="2:5" x14ac:dyDescent="0.25">
      <c r="C40" s="13"/>
      <c r="D40" s="14"/>
      <c r="E40" s="15"/>
    </row>
    <row r="41" spans="2:5" x14ac:dyDescent="0.25">
      <c r="B41" s="16" t="s">
        <v>18</v>
      </c>
      <c r="C41" s="13"/>
      <c r="D41" s="14"/>
      <c r="E41" s="15"/>
    </row>
    <row r="42" spans="2:5" x14ac:dyDescent="0.25">
      <c r="B42" s="16" t="s">
        <v>19</v>
      </c>
    </row>
    <row r="44" spans="2:5" x14ac:dyDescent="0.25">
      <c r="B44" s="17" t="s">
        <v>20</v>
      </c>
    </row>
    <row r="46" spans="2:5" ht="18.75" x14ac:dyDescent="0.3">
      <c r="D46" s="18" t="s">
        <v>21</v>
      </c>
    </row>
  </sheetData>
  <sheetProtection algorithmName="SHA-512" hashValue="Ft1V3kA/C7aGI/M3U7A4nLmB6nKZLuQn/yW+wDkCYdAqoOBpglRoekImPiV6+zPQYqtdyKZeRVJrP4bOVIh2yA==" saltValue="4zUg5QNQY8u/iDal7qx4EA==" spinCount="100000" sheet="1" objects="1" scenarios="1"/>
  <mergeCells count="5">
    <mergeCell ref="C10:C12"/>
    <mergeCell ref="C13:C16"/>
    <mergeCell ref="C30:C31"/>
    <mergeCell ref="C17:C24"/>
    <mergeCell ref="C25:C29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A906"/>
  <sheetViews>
    <sheetView showGridLines="0" tabSelected="1" topLeftCell="N1" zoomScale="90" zoomScaleNormal="90" workbookViewId="0">
      <pane ySplit="2" topLeftCell="A3" activePane="bottomLeft" state="frozen"/>
      <selection pane="bottomLeft" activeCell="AB13" sqref="AB13"/>
    </sheetView>
  </sheetViews>
  <sheetFormatPr defaultColWidth="9.140625" defaultRowHeight="12.75" x14ac:dyDescent="0.2"/>
  <cols>
    <col min="1" max="1" width="25.140625" style="19" bestFit="1" customWidth="1"/>
    <col min="2" max="2" width="27.85546875" style="19" bestFit="1" customWidth="1"/>
    <col min="3" max="3" width="40.140625" style="19" bestFit="1" customWidth="1"/>
    <col min="4" max="4" width="19.42578125" style="19" bestFit="1" customWidth="1"/>
    <col min="5" max="5" width="23.5703125" style="19" bestFit="1" customWidth="1"/>
    <col min="6" max="6" width="47.85546875" style="19" bestFit="1" customWidth="1"/>
    <col min="7" max="7" width="16.5703125" style="19" bestFit="1" customWidth="1"/>
    <col min="8" max="8" width="13.5703125" style="19" bestFit="1" customWidth="1"/>
    <col min="9" max="9" width="13.85546875" style="20" bestFit="1" customWidth="1"/>
    <col min="10" max="10" width="13.85546875" style="20" customWidth="1"/>
    <col min="11" max="11" width="13.85546875" style="20" bestFit="1" customWidth="1"/>
    <col min="12" max="12" width="10.5703125" style="19" bestFit="1" customWidth="1"/>
    <col min="13" max="13" width="17.42578125" style="19" customWidth="1"/>
    <col min="14" max="14" width="15.140625" style="19" customWidth="1"/>
    <col min="15" max="15" width="13.42578125" style="19" bestFit="1" customWidth="1"/>
    <col min="16" max="16" width="13.5703125" style="19" customWidth="1"/>
    <col min="17" max="17" width="12.5703125" style="19" customWidth="1"/>
    <col min="18" max="18" width="18" style="19" customWidth="1"/>
    <col min="19" max="19" width="70.140625" style="19" bestFit="1" customWidth="1"/>
    <col min="20" max="20" width="41" style="19" bestFit="1" customWidth="1"/>
    <col min="21" max="21" width="9.42578125" style="19" customWidth="1"/>
    <col min="22" max="22" width="10.85546875" style="19" customWidth="1"/>
    <col min="23" max="23" width="9.5703125" style="19" customWidth="1"/>
    <col min="24" max="24" width="10.85546875" style="19" customWidth="1"/>
    <col min="25" max="25" width="11.140625" style="19" customWidth="1"/>
    <col min="26" max="26" width="8.7109375" style="19" customWidth="1"/>
    <col min="27" max="27" width="12.85546875" style="19" customWidth="1"/>
    <col min="28" max="16384" width="9.140625" style="19"/>
  </cols>
  <sheetData>
    <row r="1" spans="1:27" ht="45" customHeight="1" x14ac:dyDescent="0.2">
      <c r="B1" s="27" t="s">
        <v>22</v>
      </c>
      <c r="C1" s="25">
        <f>Rabat!D6</f>
        <v>45499</v>
      </c>
      <c r="D1" s="28" t="s">
        <v>21</v>
      </c>
      <c r="E1" s="26"/>
      <c r="M1" s="21"/>
      <c r="R1" s="22"/>
      <c r="Z1" s="22"/>
      <c r="AA1" s="22"/>
    </row>
    <row r="2" spans="1:27" ht="38.25" x14ac:dyDescent="0.2">
      <c r="A2" s="23" t="s">
        <v>23</v>
      </c>
      <c r="B2" s="23" t="s">
        <v>24</v>
      </c>
      <c r="C2" s="23" t="s">
        <v>25</v>
      </c>
      <c r="D2" s="23" t="s">
        <v>26</v>
      </c>
      <c r="E2" s="23" t="s">
        <v>27</v>
      </c>
      <c r="F2" s="23" t="s">
        <v>28</v>
      </c>
      <c r="G2" s="23" t="s">
        <v>29</v>
      </c>
      <c r="H2" s="23" t="s">
        <v>2</v>
      </c>
      <c r="I2" s="24" t="s">
        <v>30</v>
      </c>
      <c r="J2" s="24" t="s">
        <v>1763</v>
      </c>
      <c r="K2" s="24" t="s">
        <v>1764</v>
      </c>
      <c r="L2" s="23" t="s">
        <v>47</v>
      </c>
      <c r="M2" s="23" t="s">
        <v>48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35</v>
      </c>
      <c r="S2" s="23" t="s">
        <v>36</v>
      </c>
      <c r="T2" s="23" t="s">
        <v>68</v>
      </c>
      <c r="U2" s="23" t="s">
        <v>37</v>
      </c>
      <c r="V2" s="23" t="s">
        <v>38</v>
      </c>
      <c r="W2" s="23" t="s">
        <v>39</v>
      </c>
      <c r="X2" s="23" t="s">
        <v>40</v>
      </c>
      <c r="Y2" s="23" t="s">
        <v>41</v>
      </c>
      <c r="Z2" s="23" t="s">
        <v>42</v>
      </c>
      <c r="AA2" s="23" t="s">
        <v>43</v>
      </c>
    </row>
    <row r="3" spans="1:27" ht="15" x14ac:dyDescent="0.25">
      <c r="A3" t="s">
        <v>44</v>
      </c>
      <c r="B3" t="s">
        <v>45</v>
      </c>
      <c r="C3" t="s">
        <v>593</v>
      </c>
      <c r="D3" t="s">
        <v>69</v>
      </c>
      <c r="E3" t="s">
        <v>71</v>
      </c>
      <c r="F3" t="s">
        <v>594</v>
      </c>
      <c r="G3" t="s">
        <v>595</v>
      </c>
      <c r="H3" t="s">
        <v>49</v>
      </c>
      <c r="I3" s="41">
        <v>56</v>
      </c>
      <c r="J3" s="40">
        <f>I3*(1-IFERROR(VLOOKUP(H3,Rabat!$D$10:$E$41,2,FALSE),0))</f>
        <v>56</v>
      </c>
      <c r="K3">
        <v>0.1</v>
      </c>
      <c r="L3" t="s">
        <v>1773</v>
      </c>
      <c r="M3" t="s">
        <v>1774</v>
      </c>
      <c r="N3" t="s">
        <v>1775</v>
      </c>
      <c r="O3" t="s">
        <v>1776</v>
      </c>
      <c r="P3">
        <v>100</v>
      </c>
      <c r="Q3">
        <v>0</v>
      </c>
      <c r="R3" t="s">
        <v>1777</v>
      </c>
      <c r="S3" s="42" t="str">
        <f>HYPERLINK("https://sklep.kobi.pl/produkt/led-es111-gu10-15w-4000k")</f>
        <v>https://sklep.kobi.pl/produkt/led-es111-gu10-15w-4000k</v>
      </c>
      <c r="T3" s="42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  <c r="Z3" t="s">
        <v>1778</v>
      </c>
      <c r="AA3"/>
    </row>
    <row r="4" spans="1:27" ht="15" x14ac:dyDescent="0.25">
      <c r="A4" t="s">
        <v>44</v>
      </c>
      <c r="B4" t="s">
        <v>45</v>
      </c>
      <c r="C4" t="s">
        <v>100</v>
      </c>
      <c r="D4" t="s">
        <v>69</v>
      </c>
      <c r="E4" t="s">
        <v>71</v>
      </c>
      <c r="F4" t="s">
        <v>101</v>
      </c>
      <c r="G4" t="s">
        <v>102</v>
      </c>
      <c r="H4" t="s">
        <v>49</v>
      </c>
      <c r="I4" s="41">
        <v>12.85</v>
      </c>
      <c r="J4" s="40">
        <f>I4*(1-IFERROR(VLOOKUP(H4,Rabat!$D$10:$E$41,2,FALSE),0))</f>
        <v>12.85</v>
      </c>
      <c r="K4">
        <v>0.01</v>
      </c>
      <c r="L4" t="s">
        <v>1779</v>
      </c>
      <c r="M4" t="s">
        <v>1780</v>
      </c>
      <c r="N4" t="s">
        <v>1775</v>
      </c>
      <c r="O4" t="s">
        <v>1776</v>
      </c>
      <c r="P4">
        <v>100</v>
      </c>
      <c r="Q4">
        <v>3500</v>
      </c>
      <c r="R4" t="s">
        <v>1777</v>
      </c>
      <c r="S4" s="42" t="str">
        <f>HYPERLINK("https://sklep.kobi.pl/produkt/led-fde-e14-4w-3000k-380lm-cb")</f>
        <v>https://sklep.kobi.pl/produkt/led-fde-e14-4w-3000k-380lm-cb</v>
      </c>
      <c r="T4" s="42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  <c r="Z4" t="s">
        <v>1778</v>
      </c>
      <c r="AA4"/>
    </row>
    <row r="5" spans="1:27" ht="15" x14ac:dyDescent="0.25">
      <c r="A5" t="s">
        <v>44</v>
      </c>
      <c r="B5" t="s">
        <v>45</v>
      </c>
      <c r="C5" t="s">
        <v>100</v>
      </c>
      <c r="D5" t="s">
        <v>69</v>
      </c>
      <c r="E5" t="s">
        <v>71</v>
      </c>
      <c r="F5" t="s">
        <v>431</v>
      </c>
      <c r="G5" t="s">
        <v>432</v>
      </c>
      <c r="H5" t="s">
        <v>49</v>
      </c>
      <c r="I5" s="41">
        <v>14.24</v>
      </c>
      <c r="J5" s="40">
        <f>I5*(1-IFERROR(VLOOKUP(H5,Rabat!$D$10:$E$41,2,FALSE),0))</f>
        <v>14.24</v>
      </c>
      <c r="K5">
        <v>0.01</v>
      </c>
      <c r="L5" t="s">
        <v>1779</v>
      </c>
      <c r="M5" t="s">
        <v>1781</v>
      </c>
      <c r="N5" t="s">
        <v>1775</v>
      </c>
      <c r="O5" t="s">
        <v>1776</v>
      </c>
      <c r="P5">
        <v>100</v>
      </c>
      <c r="Q5">
        <v>4200</v>
      </c>
      <c r="R5" t="s">
        <v>1777</v>
      </c>
      <c r="S5" s="42" t="str">
        <f>HYPERLINK("https://sklep.kobi.pl/produkt/led-fmb-e14-4w-3000k-cb")</f>
        <v>https://sklep.kobi.pl/produkt/led-fmb-e14-4w-3000k-cb</v>
      </c>
      <c r="T5" s="42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  <c r="Z5" t="s">
        <v>1778</v>
      </c>
      <c r="AA5"/>
    </row>
    <row r="6" spans="1:27" ht="15" x14ac:dyDescent="0.25">
      <c r="A6" t="s">
        <v>44</v>
      </c>
      <c r="B6" t="s">
        <v>45</v>
      </c>
      <c r="C6" t="s">
        <v>100</v>
      </c>
      <c r="D6" t="s">
        <v>69</v>
      </c>
      <c r="E6" t="s">
        <v>71</v>
      </c>
      <c r="F6" t="s">
        <v>103</v>
      </c>
      <c r="G6" t="s">
        <v>104</v>
      </c>
      <c r="H6" t="s">
        <v>49</v>
      </c>
      <c r="I6" s="41">
        <v>14.24</v>
      </c>
      <c r="J6" s="40">
        <f>I6*(1-IFERROR(VLOOKUP(H6,Rabat!$D$10:$E$41,2,FALSE),0))</f>
        <v>14.24</v>
      </c>
      <c r="K6">
        <v>0.01</v>
      </c>
      <c r="L6" t="s">
        <v>1779</v>
      </c>
      <c r="M6" t="s">
        <v>1782</v>
      </c>
      <c r="N6" t="s">
        <v>1775</v>
      </c>
      <c r="O6" t="s">
        <v>1776</v>
      </c>
      <c r="P6">
        <v>100</v>
      </c>
      <c r="Q6">
        <v>4200</v>
      </c>
      <c r="R6" t="s">
        <v>1777</v>
      </c>
      <c r="S6" s="42" t="str">
        <f>HYPERLINK("https://sklep.kobi.pl/produkt/led-fsw-e14-4w-3000k-400lm-cb")</f>
        <v>https://sklep.kobi.pl/produkt/led-fsw-e14-4w-3000k-400lm-cb</v>
      </c>
      <c r="T6" s="42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  <c r="Z6" t="s">
        <v>1778</v>
      </c>
      <c r="AA6"/>
    </row>
    <row r="7" spans="1:27" ht="15" x14ac:dyDescent="0.25">
      <c r="A7" t="s">
        <v>44</v>
      </c>
      <c r="B7" t="s">
        <v>45</v>
      </c>
      <c r="C7" t="s">
        <v>433</v>
      </c>
      <c r="D7" t="s">
        <v>69</v>
      </c>
      <c r="E7" t="s">
        <v>149</v>
      </c>
      <c r="F7" t="s">
        <v>618</v>
      </c>
      <c r="G7" t="s">
        <v>619</v>
      </c>
      <c r="H7" t="s">
        <v>49</v>
      </c>
      <c r="I7" s="41">
        <v>50.5</v>
      </c>
      <c r="J7" s="40">
        <f>I7*(1-IFERROR(VLOOKUP(H7,Rabat!$D$10:$E$41,2,FALSE),0))</f>
        <v>50.5</v>
      </c>
      <c r="K7">
        <v>0.08</v>
      </c>
      <c r="L7" t="s">
        <v>1779</v>
      </c>
      <c r="M7" t="s">
        <v>1783</v>
      </c>
      <c r="N7" t="s">
        <v>1775</v>
      </c>
      <c r="O7" t="s">
        <v>1776</v>
      </c>
      <c r="P7">
        <v>50</v>
      </c>
      <c r="Q7">
        <v>300</v>
      </c>
      <c r="R7" t="s">
        <v>1777</v>
      </c>
      <c r="S7" s="42" t="str">
        <f>HYPERLINK("https://sklep.kobi.pl/produkt/led-fg125-7w-2700k")</f>
        <v>https://sklep.kobi.pl/produkt/led-fg125-7w-2700k</v>
      </c>
      <c r="T7" s="42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  <c r="Z7" t="s">
        <v>1778</v>
      </c>
      <c r="AA7"/>
    </row>
    <row r="8" spans="1:27" ht="15" x14ac:dyDescent="0.25">
      <c r="A8" t="s">
        <v>44</v>
      </c>
      <c r="B8" t="s">
        <v>45</v>
      </c>
      <c r="C8" t="s">
        <v>433</v>
      </c>
      <c r="D8" t="s">
        <v>69</v>
      </c>
      <c r="E8" t="s">
        <v>71</v>
      </c>
      <c r="F8" t="s">
        <v>635</v>
      </c>
      <c r="G8" t="s">
        <v>636</v>
      </c>
      <c r="H8" t="s">
        <v>49</v>
      </c>
      <c r="I8" s="41">
        <v>17.5</v>
      </c>
      <c r="J8" s="40">
        <f>I8*(1-IFERROR(VLOOKUP(H8,Rabat!$D$10:$E$41,2,FALSE),0))</f>
        <v>17.5</v>
      </c>
      <c r="K8">
        <v>0.03</v>
      </c>
      <c r="L8" t="s">
        <v>1779</v>
      </c>
      <c r="M8" t="s">
        <v>1784</v>
      </c>
      <c r="N8" t="s">
        <v>1775</v>
      </c>
      <c r="O8" t="s">
        <v>1776</v>
      </c>
      <c r="P8">
        <v>100</v>
      </c>
      <c r="Q8">
        <v>2500</v>
      </c>
      <c r="R8" t="s">
        <v>1777</v>
      </c>
      <c r="S8" s="42" t="str">
        <f>HYPERLINK("https://sklep.kobi.pl/produkt/led-fgs-7w-e27-3000k")</f>
        <v>https://sklep.kobi.pl/produkt/led-fgs-7w-e27-3000k</v>
      </c>
      <c r="T8" s="42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  <c r="Z8" t="s">
        <v>1778</v>
      </c>
      <c r="AA8"/>
    </row>
    <row r="9" spans="1:27" ht="15" x14ac:dyDescent="0.25">
      <c r="A9" t="s">
        <v>44</v>
      </c>
      <c r="B9" t="s">
        <v>45</v>
      </c>
      <c r="C9" t="s">
        <v>433</v>
      </c>
      <c r="D9" t="s">
        <v>69</v>
      </c>
      <c r="E9" t="s">
        <v>71</v>
      </c>
      <c r="F9" t="s">
        <v>678</v>
      </c>
      <c r="G9" t="s">
        <v>679</v>
      </c>
      <c r="H9" t="s">
        <v>49</v>
      </c>
      <c r="I9" s="41">
        <v>17.5</v>
      </c>
      <c r="J9" s="40">
        <f>I9*(1-IFERROR(VLOOKUP(H9,Rabat!$D$10:$E$41,2,FALSE),0))</f>
        <v>17.5</v>
      </c>
      <c r="K9">
        <v>0.03</v>
      </c>
      <c r="L9" t="s">
        <v>1779</v>
      </c>
      <c r="M9" t="s">
        <v>1785</v>
      </c>
      <c r="N9" t="s">
        <v>1775</v>
      </c>
      <c r="O9" t="s">
        <v>1776</v>
      </c>
      <c r="P9">
        <v>100</v>
      </c>
      <c r="Q9">
        <v>2500</v>
      </c>
      <c r="R9" t="s">
        <v>1777</v>
      </c>
      <c r="S9" s="42" t="str">
        <f>HYPERLINK("https://sklep.kobi.pl/produkt/led-fgs-7w-e27-4000k")</f>
        <v>https://sklep.kobi.pl/produkt/led-fgs-7w-e27-4000k</v>
      </c>
      <c r="T9" s="42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  <c r="Z9" t="s">
        <v>1778</v>
      </c>
      <c r="AA9"/>
    </row>
    <row r="10" spans="1:27" ht="15" x14ac:dyDescent="0.25">
      <c r="A10" t="s">
        <v>44</v>
      </c>
      <c r="B10" t="s">
        <v>45</v>
      </c>
      <c r="C10" t="s">
        <v>433</v>
      </c>
      <c r="D10" t="s">
        <v>69</v>
      </c>
      <c r="E10" t="s">
        <v>149</v>
      </c>
      <c r="F10" t="s">
        <v>680</v>
      </c>
      <c r="G10" t="s">
        <v>681</v>
      </c>
      <c r="H10" t="s">
        <v>49</v>
      </c>
      <c r="I10" s="41">
        <v>26.05</v>
      </c>
      <c r="J10" s="40">
        <f>I10*(1-IFERROR(VLOOKUP(H10,Rabat!$D$10:$E$41,2,FALSE),0))</f>
        <v>26.05</v>
      </c>
      <c r="K10">
        <v>0.03</v>
      </c>
      <c r="L10" t="s">
        <v>1779</v>
      </c>
      <c r="M10" t="s">
        <v>1786</v>
      </c>
      <c r="N10" t="s">
        <v>1775</v>
      </c>
      <c r="O10" t="s">
        <v>1776</v>
      </c>
      <c r="P10">
        <v>100</v>
      </c>
      <c r="Q10">
        <v>2500</v>
      </c>
      <c r="R10" t="s">
        <v>1777</v>
      </c>
      <c r="S10" s="42" t="str">
        <f>HYPERLINK("https://sklep.kobi.pl/produkt/led-fgs-8w-e27-4000k")</f>
        <v>https://sklep.kobi.pl/produkt/led-fgs-8w-e27-4000k</v>
      </c>
      <c r="T10" s="42" t="str">
        <f>HYPERLINK("https://eprel.ec.europa.eu/qr/659693         ")</f>
        <v xml:space="preserve">https://eprel.ec.europa.eu/qr/659693         </v>
      </c>
      <c r="U10">
        <v>0.03</v>
      </c>
      <c r="V10">
        <v>0.05</v>
      </c>
      <c r="W10">
        <v>65</v>
      </c>
      <c r="X10">
        <v>115</v>
      </c>
      <c r="Y10">
        <v>65</v>
      </c>
      <c r="Z10" t="s">
        <v>1778</v>
      </c>
      <c r="AA10"/>
    </row>
    <row r="11" spans="1:27" ht="15" x14ac:dyDescent="0.25">
      <c r="A11" t="s">
        <v>44</v>
      </c>
      <c r="B11" t="s">
        <v>45</v>
      </c>
      <c r="C11" t="s">
        <v>433</v>
      </c>
      <c r="D11" t="s">
        <v>69</v>
      </c>
      <c r="E11" t="s">
        <v>71</v>
      </c>
      <c r="F11" t="s">
        <v>637</v>
      </c>
      <c r="G11" t="s">
        <v>638</v>
      </c>
      <c r="H11" t="s">
        <v>49</v>
      </c>
      <c r="I11" s="41">
        <v>34.6</v>
      </c>
      <c r="J11" s="40">
        <f>I11*(1-IFERROR(VLOOKUP(H11,Rabat!$D$10:$E$41,2,FALSE),0))</f>
        <v>34.6</v>
      </c>
      <c r="K11">
        <v>0.03</v>
      </c>
      <c r="L11" t="s">
        <v>1779</v>
      </c>
      <c r="M11" t="s">
        <v>1787</v>
      </c>
      <c r="N11" t="s">
        <v>1775</v>
      </c>
      <c r="O11" t="s">
        <v>1776</v>
      </c>
      <c r="P11">
        <v>100</v>
      </c>
      <c r="Q11">
        <v>2500</v>
      </c>
      <c r="R11" t="s">
        <v>1777</v>
      </c>
      <c r="S11" s="42" t="str">
        <f>HYPERLINK("https://sklep.kobi.pl/produkt/led-fgs-115w-e27-3000k")</f>
        <v>https://sklep.kobi.pl/produkt/led-fgs-115w-e27-3000k</v>
      </c>
      <c r="T11" s="42" t="str">
        <f>HYPERLINK("https://eprel.ec.europa.eu/qr/659629         ")</f>
        <v xml:space="preserve">https://eprel.ec.europa.eu/qr/659629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  <c r="Z11" t="s">
        <v>1778</v>
      </c>
      <c r="AA11"/>
    </row>
    <row r="12" spans="1:27" ht="15" x14ac:dyDescent="0.25">
      <c r="A12" t="s">
        <v>44</v>
      </c>
      <c r="B12" t="s">
        <v>45</v>
      </c>
      <c r="C12" t="s">
        <v>433</v>
      </c>
      <c r="D12" t="s">
        <v>69</v>
      </c>
      <c r="E12" t="s">
        <v>71</v>
      </c>
      <c r="F12" t="s">
        <v>639</v>
      </c>
      <c r="G12" t="s">
        <v>640</v>
      </c>
      <c r="H12" t="s">
        <v>49</v>
      </c>
      <c r="I12" s="41">
        <v>34.6</v>
      </c>
      <c r="J12" s="40">
        <f>I12*(1-IFERROR(VLOOKUP(H12,Rabat!$D$10:$E$41,2,FALSE),0))</f>
        <v>34.6</v>
      </c>
      <c r="K12">
        <v>0.03</v>
      </c>
      <c r="L12" t="s">
        <v>1779</v>
      </c>
      <c r="M12" t="s">
        <v>1788</v>
      </c>
      <c r="N12" t="s">
        <v>1775</v>
      </c>
      <c r="O12" t="s">
        <v>1776</v>
      </c>
      <c r="P12">
        <v>100</v>
      </c>
      <c r="Q12">
        <v>2500</v>
      </c>
      <c r="R12" t="s">
        <v>1777</v>
      </c>
      <c r="S12" s="42" t="str">
        <f>HYPERLINK("https://sklep.kobi.pl/produkt/led-fgs-115w-e27-4000k")</f>
        <v>https://sklep.kobi.pl/produkt/led-fgs-115w-e27-4000k</v>
      </c>
      <c r="T12" s="42" t="str">
        <f>HYPERLINK("https://eprel.ec.europa.eu/qr/659640         ")</f>
        <v xml:space="preserve">https://eprel.ec.europa.eu/qr/659640         </v>
      </c>
      <c r="U12">
        <v>3.3000000000000002E-2</v>
      </c>
      <c r="V12">
        <v>6.7000000000000004E-2</v>
      </c>
      <c r="W12">
        <v>140</v>
      </c>
      <c r="X12">
        <v>70</v>
      </c>
      <c r="Y12">
        <v>70</v>
      </c>
      <c r="Z12" t="s">
        <v>1778</v>
      </c>
      <c r="AA12"/>
    </row>
    <row r="13" spans="1:27" ht="15" x14ac:dyDescent="0.25">
      <c r="A13" t="s">
        <v>44</v>
      </c>
      <c r="B13" t="s">
        <v>45</v>
      </c>
      <c r="C13" t="s">
        <v>433</v>
      </c>
      <c r="D13" t="s">
        <v>69</v>
      </c>
      <c r="E13" t="s">
        <v>149</v>
      </c>
      <c r="F13" t="s">
        <v>746</v>
      </c>
      <c r="G13" t="s">
        <v>747</v>
      </c>
      <c r="H13" t="s">
        <v>49</v>
      </c>
      <c r="I13" s="41">
        <v>11.57</v>
      </c>
      <c r="J13" s="40">
        <f>I13*(1-IFERROR(VLOOKUP(H13,Rabat!$D$10:$E$41,2,FALSE),0))</f>
        <v>11.57</v>
      </c>
      <c r="K13">
        <v>0.01</v>
      </c>
      <c r="L13" t="s">
        <v>1789</v>
      </c>
      <c r="M13" t="s">
        <v>1790</v>
      </c>
      <c r="N13" t="s">
        <v>1775</v>
      </c>
      <c r="O13" t="s">
        <v>1776</v>
      </c>
      <c r="P13">
        <v>100</v>
      </c>
      <c r="Q13">
        <v>4200</v>
      </c>
      <c r="R13" t="s">
        <v>1777</v>
      </c>
      <c r="S13" s="42" t="str">
        <f>HYPERLINK("https://sklep.kobi.pl/produkt/led-fmb-1w-e27-3000k")</f>
        <v>https://sklep.kobi.pl/produkt/led-fmb-1w-e27-3000k</v>
      </c>
      <c r="T13" t="s">
        <v>71</v>
      </c>
      <c r="U13">
        <v>1.2999999999999999E-2</v>
      </c>
      <c r="V13">
        <v>0.02</v>
      </c>
      <c r="W13">
        <v>55</v>
      </c>
      <c r="X13">
        <v>90</v>
      </c>
      <c r="Y13">
        <v>55</v>
      </c>
      <c r="Z13" t="s">
        <v>1778</v>
      </c>
      <c r="AA13"/>
    </row>
    <row r="14" spans="1:27" ht="15" x14ac:dyDescent="0.25">
      <c r="A14" t="s">
        <v>44</v>
      </c>
      <c r="B14" t="s">
        <v>45</v>
      </c>
      <c r="C14" t="s">
        <v>433</v>
      </c>
      <c r="D14" t="s">
        <v>69</v>
      </c>
      <c r="E14" t="s">
        <v>71</v>
      </c>
      <c r="F14" t="s">
        <v>434</v>
      </c>
      <c r="G14" t="s">
        <v>435</v>
      </c>
      <c r="H14" t="s">
        <v>49</v>
      </c>
      <c r="I14" s="41">
        <v>14.24</v>
      </c>
      <c r="J14" s="40">
        <f>I14*(1-IFERROR(VLOOKUP(H14,Rabat!$D$10:$E$41,2,FALSE),0))</f>
        <v>14.24</v>
      </c>
      <c r="K14">
        <v>0.02</v>
      </c>
      <c r="L14" t="s">
        <v>1779</v>
      </c>
      <c r="M14" t="s">
        <v>1791</v>
      </c>
      <c r="N14" t="s">
        <v>1775</v>
      </c>
      <c r="O14" t="s">
        <v>1776</v>
      </c>
      <c r="P14">
        <v>100</v>
      </c>
      <c r="Q14">
        <v>3500</v>
      </c>
      <c r="R14" t="s">
        <v>1777</v>
      </c>
      <c r="S14" s="42" t="str">
        <f>HYPERLINK("https://sklep.kobi.pl/produkt/led-fmb-e27-4w-3000k-cb")</f>
        <v>https://sklep.kobi.pl/produkt/led-fmb-e27-4w-3000k-cb</v>
      </c>
      <c r="T14" s="42" t="str">
        <f>HYPERLINK("https://eprel.ec.europa.eu/qr/659707         ")</f>
        <v xml:space="preserve">https://eprel.ec.europa.eu/qr/659707         </v>
      </c>
      <c r="U14">
        <v>1.7999999999999999E-2</v>
      </c>
      <c r="V14">
        <v>3.2000000000000001E-2</v>
      </c>
      <c r="W14">
        <v>48</v>
      </c>
      <c r="X14">
        <v>50</v>
      </c>
      <c r="Y14">
        <v>86</v>
      </c>
      <c r="Z14" t="s">
        <v>1778</v>
      </c>
      <c r="AA14"/>
    </row>
    <row r="15" spans="1:27" ht="15" x14ac:dyDescent="0.25">
      <c r="A15" t="s">
        <v>44</v>
      </c>
      <c r="B15" t="s">
        <v>45</v>
      </c>
      <c r="C15" t="s">
        <v>433</v>
      </c>
      <c r="D15" t="s">
        <v>69</v>
      </c>
      <c r="E15" t="s">
        <v>149</v>
      </c>
      <c r="F15" t="s">
        <v>620</v>
      </c>
      <c r="G15" t="s">
        <v>621</v>
      </c>
      <c r="H15" t="s">
        <v>49</v>
      </c>
      <c r="I15" s="41">
        <v>34.799999999999997</v>
      </c>
      <c r="J15" s="40">
        <f>I15*(1-IFERROR(VLOOKUP(H15,Rabat!$D$10:$E$41,2,FALSE),0))</f>
        <v>34.799999999999997</v>
      </c>
      <c r="K15">
        <v>0.04</v>
      </c>
      <c r="L15" t="s">
        <v>1779</v>
      </c>
      <c r="M15" t="s">
        <v>1792</v>
      </c>
      <c r="N15" t="s">
        <v>1775</v>
      </c>
      <c r="O15" t="s">
        <v>1776</v>
      </c>
      <c r="P15">
        <v>100</v>
      </c>
      <c r="Q15">
        <v>1200</v>
      </c>
      <c r="R15" t="s">
        <v>1777</v>
      </c>
      <c r="S15" s="42" t="str">
        <f>HYPERLINK("https://sklep.kobi.pl/produkt/led-fst64-7w-2700k")</f>
        <v>https://sklep.kobi.pl/produkt/led-fst64-7w-2700k</v>
      </c>
      <c r="T15" s="42" t="str">
        <f>HYPERLINK("https://eprel.ec.europa.eu/qr/659711         ")</f>
        <v xml:space="preserve">https://eprel.ec.europa.eu/qr/659711         </v>
      </c>
      <c r="U15">
        <v>4.3999999999999997E-2</v>
      </c>
      <c r="V15">
        <v>7.3999999999999996E-2</v>
      </c>
      <c r="W15">
        <v>75</v>
      </c>
      <c r="X15">
        <v>155</v>
      </c>
      <c r="Y15">
        <v>70</v>
      </c>
      <c r="Z15" t="s">
        <v>1778</v>
      </c>
      <c r="AA15"/>
    </row>
    <row r="16" spans="1:27" ht="15" x14ac:dyDescent="0.25">
      <c r="A16" t="s">
        <v>44</v>
      </c>
      <c r="B16" t="s">
        <v>45</v>
      </c>
      <c r="C16" t="s">
        <v>433</v>
      </c>
      <c r="D16" t="s">
        <v>667</v>
      </c>
      <c r="E16" t="s">
        <v>1289</v>
      </c>
      <c r="F16" t="s">
        <v>1490</v>
      </c>
      <c r="G16" t="s">
        <v>1491</v>
      </c>
      <c r="H16" t="s">
        <v>49</v>
      </c>
      <c r="I16" s="41">
        <v>4.1500000000000004</v>
      </c>
      <c r="J16" s="40">
        <f>I16*(1-IFERROR(VLOOKUP(H16,Rabat!$D$10:$E$41,2,FALSE),0))</f>
        <v>4.1500000000000004</v>
      </c>
      <c r="K16">
        <v>0.01</v>
      </c>
      <c r="L16" t="s">
        <v>1789</v>
      </c>
      <c r="M16" t="s">
        <v>1793</v>
      </c>
      <c r="N16" t="s">
        <v>1775</v>
      </c>
      <c r="O16" t="s">
        <v>1776</v>
      </c>
      <c r="P16">
        <v>100</v>
      </c>
      <c r="Q16">
        <v>0</v>
      </c>
      <c r="R16" t="s">
        <v>1777</v>
      </c>
      <c r="S16" s="42" t="str">
        <f>HYPERLINK("https://sklep.kobi.pl/produkt/led-st45-1w-e27-2700k-led2b")</f>
        <v>https://sklep.kobi.pl/produkt/led-st45-1w-e27-2700k-led2b</v>
      </c>
      <c r="T16" t="s">
        <v>71</v>
      </c>
      <c r="U16">
        <v>0.01</v>
      </c>
      <c r="V16">
        <v>0</v>
      </c>
      <c r="W16">
        <v>0</v>
      </c>
      <c r="X16">
        <v>0</v>
      </c>
      <c r="Y16">
        <v>0</v>
      </c>
      <c r="Z16" t="s">
        <v>1778</v>
      </c>
      <c r="AA16"/>
    </row>
    <row r="17" spans="1:27" ht="15" x14ac:dyDescent="0.25">
      <c r="A17" t="s">
        <v>44</v>
      </c>
      <c r="B17" t="s">
        <v>45</v>
      </c>
      <c r="C17" t="s">
        <v>1073</v>
      </c>
      <c r="D17" t="s">
        <v>69</v>
      </c>
      <c r="E17" t="s">
        <v>71</v>
      </c>
      <c r="F17" t="s">
        <v>1074</v>
      </c>
      <c r="G17" t="s">
        <v>1075</v>
      </c>
      <c r="H17" t="s">
        <v>50</v>
      </c>
      <c r="I17" s="41">
        <v>15.27</v>
      </c>
      <c r="J17" s="40">
        <f>I17*(1-IFERROR(VLOOKUP(H17,Rabat!$D$10:$E$41,2,FALSE),0))</f>
        <v>15.27</v>
      </c>
      <c r="K17">
        <v>0.01</v>
      </c>
      <c r="L17" t="s">
        <v>1773</v>
      </c>
      <c r="M17" t="s">
        <v>1794</v>
      </c>
      <c r="N17" t="s">
        <v>1775</v>
      </c>
      <c r="O17" t="s">
        <v>1776</v>
      </c>
      <c r="P17">
        <v>100</v>
      </c>
      <c r="Q17">
        <v>0</v>
      </c>
      <c r="R17" t="s">
        <v>1777</v>
      </c>
      <c r="S17" s="42" t="str">
        <f>HYPERLINK("https://sklep.kobi.pl/produkt/led-g4-15w-3000k")</f>
        <v>https://sklep.kobi.pl/produkt/led-g4-15w-3000k</v>
      </c>
      <c r="T17" s="42" t="str">
        <f>HYPERLINK("https://eprel.ec.europa.eu/qr/996106         ")</f>
        <v xml:space="preserve">https://eprel.ec.europa.eu/qr/996106         </v>
      </c>
      <c r="U17">
        <v>0.01</v>
      </c>
      <c r="V17">
        <v>0</v>
      </c>
      <c r="W17">
        <v>0</v>
      </c>
      <c r="X17">
        <v>0</v>
      </c>
      <c r="Y17">
        <v>0</v>
      </c>
      <c r="Z17" t="s">
        <v>1778</v>
      </c>
      <c r="AA17"/>
    </row>
    <row r="18" spans="1:27" ht="15" x14ac:dyDescent="0.25">
      <c r="A18" t="s">
        <v>44</v>
      </c>
      <c r="B18" t="s">
        <v>45</v>
      </c>
      <c r="C18" t="s">
        <v>1073</v>
      </c>
      <c r="D18" t="s">
        <v>69</v>
      </c>
      <c r="E18" t="s">
        <v>71</v>
      </c>
      <c r="F18" t="s">
        <v>1076</v>
      </c>
      <c r="G18" t="s">
        <v>1077</v>
      </c>
      <c r="H18" t="s">
        <v>50</v>
      </c>
      <c r="I18" s="41">
        <v>15.27</v>
      </c>
      <c r="J18" s="40">
        <f>I18*(1-IFERROR(VLOOKUP(H18,Rabat!$D$10:$E$41,2,FALSE),0))</f>
        <v>15.27</v>
      </c>
      <c r="K18">
        <v>0.01</v>
      </c>
      <c r="L18" t="s">
        <v>1773</v>
      </c>
      <c r="M18" t="s">
        <v>1795</v>
      </c>
      <c r="N18" t="s">
        <v>1775</v>
      </c>
      <c r="O18" t="s">
        <v>1776</v>
      </c>
      <c r="P18">
        <v>100</v>
      </c>
      <c r="Q18">
        <v>0</v>
      </c>
      <c r="R18" t="s">
        <v>1777</v>
      </c>
      <c r="S18" s="42" t="str">
        <f>HYPERLINK("https://sklep.kobi.pl/produkt/led-g4-15w-4000k")</f>
        <v>https://sklep.kobi.pl/produkt/led-g4-15w-4000k</v>
      </c>
      <c r="T18" s="42" t="str">
        <f>HYPERLINK("https://eprel.ec.europa.eu/qr/996107         ")</f>
        <v xml:space="preserve">https://eprel.ec.europa.eu/qr/996107         </v>
      </c>
      <c r="U18">
        <v>0.01</v>
      </c>
      <c r="V18">
        <v>0</v>
      </c>
      <c r="W18">
        <v>0</v>
      </c>
      <c r="X18">
        <v>0</v>
      </c>
      <c r="Y18">
        <v>0</v>
      </c>
      <c r="Z18" t="s">
        <v>1778</v>
      </c>
      <c r="AA18"/>
    </row>
    <row r="19" spans="1:27" ht="15" x14ac:dyDescent="0.25">
      <c r="A19" t="s">
        <v>44</v>
      </c>
      <c r="B19" t="s">
        <v>45</v>
      </c>
      <c r="C19" t="s">
        <v>1073</v>
      </c>
      <c r="D19" t="s">
        <v>69</v>
      </c>
      <c r="E19" t="s">
        <v>71</v>
      </c>
      <c r="F19" t="s">
        <v>1142</v>
      </c>
      <c r="G19" t="s">
        <v>1143</v>
      </c>
      <c r="H19" t="s">
        <v>50</v>
      </c>
      <c r="I19" s="41">
        <v>17.2</v>
      </c>
      <c r="J19" s="40">
        <f>I19*(1-IFERROR(VLOOKUP(H19,Rabat!$D$10:$E$41,2,FALSE),0))</f>
        <v>17.2</v>
      </c>
      <c r="K19">
        <v>0.01</v>
      </c>
      <c r="L19" t="s">
        <v>1773</v>
      </c>
      <c r="M19" t="s">
        <v>1796</v>
      </c>
      <c r="N19" t="s">
        <v>1775</v>
      </c>
      <c r="O19" t="s">
        <v>1776</v>
      </c>
      <c r="P19">
        <v>100</v>
      </c>
      <c r="Q19">
        <v>0</v>
      </c>
      <c r="R19" t="s">
        <v>1777</v>
      </c>
      <c r="S19" s="42" t="str">
        <f>HYPERLINK("https://sklep.kobi.pl/produkt/led-g4-2w-3000k")</f>
        <v>https://sklep.kobi.pl/produkt/led-g4-2w-3000k</v>
      </c>
      <c r="T19" s="42" t="str">
        <f>HYPERLINK("https://eprel.ec.europa.eu/qr/816926         ")</f>
        <v xml:space="preserve">https://eprel.ec.europa.eu/qr/816926         </v>
      </c>
      <c r="U19">
        <v>0.01</v>
      </c>
      <c r="V19">
        <v>0</v>
      </c>
      <c r="W19">
        <v>0</v>
      </c>
      <c r="X19">
        <v>0</v>
      </c>
      <c r="Y19">
        <v>0</v>
      </c>
      <c r="Z19" t="s">
        <v>1778</v>
      </c>
      <c r="AA19"/>
    </row>
    <row r="20" spans="1:27" ht="15" x14ac:dyDescent="0.25">
      <c r="A20" t="s">
        <v>44</v>
      </c>
      <c r="B20" t="s">
        <v>45</v>
      </c>
      <c r="C20" t="s">
        <v>1073</v>
      </c>
      <c r="D20" t="s">
        <v>69</v>
      </c>
      <c r="E20" t="s">
        <v>71</v>
      </c>
      <c r="F20" t="s">
        <v>1144</v>
      </c>
      <c r="G20" t="s">
        <v>1145</v>
      </c>
      <c r="H20" t="s">
        <v>50</v>
      </c>
      <c r="I20" s="41">
        <v>17.2</v>
      </c>
      <c r="J20" s="40">
        <f>I20*(1-IFERROR(VLOOKUP(H20,Rabat!$D$10:$E$41,2,FALSE),0))</f>
        <v>17.2</v>
      </c>
      <c r="K20">
        <v>0.01</v>
      </c>
      <c r="L20" t="s">
        <v>1773</v>
      </c>
      <c r="M20" t="s">
        <v>1797</v>
      </c>
      <c r="N20" t="s">
        <v>1775</v>
      </c>
      <c r="O20" t="s">
        <v>1776</v>
      </c>
      <c r="P20">
        <v>100</v>
      </c>
      <c r="Q20">
        <v>0</v>
      </c>
      <c r="R20" t="s">
        <v>1777</v>
      </c>
      <c r="S20" s="42" t="str">
        <f>HYPERLINK("https://sklep.kobi.pl/produkt/led-g4-2w-4000k")</f>
        <v>https://sklep.kobi.pl/produkt/led-g4-2w-4000k</v>
      </c>
      <c r="T20" s="42" t="str">
        <f>HYPERLINK("https://eprel.ec.europa.eu/qr/816995         ")</f>
        <v xml:space="preserve">https://eprel.ec.europa.eu/qr/816995         </v>
      </c>
      <c r="U20">
        <v>0.01</v>
      </c>
      <c r="V20">
        <v>0</v>
      </c>
      <c r="W20">
        <v>0</v>
      </c>
      <c r="X20">
        <v>0</v>
      </c>
      <c r="Y20">
        <v>0</v>
      </c>
      <c r="Z20" t="s">
        <v>1778</v>
      </c>
      <c r="AA20"/>
    </row>
    <row r="21" spans="1:27" ht="15" x14ac:dyDescent="0.25">
      <c r="A21" t="s">
        <v>44</v>
      </c>
      <c r="B21" t="s">
        <v>45</v>
      </c>
      <c r="C21" t="s">
        <v>260</v>
      </c>
      <c r="D21" t="s">
        <v>69</v>
      </c>
      <c r="E21" t="s">
        <v>71</v>
      </c>
      <c r="F21" t="s">
        <v>1300</v>
      </c>
      <c r="G21" t="s">
        <v>1301</v>
      </c>
      <c r="H21" t="s">
        <v>50</v>
      </c>
      <c r="I21" s="41">
        <v>18.100000000000001</v>
      </c>
      <c r="J21" s="40">
        <f>I21*(1-IFERROR(VLOOKUP(H21,Rabat!$D$10:$E$41,2,FALSE),0))</f>
        <v>18.100000000000001</v>
      </c>
      <c r="K21">
        <v>0.02</v>
      </c>
      <c r="L21" t="s">
        <v>1779</v>
      </c>
      <c r="M21" t="s">
        <v>1798</v>
      </c>
      <c r="N21" t="s">
        <v>1775</v>
      </c>
      <c r="O21" t="s">
        <v>1776</v>
      </c>
      <c r="P21">
        <v>500</v>
      </c>
      <c r="Q21">
        <v>0</v>
      </c>
      <c r="R21" t="s">
        <v>1777</v>
      </c>
      <c r="S21" s="42" t="str">
        <f>HYPERLINK("https://sklep.kobi.pl/produkt/led-g9-3w-3000k")</f>
        <v>https://sklep.kobi.pl/produkt/led-g9-3w-3000k</v>
      </c>
      <c r="T21" s="42" t="str">
        <f>HYPERLINK("https://eprel.ec.europa.eu/qr/1682098        ")</f>
        <v xml:space="preserve">https://eprel.ec.europa.eu/qr/1682098        </v>
      </c>
      <c r="U21">
        <v>0.02</v>
      </c>
      <c r="V21">
        <v>0</v>
      </c>
      <c r="W21">
        <v>0</v>
      </c>
      <c r="X21">
        <v>0</v>
      </c>
      <c r="Y21">
        <v>0</v>
      </c>
      <c r="Z21" t="s">
        <v>1778</v>
      </c>
      <c r="AA21"/>
    </row>
    <row r="22" spans="1:27" ht="15" x14ac:dyDescent="0.25">
      <c r="A22" t="s">
        <v>44</v>
      </c>
      <c r="B22" t="s">
        <v>45</v>
      </c>
      <c r="C22" t="s">
        <v>260</v>
      </c>
      <c r="D22" t="s">
        <v>69</v>
      </c>
      <c r="E22" t="s">
        <v>71</v>
      </c>
      <c r="F22" t="s">
        <v>1704</v>
      </c>
      <c r="G22" t="s">
        <v>1705</v>
      </c>
      <c r="H22" t="s">
        <v>50</v>
      </c>
      <c r="I22" s="41">
        <v>18.100000000000001</v>
      </c>
      <c r="J22" s="40">
        <f>I22*(1-IFERROR(VLOOKUP(H22,Rabat!$D$10:$E$41,2,FALSE),0))</f>
        <v>18.100000000000001</v>
      </c>
      <c r="K22">
        <v>0.02</v>
      </c>
      <c r="L22" t="s">
        <v>1779</v>
      </c>
      <c r="M22" t="s">
        <v>1799</v>
      </c>
      <c r="N22" t="s">
        <v>1775</v>
      </c>
      <c r="O22" t="s">
        <v>1776</v>
      </c>
      <c r="P22">
        <v>500</v>
      </c>
      <c r="Q22">
        <v>0</v>
      </c>
      <c r="R22" t="s">
        <v>1777</v>
      </c>
      <c r="S22"/>
      <c r="T22" s="42" t="str">
        <f>HYPERLINK("https://eprel.ec.europa.eu/qr/1682160        ")</f>
        <v xml:space="preserve">https://eprel.ec.europa.eu/qr/1682160        </v>
      </c>
      <c r="U22">
        <v>0.02</v>
      </c>
      <c r="V22">
        <v>0</v>
      </c>
      <c r="W22">
        <v>0</v>
      </c>
      <c r="X22">
        <v>0</v>
      </c>
      <c r="Y22">
        <v>0</v>
      </c>
      <c r="Z22" t="s">
        <v>1778</v>
      </c>
      <c r="AA22"/>
    </row>
    <row r="23" spans="1:27" ht="15" x14ac:dyDescent="0.25">
      <c r="A23" t="s">
        <v>44</v>
      </c>
      <c r="B23" t="s">
        <v>45</v>
      </c>
      <c r="C23" t="s">
        <v>260</v>
      </c>
      <c r="D23" t="s">
        <v>69</v>
      </c>
      <c r="E23" t="s">
        <v>71</v>
      </c>
      <c r="F23" t="s">
        <v>1302</v>
      </c>
      <c r="G23" t="s">
        <v>1303</v>
      </c>
      <c r="H23" t="s">
        <v>50</v>
      </c>
      <c r="I23" s="41">
        <v>18.100000000000001</v>
      </c>
      <c r="J23" s="40">
        <f>I23*(1-IFERROR(VLOOKUP(H23,Rabat!$D$10:$E$41,2,FALSE),0))</f>
        <v>18.100000000000001</v>
      </c>
      <c r="K23">
        <v>0.02</v>
      </c>
      <c r="L23" t="s">
        <v>1779</v>
      </c>
      <c r="M23" t="s">
        <v>1800</v>
      </c>
      <c r="N23" t="s">
        <v>1775</v>
      </c>
      <c r="O23" t="s">
        <v>1776</v>
      </c>
      <c r="P23">
        <v>500</v>
      </c>
      <c r="Q23">
        <v>0</v>
      </c>
      <c r="R23" t="s">
        <v>1777</v>
      </c>
      <c r="S23" s="42" t="str">
        <f>HYPERLINK("https://sklep.kobi.pl/produkt/led-g9-3w-6000k")</f>
        <v>https://sklep.kobi.pl/produkt/led-g9-3w-6000k</v>
      </c>
      <c r="T23" s="42" t="str">
        <f>HYPERLINK("https://eprel.ec.europa.eu/qr/1682294        ")</f>
        <v xml:space="preserve">https://eprel.ec.europa.eu/qr/1682294        </v>
      </c>
      <c r="U23">
        <v>0.02</v>
      </c>
      <c r="V23">
        <v>0</v>
      </c>
      <c r="W23">
        <v>0</v>
      </c>
      <c r="X23">
        <v>0</v>
      </c>
      <c r="Y23">
        <v>0</v>
      </c>
      <c r="Z23" t="s">
        <v>1778</v>
      </c>
      <c r="AA23"/>
    </row>
    <row r="24" spans="1:27" ht="15" x14ac:dyDescent="0.25">
      <c r="A24" t="s">
        <v>44</v>
      </c>
      <c r="B24" t="s">
        <v>45</v>
      </c>
      <c r="C24" t="s">
        <v>260</v>
      </c>
      <c r="D24" t="s">
        <v>69</v>
      </c>
      <c r="E24" t="s">
        <v>71</v>
      </c>
      <c r="F24" t="s">
        <v>261</v>
      </c>
      <c r="G24" t="s">
        <v>262</v>
      </c>
      <c r="H24" t="s">
        <v>50</v>
      </c>
      <c r="I24" s="41">
        <v>16.2</v>
      </c>
      <c r="J24" s="40">
        <f>I24*(1-IFERROR(VLOOKUP(H24,Rabat!$D$10:$E$41,2,FALSE),0))</f>
        <v>16.2</v>
      </c>
      <c r="K24">
        <v>0.01</v>
      </c>
      <c r="L24" t="s">
        <v>1773</v>
      </c>
      <c r="M24" t="s">
        <v>1801</v>
      </c>
      <c r="N24" t="s">
        <v>1775</v>
      </c>
      <c r="O24" t="s">
        <v>1776</v>
      </c>
      <c r="P24">
        <v>100</v>
      </c>
      <c r="Q24">
        <v>3000</v>
      </c>
      <c r="R24" t="s">
        <v>1777</v>
      </c>
      <c r="S24" s="42" t="str">
        <f>HYPERLINK("https://sklep.kobi.pl/produkt/led-g9-smd-3000k-4w-400lm-230v-360-ceram")</f>
        <v>https://sklep.kobi.pl/produkt/led-g9-smd-3000k-4w-400lm-230v-360-ceram</v>
      </c>
      <c r="T24" s="42" t="str">
        <f>HYPERLINK("https://eprel.ec.europa.eu/qr/659766         ")</f>
        <v xml:space="preserve">https://eprel.ec.europa.eu/qr/659766         </v>
      </c>
      <c r="U24">
        <v>1.0999999999999999E-2</v>
      </c>
      <c r="V24">
        <v>0.02</v>
      </c>
      <c r="W24">
        <v>25</v>
      </c>
      <c r="X24">
        <v>76</v>
      </c>
      <c r="Y24">
        <v>131</v>
      </c>
      <c r="Z24" t="s">
        <v>1778</v>
      </c>
      <c r="AA24"/>
    </row>
    <row r="25" spans="1:27" ht="15" x14ac:dyDescent="0.25">
      <c r="A25" t="s">
        <v>44</v>
      </c>
      <c r="B25" t="s">
        <v>45</v>
      </c>
      <c r="C25" t="s">
        <v>260</v>
      </c>
      <c r="D25" t="s">
        <v>69</v>
      </c>
      <c r="E25" t="s">
        <v>71</v>
      </c>
      <c r="F25" t="s">
        <v>301</v>
      </c>
      <c r="G25" t="s">
        <v>302</v>
      </c>
      <c r="H25" t="s">
        <v>50</v>
      </c>
      <c r="I25" s="41">
        <v>16.2</v>
      </c>
      <c r="J25" s="40">
        <f>I25*(1-IFERROR(VLOOKUP(H25,Rabat!$D$10:$E$41,2,FALSE),0))</f>
        <v>16.2</v>
      </c>
      <c r="K25">
        <v>0.01</v>
      </c>
      <c r="L25" t="s">
        <v>1773</v>
      </c>
      <c r="M25" t="s">
        <v>1802</v>
      </c>
      <c r="N25" t="s">
        <v>1775</v>
      </c>
      <c r="O25" t="s">
        <v>1776</v>
      </c>
      <c r="P25">
        <v>100</v>
      </c>
      <c r="Q25">
        <v>3000</v>
      </c>
      <c r="R25" t="s">
        <v>1777</v>
      </c>
      <c r="S25" s="42" t="str">
        <f>HYPERLINK("https://sklep.kobi.pl/produkt/led-g9-smd-4000k-4w-380lm-230v-360-ceram")</f>
        <v>https://sklep.kobi.pl/produkt/led-g9-smd-4000k-4w-380lm-230v-360-ceram</v>
      </c>
      <c r="T25" s="42" t="str">
        <f>HYPERLINK("https://eprel.ec.europa.eu/qr/659773         ")</f>
        <v xml:space="preserve">https://eprel.ec.europa.eu/qr/659773         </v>
      </c>
      <c r="U25">
        <v>1.0999999999999999E-2</v>
      </c>
      <c r="V25">
        <v>0.02</v>
      </c>
      <c r="W25">
        <v>25</v>
      </c>
      <c r="X25">
        <v>76</v>
      </c>
      <c r="Y25">
        <v>137</v>
      </c>
      <c r="Z25" t="s">
        <v>1778</v>
      </c>
      <c r="AA25"/>
    </row>
    <row r="26" spans="1:27" ht="15" x14ac:dyDescent="0.25">
      <c r="A26" t="s">
        <v>44</v>
      </c>
      <c r="B26" t="s">
        <v>45</v>
      </c>
      <c r="C26" t="s">
        <v>260</v>
      </c>
      <c r="D26" t="s">
        <v>69</v>
      </c>
      <c r="E26" t="s">
        <v>71</v>
      </c>
      <c r="F26" t="s">
        <v>303</v>
      </c>
      <c r="G26" t="s">
        <v>304</v>
      </c>
      <c r="H26" t="s">
        <v>50</v>
      </c>
      <c r="I26" s="41">
        <v>16.2</v>
      </c>
      <c r="J26" s="40">
        <f>I26*(1-IFERROR(VLOOKUP(H26,Rabat!$D$10:$E$41,2,FALSE),0))</f>
        <v>16.2</v>
      </c>
      <c r="K26">
        <v>0.01</v>
      </c>
      <c r="L26" t="s">
        <v>1773</v>
      </c>
      <c r="M26" t="s">
        <v>1803</v>
      </c>
      <c r="N26" t="s">
        <v>1775</v>
      </c>
      <c r="O26" t="s">
        <v>1776</v>
      </c>
      <c r="P26">
        <v>100</v>
      </c>
      <c r="Q26">
        <v>3000</v>
      </c>
      <c r="R26" t="s">
        <v>1777</v>
      </c>
      <c r="S26" s="42" t="str">
        <f>HYPERLINK("https://sklep.kobi.pl/produkt/led-g9-smd-6000k-4w-380lm-230v-360-ceram")</f>
        <v>https://sklep.kobi.pl/produkt/led-g9-smd-6000k-4w-380lm-230v-360-ceram</v>
      </c>
      <c r="T26" s="42" t="str">
        <f>HYPERLINK("https://eprel.ec.europa.eu/qr/659777         ")</f>
        <v xml:space="preserve">https://eprel.ec.europa.eu/qr/659777         </v>
      </c>
      <c r="U26">
        <v>1.0999999999999999E-2</v>
      </c>
      <c r="V26">
        <v>0.02</v>
      </c>
      <c r="W26">
        <v>20</v>
      </c>
      <c r="X26">
        <v>77</v>
      </c>
      <c r="Y26">
        <v>132</v>
      </c>
      <c r="Z26" t="s">
        <v>1778</v>
      </c>
      <c r="AA26"/>
    </row>
    <row r="27" spans="1:27" ht="15" x14ac:dyDescent="0.25">
      <c r="A27" t="s">
        <v>44</v>
      </c>
      <c r="B27" t="s">
        <v>45</v>
      </c>
      <c r="C27" t="s">
        <v>260</v>
      </c>
      <c r="D27" t="s">
        <v>69</v>
      </c>
      <c r="E27" t="s">
        <v>71</v>
      </c>
      <c r="F27" t="s">
        <v>764</v>
      </c>
      <c r="G27" t="s">
        <v>765</v>
      </c>
      <c r="H27" t="s">
        <v>50</v>
      </c>
      <c r="I27" s="41">
        <v>21.99</v>
      </c>
      <c r="J27" s="40">
        <f>I27*(1-IFERROR(VLOOKUP(H27,Rabat!$D$10:$E$41,2,FALSE),0))</f>
        <v>21.99</v>
      </c>
      <c r="K27">
        <v>0.02</v>
      </c>
      <c r="L27" t="s">
        <v>1773</v>
      </c>
      <c r="M27" t="s">
        <v>1804</v>
      </c>
      <c r="N27" t="s">
        <v>1775</v>
      </c>
      <c r="O27" t="s">
        <v>1776</v>
      </c>
      <c r="P27">
        <v>200</v>
      </c>
      <c r="Q27">
        <v>0</v>
      </c>
      <c r="R27" t="s">
        <v>1777</v>
      </c>
      <c r="S27" s="42" t="str">
        <f>HYPERLINK("https://sklep.kobi.pl/produkt/led-g9-6w-3000k")</f>
        <v>https://sklep.kobi.pl/produkt/led-g9-6w-3000k</v>
      </c>
      <c r="T27" s="42" t="str">
        <f>HYPERLINK("https://eprel.ec.europa.eu/qr/659786         ")</f>
        <v xml:space="preserve">https://eprel.ec.europa.eu/qr/659786         </v>
      </c>
      <c r="U27">
        <v>0.02</v>
      </c>
      <c r="V27">
        <v>0.02</v>
      </c>
      <c r="W27">
        <v>100</v>
      </c>
      <c r="X27">
        <v>120</v>
      </c>
      <c r="Y27">
        <v>10</v>
      </c>
      <c r="Z27" t="s">
        <v>1778</v>
      </c>
      <c r="AA27"/>
    </row>
    <row r="28" spans="1:27" ht="15" x14ac:dyDescent="0.25">
      <c r="A28" t="s">
        <v>44</v>
      </c>
      <c r="B28" t="s">
        <v>45</v>
      </c>
      <c r="C28" t="s">
        <v>260</v>
      </c>
      <c r="D28" t="s">
        <v>69</v>
      </c>
      <c r="E28" t="s">
        <v>71</v>
      </c>
      <c r="F28" t="s">
        <v>766</v>
      </c>
      <c r="G28" t="s">
        <v>767</v>
      </c>
      <c r="H28" t="s">
        <v>50</v>
      </c>
      <c r="I28" s="41">
        <v>21.99</v>
      </c>
      <c r="J28" s="40">
        <f>I28*(1-IFERROR(VLOOKUP(H28,Rabat!$D$10:$E$41,2,FALSE),0))</f>
        <v>21.99</v>
      </c>
      <c r="K28">
        <v>0.02</v>
      </c>
      <c r="L28" t="s">
        <v>1773</v>
      </c>
      <c r="M28" t="s">
        <v>1805</v>
      </c>
      <c r="N28" t="s">
        <v>1775</v>
      </c>
      <c r="O28" t="s">
        <v>1776</v>
      </c>
      <c r="P28">
        <v>200</v>
      </c>
      <c r="Q28">
        <v>0</v>
      </c>
      <c r="R28" t="s">
        <v>1777</v>
      </c>
      <c r="S28" s="42" t="str">
        <f>HYPERLINK("https://sklep.kobi.pl/produkt/led-g9-6w-4000k")</f>
        <v>https://sklep.kobi.pl/produkt/led-g9-6w-4000k</v>
      </c>
      <c r="T28" s="42" t="str">
        <f>HYPERLINK("https://eprel.ec.europa.eu/qr/659804         ")</f>
        <v xml:space="preserve">https://eprel.ec.europa.eu/qr/659804         </v>
      </c>
      <c r="U28">
        <v>0.02</v>
      </c>
      <c r="V28">
        <v>0.02</v>
      </c>
      <c r="W28">
        <v>100</v>
      </c>
      <c r="X28">
        <v>220</v>
      </c>
      <c r="Y28">
        <v>10</v>
      </c>
      <c r="Z28" t="s">
        <v>1778</v>
      </c>
      <c r="AA28"/>
    </row>
    <row r="29" spans="1:27" ht="15" x14ac:dyDescent="0.25">
      <c r="A29" t="s">
        <v>44</v>
      </c>
      <c r="B29" t="s">
        <v>45</v>
      </c>
      <c r="C29" t="s">
        <v>260</v>
      </c>
      <c r="D29" t="s">
        <v>69</v>
      </c>
      <c r="E29" t="s">
        <v>71</v>
      </c>
      <c r="F29" t="s">
        <v>768</v>
      </c>
      <c r="G29" t="s">
        <v>769</v>
      </c>
      <c r="H29" t="s">
        <v>50</v>
      </c>
      <c r="I29" s="41">
        <v>21.99</v>
      </c>
      <c r="J29" s="40">
        <f>I29*(1-IFERROR(VLOOKUP(H29,Rabat!$D$10:$E$41,2,FALSE),0))</f>
        <v>21.99</v>
      </c>
      <c r="K29">
        <v>0.02</v>
      </c>
      <c r="L29" t="s">
        <v>1773</v>
      </c>
      <c r="M29" t="s">
        <v>1806</v>
      </c>
      <c r="N29" t="s">
        <v>1775</v>
      </c>
      <c r="O29" t="s">
        <v>1776</v>
      </c>
      <c r="P29">
        <v>200</v>
      </c>
      <c r="Q29">
        <v>0</v>
      </c>
      <c r="R29" t="s">
        <v>1777</v>
      </c>
      <c r="S29" s="42" t="str">
        <f>HYPERLINK("https://sklep.kobi.pl/produkt/led-g9-6w-6000k")</f>
        <v>https://sklep.kobi.pl/produkt/led-g9-6w-6000k</v>
      </c>
      <c r="T29" s="42" t="str">
        <f>HYPERLINK("https://eprel.ec.europa.eu/qr/659806         ")</f>
        <v xml:space="preserve">https://eprel.ec.europa.eu/qr/659806         </v>
      </c>
      <c r="U29">
        <v>0.02</v>
      </c>
      <c r="V29">
        <v>0.02</v>
      </c>
      <c r="W29">
        <v>60</v>
      </c>
      <c r="X29">
        <v>20</v>
      </c>
      <c r="Y29">
        <v>20</v>
      </c>
      <c r="Z29" t="s">
        <v>1778</v>
      </c>
      <c r="AA29"/>
    </row>
    <row r="30" spans="1:27" ht="15" x14ac:dyDescent="0.25">
      <c r="A30" t="s">
        <v>44</v>
      </c>
      <c r="B30" t="s">
        <v>45</v>
      </c>
      <c r="C30" t="s">
        <v>649</v>
      </c>
      <c r="D30" t="s">
        <v>69</v>
      </c>
      <c r="E30" t="s">
        <v>71</v>
      </c>
      <c r="F30" t="s">
        <v>650</v>
      </c>
      <c r="G30" t="s">
        <v>651</v>
      </c>
      <c r="H30" t="s">
        <v>49</v>
      </c>
      <c r="I30" s="41">
        <v>56.95</v>
      </c>
      <c r="J30" s="40">
        <f>I30*(1-IFERROR(VLOOKUP(H30,Rabat!$D$10:$E$41,2,FALSE),0))</f>
        <v>56.95</v>
      </c>
      <c r="K30">
        <v>0.2</v>
      </c>
      <c r="L30" t="s">
        <v>1773</v>
      </c>
      <c r="M30" t="s">
        <v>1807</v>
      </c>
      <c r="N30" t="s">
        <v>1775</v>
      </c>
      <c r="O30" t="s">
        <v>1776</v>
      </c>
      <c r="P30">
        <v>24</v>
      </c>
      <c r="Q30">
        <v>384</v>
      </c>
      <c r="R30" t="s">
        <v>1777</v>
      </c>
      <c r="S30" s="42" t="str">
        <f>HYPERLINK("https://sklep.kobi.pl/produkt/led-g120-24w-e27-3000k")</f>
        <v>https://sklep.kobi.pl/produkt/led-g120-24w-e27-3000k</v>
      </c>
      <c r="T30" s="42" t="str">
        <f>HYPERLINK("https://eprel.ec.europa.eu/qr/659726         ")</f>
        <v xml:space="preserve">https://eprel.ec.europa.eu/qr/659726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  <c r="Z30" t="s">
        <v>1778</v>
      </c>
      <c r="AA30"/>
    </row>
    <row r="31" spans="1:27" ht="15" x14ac:dyDescent="0.25">
      <c r="A31" t="s">
        <v>44</v>
      </c>
      <c r="B31" t="s">
        <v>45</v>
      </c>
      <c r="C31" t="s">
        <v>649</v>
      </c>
      <c r="D31" t="s">
        <v>69</v>
      </c>
      <c r="E31" t="s">
        <v>71</v>
      </c>
      <c r="F31" t="s">
        <v>652</v>
      </c>
      <c r="G31" t="s">
        <v>653</v>
      </c>
      <c r="H31" t="s">
        <v>49</v>
      </c>
      <c r="I31" s="41">
        <v>56.95</v>
      </c>
      <c r="J31" s="40">
        <f>I31*(1-IFERROR(VLOOKUP(H31,Rabat!$D$10:$E$41,2,FALSE),0))</f>
        <v>56.95</v>
      </c>
      <c r="K31">
        <v>0.2</v>
      </c>
      <c r="L31" t="s">
        <v>1773</v>
      </c>
      <c r="M31" t="s">
        <v>1808</v>
      </c>
      <c r="N31" t="s">
        <v>1775</v>
      </c>
      <c r="O31" t="s">
        <v>1776</v>
      </c>
      <c r="P31">
        <v>24</v>
      </c>
      <c r="Q31">
        <v>384</v>
      </c>
      <c r="R31" t="s">
        <v>1777</v>
      </c>
      <c r="S31" s="42" t="str">
        <f>HYPERLINK("https://sklep.kobi.pl/produkt/led-g120-24w-e27-4000k")</f>
        <v>https://sklep.kobi.pl/produkt/led-g120-24w-e27-4000k</v>
      </c>
      <c r="T31" s="42" t="str">
        <f>HYPERLINK("https://eprel.ec.europa.eu/qr/659731         ")</f>
        <v xml:space="preserve">https://eprel.ec.europa.eu/qr/659731         </v>
      </c>
      <c r="U31">
        <v>0.23499999999999999</v>
      </c>
      <c r="V31">
        <v>0.3</v>
      </c>
      <c r="W31">
        <v>120</v>
      </c>
      <c r="X31">
        <v>160</v>
      </c>
      <c r="Y31">
        <v>120</v>
      </c>
      <c r="Z31" t="s">
        <v>1778</v>
      </c>
      <c r="AA31"/>
    </row>
    <row r="32" spans="1:27" ht="15" x14ac:dyDescent="0.25">
      <c r="A32" t="s">
        <v>44</v>
      </c>
      <c r="B32" t="s">
        <v>45</v>
      </c>
      <c r="C32" t="s">
        <v>70</v>
      </c>
      <c r="D32" t="s">
        <v>69</v>
      </c>
      <c r="E32" t="s">
        <v>71</v>
      </c>
      <c r="F32" t="s">
        <v>88</v>
      </c>
      <c r="G32" t="s">
        <v>89</v>
      </c>
      <c r="H32" t="s">
        <v>49</v>
      </c>
      <c r="I32" s="41">
        <v>9.02</v>
      </c>
      <c r="J32" s="40">
        <f>I32*(1-IFERROR(VLOOKUP(H32,Rabat!$D$10:$E$41,2,FALSE),0))</f>
        <v>9.02</v>
      </c>
      <c r="K32">
        <v>0.02</v>
      </c>
      <c r="L32" t="s">
        <v>1773</v>
      </c>
      <c r="M32" t="s">
        <v>1809</v>
      </c>
      <c r="N32" t="s">
        <v>1775</v>
      </c>
      <c r="O32" t="s">
        <v>1776</v>
      </c>
      <c r="P32">
        <v>100</v>
      </c>
      <c r="Q32">
        <v>2500</v>
      </c>
      <c r="R32" t="s">
        <v>1777</v>
      </c>
      <c r="S32" s="42" t="str">
        <f>HYPERLINK("https://sklep.kobi.pl/produkt/led-gs-7w-e27-3000k-270-cb")</f>
        <v>https://sklep.kobi.pl/produkt/led-gs-7w-e27-3000k-270-cb</v>
      </c>
      <c r="T32" s="42" t="str">
        <f>HYPERLINK("https://eprel.ec.europa.eu/qr/659843         ")</f>
        <v xml:space="preserve">https://eprel.ec.europa.eu/qr/659843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  <c r="Z32" t="s">
        <v>1778</v>
      </c>
      <c r="AA32"/>
    </row>
    <row r="33" spans="1:27" ht="15" x14ac:dyDescent="0.25">
      <c r="A33" t="s">
        <v>44</v>
      </c>
      <c r="B33" t="s">
        <v>45</v>
      </c>
      <c r="C33" t="s">
        <v>70</v>
      </c>
      <c r="D33" t="s">
        <v>69</v>
      </c>
      <c r="E33" t="s">
        <v>71</v>
      </c>
      <c r="F33" t="s">
        <v>94</v>
      </c>
      <c r="G33" t="s">
        <v>95</v>
      </c>
      <c r="H33" t="s">
        <v>49</v>
      </c>
      <c r="I33" s="41">
        <v>9.02</v>
      </c>
      <c r="J33" s="40">
        <f>I33*(1-IFERROR(VLOOKUP(H33,Rabat!$D$10:$E$41,2,FALSE),0))</f>
        <v>9.02</v>
      </c>
      <c r="K33">
        <v>0.02</v>
      </c>
      <c r="L33" t="s">
        <v>1773</v>
      </c>
      <c r="M33" t="s">
        <v>1810</v>
      </c>
      <c r="N33" t="s">
        <v>1775</v>
      </c>
      <c r="O33" t="s">
        <v>1776</v>
      </c>
      <c r="P33">
        <v>100</v>
      </c>
      <c r="Q33">
        <v>2500</v>
      </c>
      <c r="R33" t="s">
        <v>1777</v>
      </c>
      <c r="S33" s="42" t="str">
        <f>HYPERLINK("https://sklep.kobi.pl/produkt/led-gs-7w-e27-4000k-650-nb")</f>
        <v>https://sklep.kobi.pl/produkt/led-gs-7w-e27-4000k-650-nb</v>
      </c>
      <c r="T33" s="42" t="str">
        <f>HYPERLINK("https://eprel.ec.europa.eu/qr/659844         ")</f>
        <v xml:space="preserve">https://eprel.ec.europa.eu/qr/659844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  <c r="Z33" t="s">
        <v>1778</v>
      </c>
      <c r="AA33"/>
    </row>
    <row r="34" spans="1:27" ht="15" x14ac:dyDescent="0.25">
      <c r="A34" t="s">
        <v>44</v>
      </c>
      <c r="B34" t="s">
        <v>45</v>
      </c>
      <c r="C34" t="s">
        <v>70</v>
      </c>
      <c r="D34" t="s">
        <v>69</v>
      </c>
      <c r="E34" t="s">
        <v>71</v>
      </c>
      <c r="F34" t="s">
        <v>90</v>
      </c>
      <c r="G34" t="s">
        <v>91</v>
      </c>
      <c r="H34" t="s">
        <v>49</v>
      </c>
      <c r="I34" s="41">
        <v>9.02</v>
      </c>
      <c r="J34" s="40">
        <f>I34*(1-IFERROR(VLOOKUP(H34,Rabat!$D$10:$E$41,2,FALSE),0))</f>
        <v>9.02</v>
      </c>
      <c r="K34">
        <v>0.02</v>
      </c>
      <c r="L34" t="s">
        <v>1773</v>
      </c>
      <c r="M34" t="s">
        <v>1811</v>
      </c>
      <c r="N34" t="s">
        <v>1775</v>
      </c>
      <c r="O34" t="s">
        <v>1776</v>
      </c>
      <c r="P34">
        <v>100</v>
      </c>
      <c r="Q34">
        <v>2500</v>
      </c>
      <c r="R34" t="s">
        <v>1777</v>
      </c>
      <c r="S34" s="42" t="str">
        <f>HYPERLINK("https://sklep.kobi.pl/produkt/led-gs-7w-e27-6000k-270-zb")</f>
        <v>https://sklep.kobi.pl/produkt/led-gs-7w-e27-6000k-270-zb</v>
      </c>
      <c r="T34" s="42" t="str">
        <f>HYPERLINK("https://eprel.ec.europa.eu/qr/659846         ")</f>
        <v xml:space="preserve">https://eprel.ec.europa.eu/qr/659846         </v>
      </c>
      <c r="U34">
        <v>2.9000000000000001E-2</v>
      </c>
      <c r="V34">
        <v>4.3999999999999997E-2</v>
      </c>
      <c r="W34">
        <v>60</v>
      </c>
      <c r="X34">
        <v>110</v>
      </c>
      <c r="Y34">
        <v>60</v>
      </c>
      <c r="Z34" t="s">
        <v>1778</v>
      </c>
      <c r="AA34"/>
    </row>
    <row r="35" spans="1:27" ht="15" x14ac:dyDescent="0.25">
      <c r="A35" t="s">
        <v>44</v>
      </c>
      <c r="B35" t="s">
        <v>45</v>
      </c>
      <c r="C35" t="s">
        <v>70</v>
      </c>
      <c r="D35" t="s">
        <v>667</v>
      </c>
      <c r="E35" t="s">
        <v>71</v>
      </c>
      <c r="F35" t="s">
        <v>694</v>
      </c>
      <c r="G35" t="s">
        <v>695</v>
      </c>
      <c r="H35" t="s">
        <v>49</v>
      </c>
      <c r="I35" s="41">
        <v>5</v>
      </c>
      <c r="J35" s="40">
        <f>I35*(1-IFERROR(VLOOKUP(H35,Rabat!$D$10:$E$41,2,FALSE),0))</f>
        <v>5</v>
      </c>
      <c r="K35">
        <v>0.02</v>
      </c>
      <c r="L35" t="s">
        <v>1773</v>
      </c>
      <c r="M35" t="s">
        <v>1812</v>
      </c>
      <c r="N35" t="s">
        <v>1775</v>
      </c>
      <c r="O35" t="s">
        <v>1776</v>
      </c>
      <c r="P35">
        <v>100</v>
      </c>
      <c r="Q35">
        <v>2500</v>
      </c>
      <c r="R35" t="s">
        <v>1777</v>
      </c>
      <c r="S35" s="42" t="str">
        <f>HYPERLINK("https://sklep.kobi.pl/produkt/led-gs-7w-e27-3000k-led2b")</f>
        <v>https://sklep.kobi.pl/produkt/led-gs-7w-e27-3000k-led2b</v>
      </c>
      <c r="T35" s="42" t="str">
        <f>HYPERLINK("https://eprel.ec.europa.eu/qr/660288         ")</f>
        <v xml:space="preserve">https://eprel.ec.europa.eu/qr/660288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  <c r="Z35" t="s">
        <v>1778</v>
      </c>
      <c r="AA35"/>
    </row>
    <row r="36" spans="1:27" ht="15" x14ac:dyDescent="0.25">
      <c r="A36" t="s">
        <v>44</v>
      </c>
      <c r="B36" t="s">
        <v>45</v>
      </c>
      <c r="C36" t="s">
        <v>70</v>
      </c>
      <c r="D36" t="s">
        <v>667</v>
      </c>
      <c r="E36" t="s">
        <v>71</v>
      </c>
      <c r="F36" t="s">
        <v>696</v>
      </c>
      <c r="G36" t="s">
        <v>697</v>
      </c>
      <c r="H36" t="s">
        <v>49</v>
      </c>
      <c r="I36" s="41">
        <v>5</v>
      </c>
      <c r="J36" s="40">
        <f>I36*(1-IFERROR(VLOOKUP(H36,Rabat!$D$10:$E$41,2,FALSE),0))</f>
        <v>5</v>
      </c>
      <c r="K36">
        <v>0.02</v>
      </c>
      <c r="L36" t="s">
        <v>1773</v>
      </c>
      <c r="M36" t="s">
        <v>1813</v>
      </c>
      <c r="N36" t="s">
        <v>1775</v>
      </c>
      <c r="O36" t="s">
        <v>1776</v>
      </c>
      <c r="P36">
        <v>100</v>
      </c>
      <c r="Q36">
        <v>2500</v>
      </c>
      <c r="R36" t="s">
        <v>1777</v>
      </c>
      <c r="S36" s="42" t="str">
        <f>HYPERLINK("https://sklep.kobi.pl/produkt/led-gs-7w-e27-4000k-led2b-wykasuj")</f>
        <v>https://sklep.kobi.pl/produkt/led-gs-7w-e27-4000k-led2b-wykasuj</v>
      </c>
      <c r="T36" s="42" t="str">
        <f>HYPERLINK("https://eprel.ec.europa.eu/qr/660289         ")</f>
        <v xml:space="preserve">https://eprel.ec.europa.eu/qr/660289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  <c r="Z36" t="s">
        <v>1778</v>
      </c>
      <c r="AA36"/>
    </row>
    <row r="37" spans="1:27" ht="15" x14ac:dyDescent="0.25">
      <c r="A37" t="s">
        <v>44</v>
      </c>
      <c r="B37" t="s">
        <v>45</v>
      </c>
      <c r="C37" t="s">
        <v>70</v>
      </c>
      <c r="D37" t="s">
        <v>667</v>
      </c>
      <c r="E37" t="s">
        <v>71</v>
      </c>
      <c r="F37" t="s">
        <v>898</v>
      </c>
      <c r="G37" t="s">
        <v>899</v>
      </c>
      <c r="H37" t="s">
        <v>49</v>
      </c>
      <c r="I37" s="41">
        <v>5</v>
      </c>
      <c r="J37" s="40">
        <f>I37*(1-IFERROR(VLOOKUP(H37,Rabat!$D$10:$E$41,2,FALSE),0))</f>
        <v>5</v>
      </c>
      <c r="K37">
        <v>0.02</v>
      </c>
      <c r="L37" t="s">
        <v>1773</v>
      </c>
      <c r="M37" t="s">
        <v>1814</v>
      </c>
      <c r="N37" t="s">
        <v>1775</v>
      </c>
      <c r="O37" t="s">
        <v>1776</v>
      </c>
      <c r="P37">
        <v>100</v>
      </c>
      <c r="Q37">
        <v>2500</v>
      </c>
      <c r="R37" t="s">
        <v>1777</v>
      </c>
      <c r="S37" s="42" t="str">
        <f>HYPERLINK("https://sklep.kobi.pl/produkt/led-gs-7w-e27-6000k-led2b")</f>
        <v>https://sklep.kobi.pl/produkt/led-gs-7w-e27-6000k-led2b</v>
      </c>
      <c r="T37" s="42" t="str">
        <f>HYPERLINK("https://eprel.ec.europa.eu/qr/660290         ")</f>
        <v xml:space="preserve">https://eprel.ec.europa.eu/qr/660290         </v>
      </c>
      <c r="U37">
        <v>2.5999999999999999E-2</v>
      </c>
      <c r="V37">
        <v>3.2000000000000001E-2</v>
      </c>
      <c r="W37">
        <v>55</v>
      </c>
      <c r="X37">
        <v>100</v>
      </c>
      <c r="Y37">
        <v>55</v>
      </c>
      <c r="Z37" t="s">
        <v>1778</v>
      </c>
      <c r="AA37"/>
    </row>
    <row r="38" spans="1:27" ht="15" x14ac:dyDescent="0.25">
      <c r="A38" t="s">
        <v>44</v>
      </c>
      <c r="B38" t="s">
        <v>45</v>
      </c>
      <c r="C38" t="s">
        <v>70</v>
      </c>
      <c r="D38" t="s">
        <v>667</v>
      </c>
      <c r="E38" t="s">
        <v>71</v>
      </c>
      <c r="F38" t="s">
        <v>1373</v>
      </c>
      <c r="G38" t="s">
        <v>1374</v>
      </c>
      <c r="H38" t="s">
        <v>49</v>
      </c>
      <c r="I38" s="41">
        <v>5.2</v>
      </c>
      <c r="J38" s="40">
        <f>I38*(1-IFERROR(VLOOKUP(H38,Rabat!$D$10:$E$41,2,FALSE),0))</f>
        <v>5.2</v>
      </c>
      <c r="K38">
        <v>0.03</v>
      </c>
      <c r="L38" t="s">
        <v>1773</v>
      </c>
      <c r="M38" t="s">
        <v>1815</v>
      </c>
      <c r="N38" t="s">
        <v>1775</v>
      </c>
      <c r="O38" t="s">
        <v>1776</v>
      </c>
      <c r="P38">
        <v>100</v>
      </c>
      <c r="Q38">
        <v>0</v>
      </c>
      <c r="R38" t="s">
        <v>1777</v>
      </c>
      <c r="S38" s="42" t="str">
        <f>HYPERLINK("https://sklep.kobi.pl/produkt/led-gs-85w-e27-3000k-led2b")</f>
        <v>https://sklep.kobi.pl/produkt/led-gs-85w-e27-3000k-led2b</v>
      </c>
      <c r="T38" s="42" t="str">
        <f>HYPERLINK("https://eprel.ec.europa.eu/qr/1543370        ")</f>
        <v xml:space="preserve">https://eprel.ec.europa.eu/qr/1543370        </v>
      </c>
      <c r="U38">
        <v>0.03</v>
      </c>
      <c r="V38">
        <v>0</v>
      </c>
      <c r="W38">
        <v>0</v>
      </c>
      <c r="X38">
        <v>0</v>
      </c>
      <c r="Y38">
        <v>0</v>
      </c>
      <c r="Z38" t="s">
        <v>1778</v>
      </c>
      <c r="AA38"/>
    </row>
    <row r="39" spans="1:27" ht="15" x14ac:dyDescent="0.25">
      <c r="A39" t="s">
        <v>44</v>
      </c>
      <c r="B39" t="s">
        <v>45</v>
      </c>
      <c r="C39" t="s">
        <v>70</v>
      </c>
      <c r="D39" t="s">
        <v>667</v>
      </c>
      <c r="E39" t="s">
        <v>71</v>
      </c>
      <c r="F39" t="s">
        <v>1375</v>
      </c>
      <c r="G39" t="s">
        <v>1376</v>
      </c>
      <c r="H39" t="s">
        <v>49</v>
      </c>
      <c r="I39" s="41">
        <v>5.2</v>
      </c>
      <c r="J39" s="40">
        <f>I39*(1-IFERROR(VLOOKUP(H39,Rabat!$D$10:$E$41,2,FALSE),0))</f>
        <v>5.2</v>
      </c>
      <c r="K39">
        <v>0.03</v>
      </c>
      <c r="L39" t="s">
        <v>1773</v>
      </c>
      <c r="M39" t="s">
        <v>1816</v>
      </c>
      <c r="N39" t="s">
        <v>1775</v>
      </c>
      <c r="O39" t="s">
        <v>1776</v>
      </c>
      <c r="P39">
        <v>100</v>
      </c>
      <c r="Q39">
        <v>0</v>
      </c>
      <c r="R39" t="s">
        <v>1777</v>
      </c>
      <c r="S39" s="42" t="str">
        <f>HYPERLINK("https://sklep.kobi.pl/produkt/led-gs-85w-e27-4000k-led2b")</f>
        <v>https://sklep.kobi.pl/produkt/led-gs-85w-e27-4000k-led2b</v>
      </c>
      <c r="T39" s="42" t="str">
        <f>HYPERLINK("https://eprel.ec.europa.eu/qr/1543382        ")</f>
        <v xml:space="preserve">https://eprel.ec.europa.eu/qr/1543382        </v>
      </c>
      <c r="U39">
        <v>0.03</v>
      </c>
      <c r="V39">
        <v>0</v>
      </c>
      <c r="W39">
        <v>0</v>
      </c>
      <c r="X39">
        <v>0</v>
      </c>
      <c r="Y39">
        <v>0</v>
      </c>
      <c r="Z39" t="s">
        <v>1778</v>
      </c>
      <c r="AA39"/>
    </row>
    <row r="40" spans="1:27" ht="15" x14ac:dyDescent="0.25">
      <c r="A40" t="s">
        <v>44</v>
      </c>
      <c r="B40" t="s">
        <v>45</v>
      </c>
      <c r="C40" t="s">
        <v>70</v>
      </c>
      <c r="D40" t="s">
        <v>667</v>
      </c>
      <c r="E40" t="s">
        <v>71</v>
      </c>
      <c r="F40" t="s">
        <v>1361</v>
      </c>
      <c r="G40" t="s">
        <v>1362</v>
      </c>
      <c r="H40" t="s">
        <v>49</v>
      </c>
      <c r="I40" s="41">
        <v>5.2</v>
      </c>
      <c r="J40" s="40">
        <f>I40*(1-IFERROR(VLOOKUP(H40,Rabat!$D$10:$E$41,2,FALSE),0))</f>
        <v>5.2</v>
      </c>
      <c r="K40">
        <v>0.03</v>
      </c>
      <c r="L40" t="s">
        <v>1773</v>
      </c>
      <c r="M40" t="s">
        <v>1817</v>
      </c>
      <c r="N40" t="s">
        <v>1775</v>
      </c>
      <c r="O40" t="s">
        <v>1776</v>
      </c>
      <c r="P40">
        <v>100</v>
      </c>
      <c r="Q40">
        <v>0</v>
      </c>
      <c r="R40" t="s">
        <v>1777</v>
      </c>
      <c r="S40" s="42" t="str">
        <f>HYPERLINK("https://sklep.kobi.pl/produkt/led-gs-85w-e27-6500k-led2b")</f>
        <v>https://sklep.kobi.pl/produkt/led-gs-85w-e27-6500k-led2b</v>
      </c>
      <c r="T40" s="42" t="str">
        <f>HYPERLINK("https://eprel.ec.europa.eu/qr/1621200        ")</f>
        <v xml:space="preserve">https://eprel.ec.europa.eu/qr/1621200        </v>
      </c>
      <c r="U40">
        <v>0.03</v>
      </c>
      <c r="V40">
        <v>0</v>
      </c>
      <c r="W40">
        <v>0</v>
      </c>
      <c r="X40">
        <v>0</v>
      </c>
      <c r="Y40">
        <v>0</v>
      </c>
      <c r="Z40" t="s">
        <v>1778</v>
      </c>
      <c r="AA40"/>
    </row>
    <row r="41" spans="1:27" ht="15" x14ac:dyDescent="0.25">
      <c r="A41" t="s">
        <v>44</v>
      </c>
      <c r="B41" t="s">
        <v>45</v>
      </c>
      <c r="C41" t="s">
        <v>70</v>
      </c>
      <c r="D41" t="s">
        <v>424</v>
      </c>
      <c r="E41" t="s">
        <v>149</v>
      </c>
      <c r="F41" t="s">
        <v>1652</v>
      </c>
      <c r="G41" t="s">
        <v>1653</v>
      </c>
      <c r="H41" t="s">
        <v>49</v>
      </c>
      <c r="I41" s="41">
        <v>12.13</v>
      </c>
      <c r="J41" s="40">
        <f>I41*(1-IFERROR(VLOOKUP(H41,Rabat!$D$10:$E$41,2,FALSE),0))</f>
        <v>12.13</v>
      </c>
      <c r="K41">
        <v>0.02</v>
      </c>
      <c r="L41" t="s">
        <v>1818</v>
      </c>
      <c r="M41" t="s">
        <v>1819</v>
      </c>
      <c r="N41" t="s">
        <v>1775</v>
      </c>
      <c r="O41" t="s">
        <v>1776</v>
      </c>
      <c r="P41">
        <v>100</v>
      </c>
      <c r="Q41">
        <v>2500</v>
      </c>
      <c r="R41" t="s">
        <v>1820</v>
      </c>
      <c r="S41"/>
      <c r="T41" s="42" t="str">
        <f>HYPERLINK("https://eprel.ec.europa.eu/qr/909717         ")</f>
        <v xml:space="preserve">https://eprel.ec.europa.eu/qr/909717         </v>
      </c>
      <c r="U41">
        <v>2.8000000000000001E-2</v>
      </c>
      <c r="V41">
        <v>4.7E-2</v>
      </c>
      <c r="W41">
        <v>110</v>
      </c>
      <c r="X41">
        <v>60</v>
      </c>
      <c r="Y41">
        <v>60</v>
      </c>
      <c r="Z41" t="s">
        <v>1778</v>
      </c>
      <c r="AA41"/>
    </row>
    <row r="42" spans="1:27" ht="15" x14ac:dyDescent="0.25">
      <c r="A42" t="s">
        <v>44</v>
      </c>
      <c r="B42" t="s">
        <v>45</v>
      </c>
      <c r="C42" t="s">
        <v>928</v>
      </c>
      <c r="D42" t="s">
        <v>424</v>
      </c>
      <c r="E42" t="s">
        <v>71</v>
      </c>
      <c r="F42" t="s">
        <v>929</v>
      </c>
      <c r="G42" t="s">
        <v>930</v>
      </c>
      <c r="H42" t="s">
        <v>49</v>
      </c>
      <c r="I42" s="41">
        <v>32.99</v>
      </c>
      <c r="J42" s="40">
        <f>I42*(1-IFERROR(VLOOKUP(H42,Rabat!$D$10:$E$41,2,FALSE),0))</f>
        <v>32.99</v>
      </c>
      <c r="K42">
        <v>0.03</v>
      </c>
      <c r="L42" t="s">
        <v>1773</v>
      </c>
      <c r="M42" t="s">
        <v>1821</v>
      </c>
      <c r="N42" t="s">
        <v>1775</v>
      </c>
      <c r="O42" t="s">
        <v>1776</v>
      </c>
      <c r="P42">
        <v>100</v>
      </c>
      <c r="Q42">
        <v>2500</v>
      </c>
      <c r="R42" t="s">
        <v>1820</v>
      </c>
      <c r="S42" s="42" t="str">
        <f>HYPERLINK("https://sklep.kobi.pl/produkt/led-gs-9w-e27-3000k-lx-premium")</f>
        <v>https://sklep.kobi.pl/produkt/led-gs-9w-e27-3000k-lx-premium</v>
      </c>
      <c r="T42" s="42" t="str">
        <f>HYPERLINK("https://eprel.ec.europa.eu/qr/659853         ")</f>
        <v xml:space="preserve">https://eprel.ec.europa.eu/qr/659853         </v>
      </c>
      <c r="U42">
        <v>3.9E-2</v>
      </c>
      <c r="V42">
        <v>0.06</v>
      </c>
      <c r="W42">
        <v>110</v>
      </c>
      <c r="X42">
        <v>60</v>
      </c>
      <c r="Y42">
        <v>60</v>
      </c>
      <c r="Z42" t="s">
        <v>1778</v>
      </c>
      <c r="AA42"/>
    </row>
    <row r="43" spans="1:27" ht="15" x14ac:dyDescent="0.25">
      <c r="A43" t="s">
        <v>44</v>
      </c>
      <c r="B43" t="s">
        <v>45</v>
      </c>
      <c r="C43" t="s">
        <v>928</v>
      </c>
      <c r="D43" t="s">
        <v>424</v>
      </c>
      <c r="E43" t="s">
        <v>71</v>
      </c>
      <c r="F43" t="s">
        <v>989</v>
      </c>
      <c r="G43" t="s">
        <v>990</v>
      </c>
      <c r="H43" t="s">
        <v>49</v>
      </c>
      <c r="I43" s="41">
        <v>32.99</v>
      </c>
      <c r="J43" s="40">
        <f>I43*(1-IFERROR(VLOOKUP(H43,Rabat!$D$10:$E$41,2,FALSE),0))</f>
        <v>32.99</v>
      </c>
      <c r="K43">
        <v>0.03</v>
      </c>
      <c r="L43" t="s">
        <v>1773</v>
      </c>
      <c r="M43" t="s">
        <v>1822</v>
      </c>
      <c r="N43" t="s">
        <v>1775</v>
      </c>
      <c r="O43" t="s">
        <v>1776</v>
      </c>
      <c r="P43">
        <v>100</v>
      </c>
      <c r="Q43">
        <v>2500</v>
      </c>
      <c r="R43" t="s">
        <v>1820</v>
      </c>
      <c r="S43" s="42" t="str">
        <f>HYPERLINK("https://sklep.kobi.pl/produkt/led-gs-9w-e27-4000k-lx-premium")</f>
        <v>https://sklep.kobi.pl/produkt/led-gs-9w-e27-4000k-lx-premium</v>
      </c>
      <c r="T43" s="42" t="str">
        <f>HYPERLINK("https://eprel.ec.europa.eu/qr/763782         ")</f>
        <v xml:space="preserve">https://eprel.ec.europa.eu/qr/763782         </v>
      </c>
      <c r="U43">
        <v>3.9E-2</v>
      </c>
      <c r="V43">
        <v>0.06</v>
      </c>
      <c r="W43">
        <v>110</v>
      </c>
      <c r="X43">
        <v>60</v>
      </c>
      <c r="Y43">
        <v>60</v>
      </c>
      <c r="Z43" t="s">
        <v>1778</v>
      </c>
      <c r="AA43"/>
    </row>
    <row r="44" spans="1:27" ht="15" x14ac:dyDescent="0.25">
      <c r="A44" t="s">
        <v>44</v>
      </c>
      <c r="B44" t="s">
        <v>45</v>
      </c>
      <c r="C44" t="s">
        <v>928</v>
      </c>
      <c r="D44" t="s">
        <v>424</v>
      </c>
      <c r="E44" t="s">
        <v>71</v>
      </c>
      <c r="F44" t="s">
        <v>991</v>
      </c>
      <c r="G44" t="s">
        <v>992</v>
      </c>
      <c r="H44" t="s">
        <v>49</v>
      </c>
      <c r="I44" s="41">
        <v>32.99</v>
      </c>
      <c r="J44" s="40">
        <f>I44*(1-IFERROR(VLOOKUP(H44,Rabat!$D$10:$E$41,2,FALSE),0))</f>
        <v>32.99</v>
      </c>
      <c r="K44">
        <v>0.03</v>
      </c>
      <c r="L44" t="s">
        <v>1773</v>
      </c>
      <c r="M44" t="s">
        <v>1823</v>
      </c>
      <c r="N44" t="s">
        <v>1775</v>
      </c>
      <c r="O44" t="s">
        <v>1776</v>
      </c>
      <c r="P44">
        <v>100</v>
      </c>
      <c r="Q44">
        <v>2500</v>
      </c>
      <c r="R44" t="s">
        <v>1820</v>
      </c>
      <c r="S44" s="42" t="str">
        <f>HYPERLINK("https://sklep.kobi.pl/produkt/led-gs-9w-e27-6500k-lx-premium")</f>
        <v>https://sklep.kobi.pl/produkt/led-gs-9w-e27-6500k-lx-premium</v>
      </c>
      <c r="T44" s="42" t="str">
        <f>HYPERLINK("https://eprel.ec.europa.eu/qr/763786         ")</f>
        <v xml:space="preserve">https://eprel.ec.europa.eu/qr/763786         </v>
      </c>
      <c r="U44">
        <v>3.9E-2</v>
      </c>
      <c r="V44">
        <v>0.06</v>
      </c>
      <c r="W44">
        <v>110</v>
      </c>
      <c r="X44">
        <v>60</v>
      </c>
      <c r="Y44">
        <v>60</v>
      </c>
      <c r="Z44" t="s">
        <v>1778</v>
      </c>
      <c r="AA44"/>
    </row>
    <row r="45" spans="1:27" ht="15" x14ac:dyDescent="0.25">
      <c r="A45" t="s">
        <v>44</v>
      </c>
      <c r="B45" t="s">
        <v>45</v>
      </c>
      <c r="C45" t="s">
        <v>820</v>
      </c>
      <c r="D45" t="s">
        <v>821</v>
      </c>
      <c r="E45" t="s">
        <v>149</v>
      </c>
      <c r="F45" t="s">
        <v>1181</v>
      </c>
      <c r="G45" t="s">
        <v>1182</v>
      </c>
      <c r="H45" t="s">
        <v>49</v>
      </c>
      <c r="I45" s="41">
        <v>65</v>
      </c>
      <c r="J45" s="40">
        <f>I45*(1-IFERROR(VLOOKUP(H45,Rabat!$D$10:$E$41,2,FALSE),0))</f>
        <v>65</v>
      </c>
      <c r="K45">
        <v>0.05</v>
      </c>
      <c r="L45" t="s">
        <v>1773</v>
      </c>
      <c r="M45" t="s">
        <v>1824</v>
      </c>
      <c r="N45" t="s">
        <v>1775</v>
      </c>
      <c r="O45" t="s">
        <v>1776</v>
      </c>
      <c r="P45">
        <v>100</v>
      </c>
      <c r="Q45">
        <v>0</v>
      </c>
      <c r="R45" t="s">
        <v>1777</v>
      </c>
      <c r="S45" s="42" t="str">
        <f>HYPERLINK("https://sklep.kobi.pl/produkt/smart-led-14w-e27-rgb-cct-wifi")</f>
        <v>https://sklep.kobi.pl/produkt/smart-led-14w-e27-rgb-cct-wifi</v>
      </c>
      <c r="T45" s="42" t="str">
        <f>HYPERLINK("https://eprel.ec.europa.eu/qr/766232         ")</f>
        <v xml:space="preserve">https://eprel.ec.europa.eu/qr/766232         </v>
      </c>
      <c r="U45">
        <v>0.06</v>
      </c>
      <c r="V45">
        <v>0.6</v>
      </c>
      <c r="W45">
        <v>65</v>
      </c>
      <c r="X45">
        <v>65</v>
      </c>
      <c r="Y45">
        <v>135</v>
      </c>
      <c r="Z45" t="s">
        <v>1778</v>
      </c>
      <c r="AA45"/>
    </row>
    <row r="46" spans="1:27" ht="15" x14ac:dyDescent="0.25">
      <c r="A46" t="s">
        <v>44</v>
      </c>
      <c r="B46" t="s">
        <v>45</v>
      </c>
      <c r="C46" t="s">
        <v>70</v>
      </c>
      <c r="D46" t="s">
        <v>69</v>
      </c>
      <c r="E46" t="s">
        <v>71</v>
      </c>
      <c r="F46" t="s">
        <v>80</v>
      </c>
      <c r="G46" t="s">
        <v>81</v>
      </c>
      <c r="H46" t="s">
        <v>49</v>
      </c>
      <c r="I46" s="41">
        <v>9.7799999999999994</v>
      </c>
      <c r="J46" s="40">
        <f>I46*(1-IFERROR(VLOOKUP(H46,Rabat!$D$10:$E$41,2,FALSE),0))</f>
        <v>9.7799999999999994</v>
      </c>
      <c r="K46">
        <v>0.02</v>
      </c>
      <c r="L46" t="s">
        <v>1773</v>
      </c>
      <c r="M46" t="s">
        <v>1825</v>
      </c>
      <c r="N46" t="s">
        <v>1775</v>
      </c>
      <c r="O46" t="s">
        <v>1776</v>
      </c>
      <c r="P46">
        <v>100</v>
      </c>
      <c r="Q46">
        <v>2500</v>
      </c>
      <c r="R46" t="s">
        <v>1777</v>
      </c>
      <c r="S46" s="42" t="str">
        <f>HYPERLINK("https://sklep.kobi.pl/produkt/led-gs-10w-e27-3000k-270-cb")</f>
        <v>https://sklep.kobi.pl/produkt/led-gs-10w-e27-3000k-270-cb</v>
      </c>
      <c r="T46" s="42" t="str">
        <f>HYPERLINK("https://eprel.ec.europa.eu/qr/659813         ")</f>
        <v xml:space="preserve">https://eprel.ec.europa.eu/qr/659813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  <c r="Z46" t="s">
        <v>1778</v>
      </c>
      <c r="AA46"/>
    </row>
    <row r="47" spans="1:27" ht="15" x14ac:dyDescent="0.25">
      <c r="A47" t="s">
        <v>44</v>
      </c>
      <c r="B47" t="s">
        <v>45</v>
      </c>
      <c r="C47" t="s">
        <v>70</v>
      </c>
      <c r="D47" t="s">
        <v>69</v>
      </c>
      <c r="E47" t="s">
        <v>71</v>
      </c>
      <c r="F47" t="s">
        <v>82</v>
      </c>
      <c r="G47" t="s">
        <v>83</v>
      </c>
      <c r="H47" t="s">
        <v>49</v>
      </c>
      <c r="I47" s="41">
        <v>9.7799999999999994</v>
      </c>
      <c r="J47" s="40">
        <f>I47*(1-IFERROR(VLOOKUP(H47,Rabat!$D$10:$E$41,2,FALSE),0))</f>
        <v>9.7799999999999994</v>
      </c>
      <c r="K47">
        <v>0.02</v>
      </c>
      <c r="L47" t="s">
        <v>1773</v>
      </c>
      <c r="M47" t="s">
        <v>1826</v>
      </c>
      <c r="N47" t="s">
        <v>1775</v>
      </c>
      <c r="O47" t="s">
        <v>1776</v>
      </c>
      <c r="P47">
        <v>100</v>
      </c>
      <c r="Q47">
        <v>2500</v>
      </c>
      <c r="R47" t="s">
        <v>1777</v>
      </c>
      <c r="S47" s="42" t="str">
        <f>HYPERLINK("https://sklep.kobi.pl/produkt/led-gs-10w-e27-4000k-270-nb")</f>
        <v>https://sklep.kobi.pl/produkt/led-gs-10w-e27-4000k-270-nb</v>
      </c>
      <c r="T47" s="42" t="str">
        <f>HYPERLINK("https://eprel.ec.europa.eu/qr/659817         ")</f>
        <v xml:space="preserve">https://eprel.ec.europa.eu/qr/659817         </v>
      </c>
      <c r="U47">
        <v>2.9000000000000001E-2</v>
      </c>
      <c r="V47">
        <v>4.4999999999999998E-2</v>
      </c>
      <c r="W47">
        <v>65</v>
      </c>
      <c r="X47">
        <v>115</v>
      </c>
      <c r="Y47">
        <v>65</v>
      </c>
      <c r="Z47" t="s">
        <v>1778</v>
      </c>
      <c r="AA47"/>
    </row>
    <row r="48" spans="1:27" ht="15" x14ac:dyDescent="0.25">
      <c r="A48" t="s">
        <v>44</v>
      </c>
      <c r="B48" t="s">
        <v>45</v>
      </c>
      <c r="C48" t="s">
        <v>70</v>
      </c>
      <c r="D48" t="s">
        <v>69</v>
      </c>
      <c r="E48" t="s">
        <v>71</v>
      </c>
      <c r="F48" t="s">
        <v>84</v>
      </c>
      <c r="G48" t="s">
        <v>85</v>
      </c>
      <c r="H48" t="s">
        <v>49</v>
      </c>
      <c r="I48" s="41">
        <v>9.7799999999999994</v>
      </c>
      <c r="J48" s="40">
        <f>I48*(1-IFERROR(VLOOKUP(H48,Rabat!$D$10:$E$41,2,FALSE),0))</f>
        <v>9.7799999999999994</v>
      </c>
      <c r="K48">
        <v>0.02</v>
      </c>
      <c r="L48" t="s">
        <v>1773</v>
      </c>
      <c r="M48" t="s">
        <v>1827</v>
      </c>
      <c r="N48" t="s">
        <v>1775</v>
      </c>
      <c r="O48" t="s">
        <v>1776</v>
      </c>
      <c r="P48">
        <v>100</v>
      </c>
      <c r="Q48">
        <v>2500</v>
      </c>
      <c r="R48" t="s">
        <v>1777</v>
      </c>
      <c r="S48" s="42" t="str">
        <f>HYPERLINK("https://sklep.kobi.pl/produkt/led-gs-10w-e27-6000k-270-zb")</f>
        <v>https://sklep.kobi.pl/produkt/led-gs-10w-e27-6000k-270-zb</v>
      </c>
      <c r="T48" s="42" t="str">
        <f>HYPERLINK("https://eprel.ec.europa.eu/qr/659818         ")</f>
        <v xml:space="preserve">https://eprel.ec.europa.eu/qr/659818         </v>
      </c>
      <c r="U48">
        <v>2.9000000000000001E-2</v>
      </c>
      <c r="V48">
        <v>4.4999999999999998E-2</v>
      </c>
      <c r="W48">
        <v>65</v>
      </c>
      <c r="X48">
        <v>115</v>
      </c>
      <c r="Y48">
        <v>65</v>
      </c>
      <c r="Z48" t="s">
        <v>1778</v>
      </c>
      <c r="AA48"/>
    </row>
    <row r="49" spans="1:27" ht="15" x14ac:dyDescent="0.25">
      <c r="A49" t="s">
        <v>44</v>
      </c>
      <c r="B49" t="s">
        <v>45</v>
      </c>
      <c r="C49" t="s">
        <v>70</v>
      </c>
      <c r="D49" t="s">
        <v>667</v>
      </c>
      <c r="E49" t="s">
        <v>71</v>
      </c>
      <c r="F49" t="s">
        <v>1269</v>
      </c>
      <c r="G49" t="s">
        <v>1270</v>
      </c>
      <c r="H49" t="s">
        <v>49</v>
      </c>
      <c r="I49" s="41">
        <v>8</v>
      </c>
      <c r="J49" s="40">
        <f>I49*(1-IFERROR(VLOOKUP(H49,Rabat!$D$10:$E$41,2,FALSE),0))</f>
        <v>8</v>
      </c>
      <c r="K49">
        <v>0.03</v>
      </c>
      <c r="L49" t="s">
        <v>1773</v>
      </c>
      <c r="M49" t="s">
        <v>1828</v>
      </c>
      <c r="N49" t="s">
        <v>1775</v>
      </c>
      <c r="O49" t="s">
        <v>1776</v>
      </c>
      <c r="P49">
        <v>100</v>
      </c>
      <c r="Q49">
        <v>2500</v>
      </c>
      <c r="R49" t="s">
        <v>1777</v>
      </c>
      <c r="S49" s="42" t="str">
        <f>HYPERLINK("https://sklep.kobi.pl/produkt/led-gs-11w-e27-3000k-led2b")</f>
        <v>https://sklep.kobi.pl/produkt/led-gs-11w-e27-3000k-led2b</v>
      </c>
      <c r="T49" s="42" t="str">
        <f>HYPERLINK("https://eprel.ec.europa.eu/qr/758824         ")</f>
        <v xml:space="preserve">https://eprel.ec.europa.eu/qr/758824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  <c r="Z49" t="s">
        <v>1778</v>
      </c>
      <c r="AA49"/>
    </row>
    <row r="50" spans="1:27" ht="15" x14ac:dyDescent="0.25">
      <c r="A50" t="s">
        <v>44</v>
      </c>
      <c r="B50" t="s">
        <v>45</v>
      </c>
      <c r="C50" t="s">
        <v>70</v>
      </c>
      <c r="D50" t="s">
        <v>667</v>
      </c>
      <c r="E50" t="s">
        <v>71</v>
      </c>
      <c r="F50" t="s">
        <v>1183</v>
      </c>
      <c r="G50" t="s">
        <v>1184</v>
      </c>
      <c r="H50" t="s">
        <v>49</v>
      </c>
      <c r="I50" s="41">
        <v>8</v>
      </c>
      <c r="J50" s="40">
        <f>I50*(1-IFERROR(VLOOKUP(H50,Rabat!$D$10:$E$41,2,FALSE),0))</f>
        <v>8</v>
      </c>
      <c r="K50">
        <v>0.03</v>
      </c>
      <c r="L50" t="s">
        <v>1773</v>
      </c>
      <c r="M50" t="s">
        <v>1829</v>
      </c>
      <c r="N50" t="s">
        <v>1775</v>
      </c>
      <c r="O50" t="s">
        <v>1776</v>
      </c>
      <c r="P50">
        <v>100</v>
      </c>
      <c r="Q50">
        <v>2500</v>
      </c>
      <c r="R50" t="s">
        <v>1777</v>
      </c>
      <c r="S50" s="42" t="str">
        <f>HYPERLINK("https://sklep.kobi.pl/produkt/led-gs-11w-e27-4000k-led2b")</f>
        <v>https://sklep.kobi.pl/produkt/led-gs-11w-e27-4000k-led2b</v>
      </c>
      <c r="T50" s="42" t="str">
        <f>HYPERLINK("https://eprel.ec.europa.eu/qr/758826         ")</f>
        <v xml:space="preserve">https://eprel.ec.europa.eu/qr/758826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  <c r="Z50" t="s">
        <v>1778</v>
      </c>
      <c r="AA50"/>
    </row>
    <row r="51" spans="1:27" ht="15" x14ac:dyDescent="0.25">
      <c r="A51" t="s">
        <v>44</v>
      </c>
      <c r="B51" t="s">
        <v>45</v>
      </c>
      <c r="C51" t="s">
        <v>70</v>
      </c>
      <c r="D51" t="s">
        <v>667</v>
      </c>
      <c r="E51" t="s">
        <v>71</v>
      </c>
      <c r="F51" t="s">
        <v>1125</v>
      </c>
      <c r="G51" t="s">
        <v>1126</v>
      </c>
      <c r="H51" t="s">
        <v>49</v>
      </c>
      <c r="I51" s="41">
        <v>8</v>
      </c>
      <c r="J51" s="40">
        <f>I51*(1-IFERROR(VLOOKUP(H51,Rabat!$D$10:$E$41,2,FALSE),0))</f>
        <v>8</v>
      </c>
      <c r="K51">
        <v>0.03</v>
      </c>
      <c r="L51" t="s">
        <v>1773</v>
      </c>
      <c r="M51" t="s">
        <v>1830</v>
      </c>
      <c r="N51" t="s">
        <v>1775</v>
      </c>
      <c r="O51" t="s">
        <v>1776</v>
      </c>
      <c r="P51">
        <v>100</v>
      </c>
      <c r="Q51">
        <v>2500</v>
      </c>
      <c r="R51" t="s">
        <v>1777</v>
      </c>
      <c r="S51" s="42" t="str">
        <f>HYPERLINK("https://sklep.kobi.pl/produkt/led-gs-11w-e27-6500k-led2b")</f>
        <v>https://sklep.kobi.pl/produkt/led-gs-11w-e27-6500k-led2b</v>
      </c>
      <c r="T51" s="42" t="str">
        <f>HYPERLINK("https://eprel.ec.europa.eu/qr/758827         ")</f>
        <v xml:space="preserve">https://eprel.ec.europa.eu/qr/758827         </v>
      </c>
      <c r="U51">
        <v>3.6999999999999998E-2</v>
      </c>
      <c r="V51">
        <v>4.8000000000000001E-2</v>
      </c>
      <c r="W51">
        <v>130</v>
      </c>
      <c r="X51">
        <v>60</v>
      </c>
      <c r="Y51">
        <v>60</v>
      </c>
      <c r="Z51" t="s">
        <v>1778</v>
      </c>
      <c r="AA51"/>
    </row>
    <row r="52" spans="1:27" ht="15" x14ac:dyDescent="0.25">
      <c r="A52" t="s">
        <v>44</v>
      </c>
      <c r="B52" t="s">
        <v>45</v>
      </c>
      <c r="C52" t="s">
        <v>70</v>
      </c>
      <c r="D52" t="s">
        <v>424</v>
      </c>
      <c r="E52" t="s">
        <v>149</v>
      </c>
      <c r="F52" t="s">
        <v>1654</v>
      </c>
      <c r="G52" t="s">
        <v>1655</v>
      </c>
      <c r="H52" t="s">
        <v>49</v>
      </c>
      <c r="I52" s="41">
        <v>14.32</v>
      </c>
      <c r="J52" s="40">
        <f>I52*(1-IFERROR(VLOOKUP(H52,Rabat!$D$10:$E$41,2,FALSE),0))</f>
        <v>14.32</v>
      </c>
      <c r="K52">
        <v>0.03</v>
      </c>
      <c r="L52" t="s">
        <v>1773</v>
      </c>
      <c r="M52" t="s">
        <v>1831</v>
      </c>
      <c r="N52" t="s">
        <v>1775</v>
      </c>
      <c r="O52" t="s">
        <v>1776</v>
      </c>
      <c r="P52">
        <v>100</v>
      </c>
      <c r="Q52">
        <v>2500</v>
      </c>
      <c r="R52" t="s">
        <v>1820</v>
      </c>
      <c r="S52"/>
      <c r="T52" s="42" t="str">
        <f>HYPERLINK("https://eprel.ec.europa.eu/qr/909000         ")</f>
        <v xml:space="preserve">https://eprel.ec.europa.eu/qr/909000         </v>
      </c>
      <c r="U52">
        <v>0.04</v>
      </c>
      <c r="V52">
        <v>5.6000000000000001E-2</v>
      </c>
      <c r="W52">
        <v>110</v>
      </c>
      <c r="X52">
        <v>60</v>
      </c>
      <c r="Y52">
        <v>60</v>
      </c>
      <c r="Z52" t="s">
        <v>1778</v>
      </c>
      <c r="AA52"/>
    </row>
    <row r="53" spans="1:27" ht="15" x14ac:dyDescent="0.25">
      <c r="A53" t="s">
        <v>44</v>
      </c>
      <c r="B53" t="s">
        <v>45</v>
      </c>
      <c r="C53" t="s">
        <v>70</v>
      </c>
      <c r="D53" t="s">
        <v>69</v>
      </c>
      <c r="E53" t="s">
        <v>71</v>
      </c>
      <c r="F53" t="s">
        <v>76</v>
      </c>
      <c r="G53" t="s">
        <v>77</v>
      </c>
      <c r="H53" t="s">
        <v>49</v>
      </c>
      <c r="I53" s="41">
        <v>11.16</v>
      </c>
      <c r="J53" s="40">
        <f>I53*(1-IFERROR(VLOOKUP(H53,Rabat!$D$10:$E$41,2,FALSE),0))</f>
        <v>11.16</v>
      </c>
      <c r="K53">
        <v>0.03</v>
      </c>
      <c r="L53" t="s">
        <v>1773</v>
      </c>
      <c r="M53" t="s">
        <v>1832</v>
      </c>
      <c r="N53" t="s">
        <v>1775</v>
      </c>
      <c r="O53" t="s">
        <v>1776</v>
      </c>
      <c r="P53">
        <v>100</v>
      </c>
      <c r="Q53">
        <v>2500</v>
      </c>
      <c r="R53" t="s">
        <v>1777</v>
      </c>
      <c r="S53" s="42" t="str">
        <f>HYPERLINK("https://sklep.kobi.pl/produkt/led-gs-13w-e27-3000k-270-cb")</f>
        <v>https://sklep.kobi.pl/produkt/led-gs-13w-e27-3000k-270-cb</v>
      </c>
      <c r="T53" s="42" t="str">
        <f>HYPERLINK("https://eprel.ec.europa.eu/qr/659821         ")</f>
        <v xml:space="preserve">https://eprel.ec.europa.eu/qr/659821         </v>
      </c>
      <c r="U53">
        <v>3.9E-2</v>
      </c>
      <c r="V53">
        <v>4.7E-2</v>
      </c>
      <c r="W53">
        <v>60</v>
      </c>
      <c r="X53">
        <v>120</v>
      </c>
      <c r="Y53">
        <v>60</v>
      </c>
      <c r="Z53" t="s">
        <v>1778</v>
      </c>
      <c r="AA53"/>
    </row>
    <row r="54" spans="1:27" ht="15" x14ac:dyDescent="0.25">
      <c r="A54" t="s">
        <v>44</v>
      </c>
      <c r="B54" t="s">
        <v>45</v>
      </c>
      <c r="C54" t="s">
        <v>70</v>
      </c>
      <c r="D54" t="s">
        <v>69</v>
      </c>
      <c r="E54" t="s">
        <v>71</v>
      </c>
      <c r="F54" t="s">
        <v>86</v>
      </c>
      <c r="G54" t="s">
        <v>87</v>
      </c>
      <c r="H54" t="s">
        <v>49</v>
      </c>
      <c r="I54" s="41">
        <v>11.16</v>
      </c>
      <c r="J54" s="40">
        <f>I54*(1-IFERROR(VLOOKUP(H54,Rabat!$D$10:$E$41,2,FALSE),0))</f>
        <v>11.16</v>
      </c>
      <c r="K54">
        <v>0.03</v>
      </c>
      <c r="L54" t="s">
        <v>1773</v>
      </c>
      <c r="M54" t="s">
        <v>1833</v>
      </c>
      <c r="N54" t="s">
        <v>1775</v>
      </c>
      <c r="O54" t="s">
        <v>1776</v>
      </c>
      <c r="P54">
        <v>100</v>
      </c>
      <c r="Q54">
        <v>2500</v>
      </c>
      <c r="R54" t="s">
        <v>1777</v>
      </c>
      <c r="S54" s="42" t="str">
        <f>HYPERLINK("https://sklep.kobi.pl/produkt/led-gs-13w-e27-4000k-270-nb")</f>
        <v>https://sklep.kobi.pl/produkt/led-gs-13w-e27-4000k-270-nb</v>
      </c>
      <c r="T54" s="42" t="str">
        <f>HYPERLINK("https://eprel.ec.europa.eu/qr/659826         ")</f>
        <v xml:space="preserve">https://eprel.ec.europa.eu/qr/659826         </v>
      </c>
      <c r="U54">
        <v>3.9E-2</v>
      </c>
      <c r="V54">
        <v>4.7E-2</v>
      </c>
      <c r="W54">
        <v>60</v>
      </c>
      <c r="X54">
        <v>120</v>
      </c>
      <c r="Y54">
        <v>60</v>
      </c>
      <c r="Z54" t="s">
        <v>1778</v>
      </c>
      <c r="AA54"/>
    </row>
    <row r="55" spans="1:27" ht="15" x14ac:dyDescent="0.25">
      <c r="A55" t="s">
        <v>44</v>
      </c>
      <c r="B55" t="s">
        <v>45</v>
      </c>
      <c r="C55" t="s">
        <v>70</v>
      </c>
      <c r="D55" t="s">
        <v>69</v>
      </c>
      <c r="E55" t="s">
        <v>71</v>
      </c>
      <c r="F55" t="s">
        <v>78</v>
      </c>
      <c r="G55" t="s">
        <v>79</v>
      </c>
      <c r="H55" t="s">
        <v>49</v>
      </c>
      <c r="I55" s="41">
        <v>11.16</v>
      </c>
      <c r="J55" s="40">
        <f>I55*(1-IFERROR(VLOOKUP(H55,Rabat!$D$10:$E$41,2,FALSE),0))</f>
        <v>11.16</v>
      </c>
      <c r="K55">
        <v>0.03</v>
      </c>
      <c r="L55" t="s">
        <v>1773</v>
      </c>
      <c r="M55" t="s">
        <v>1834</v>
      </c>
      <c r="N55" t="s">
        <v>1775</v>
      </c>
      <c r="O55" t="s">
        <v>1776</v>
      </c>
      <c r="P55">
        <v>100</v>
      </c>
      <c r="Q55">
        <v>2500</v>
      </c>
      <c r="R55" t="s">
        <v>1777</v>
      </c>
      <c r="S55" s="42" t="str">
        <f>HYPERLINK("https://sklep.kobi.pl/produkt/led-gs-13w-e27-6000k-270-zb")</f>
        <v>https://sklep.kobi.pl/produkt/led-gs-13w-e27-6000k-270-zb</v>
      </c>
      <c r="T55" s="42" t="str">
        <f>HYPERLINK("https://eprel.ec.europa.eu/qr/659831         ")</f>
        <v xml:space="preserve">https://eprel.ec.europa.eu/qr/659831         </v>
      </c>
      <c r="U55">
        <v>3.9E-2</v>
      </c>
      <c r="V55">
        <v>4.7E-2</v>
      </c>
      <c r="W55">
        <v>60</v>
      </c>
      <c r="X55">
        <v>120</v>
      </c>
      <c r="Y55">
        <v>60</v>
      </c>
      <c r="Z55" t="s">
        <v>1778</v>
      </c>
      <c r="AA55"/>
    </row>
    <row r="56" spans="1:27" ht="15" x14ac:dyDescent="0.25">
      <c r="A56" t="s">
        <v>44</v>
      </c>
      <c r="B56" t="s">
        <v>45</v>
      </c>
      <c r="C56" t="s">
        <v>70</v>
      </c>
      <c r="D56" t="s">
        <v>69</v>
      </c>
      <c r="E56" t="s">
        <v>71</v>
      </c>
      <c r="F56" t="s">
        <v>72</v>
      </c>
      <c r="G56" t="s">
        <v>73</v>
      </c>
      <c r="H56" t="s">
        <v>49</v>
      </c>
      <c r="I56" s="41">
        <v>15.26</v>
      </c>
      <c r="J56" s="40">
        <f>I56*(1-IFERROR(VLOOKUP(H56,Rabat!$D$10:$E$41,2,FALSE),0))</f>
        <v>15.26</v>
      </c>
      <c r="K56">
        <v>0.05</v>
      </c>
      <c r="L56" t="s">
        <v>1773</v>
      </c>
      <c r="M56" t="s">
        <v>1835</v>
      </c>
      <c r="N56" t="s">
        <v>1775</v>
      </c>
      <c r="O56" t="s">
        <v>1776</v>
      </c>
      <c r="P56">
        <v>100</v>
      </c>
      <c r="Q56">
        <v>1500</v>
      </c>
      <c r="R56" t="s">
        <v>1777</v>
      </c>
      <c r="S56" s="42" t="str">
        <f>HYPERLINK("https://sklep.kobi.pl/produkt/led-gs-15w-e27-3000k-270-cb")</f>
        <v>https://sklep.kobi.pl/produkt/led-gs-15w-e27-3000k-270-cb</v>
      </c>
      <c r="T56" s="42" t="str">
        <f>HYPERLINK("https://eprel.ec.europa.eu/qr/659833         ")</f>
        <v xml:space="preserve">https://eprel.ec.europa.eu/qr/659833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  <c r="Z56" t="s">
        <v>1778</v>
      </c>
      <c r="AA56"/>
    </row>
    <row r="57" spans="1:27" ht="15" x14ac:dyDescent="0.25">
      <c r="A57" t="s">
        <v>44</v>
      </c>
      <c r="B57" t="s">
        <v>45</v>
      </c>
      <c r="C57" t="s">
        <v>70</v>
      </c>
      <c r="D57" t="s">
        <v>69</v>
      </c>
      <c r="E57" t="s">
        <v>71</v>
      </c>
      <c r="F57" t="s">
        <v>92</v>
      </c>
      <c r="G57" t="s">
        <v>93</v>
      </c>
      <c r="H57" t="s">
        <v>49</v>
      </c>
      <c r="I57" s="41">
        <v>15.26</v>
      </c>
      <c r="J57" s="40">
        <f>I57*(1-IFERROR(VLOOKUP(H57,Rabat!$D$10:$E$41,2,FALSE),0))</f>
        <v>15.26</v>
      </c>
      <c r="K57">
        <v>0.05</v>
      </c>
      <c r="L57" t="s">
        <v>1773</v>
      </c>
      <c r="M57" t="s">
        <v>1836</v>
      </c>
      <c r="N57" t="s">
        <v>1775</v>
      </c>
      <c r="O57" t="s">
        <v>1776</v>
      </c>
      <c r="P57">
        <v>100</v>
      </c>
      <c r="Q57">
        <v>0</v>
      </c>
      <c r="R57" t="s">
        <v>1777</v>
      </c>
      <c r="S57" s="42" t="str">
        <f>HYPERLINK("https://sklep.kobi.pl/produkt/led-gs-15w-e27-4000k-270-nb")</f>
        <v>https://sklep.kobi.pl/produkt/led-gs-15w-e27-4000k-270-nb</v>
      </c>
      <c r="T57" s="42" t="str">
        <f>HYPERLINK("https://eprel.ec.europa.eu/qr/659834         ")</f>
        <v xml:space="preserve">https://eprel.ec.europa.eu/qr/659834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  <c r="Z57" t="s">
        <v>1778</v>
      </c>
      <c r="AA57"/>
    </row>
    <row r="58" spans="1:27" ht="15" x14ac:dyDescent="0.25">
      <c r="A58" t="s">
        <v>44</v>
      </c>
      <c r="B58" t="s">
        <v>45</v>
      </c>
      <c r="C58" t="s">
        <v>70</v>
      </c>
      <c r="D58" t="s">
        <v>69</v>
      </c>
      <c r="E58" t="s">
        <v>71</v>
      </c>
      <c r="F58" t="s">
        <v>74</v>
      </c>
      <c r="G58" t="s">
        <v>75</v>
      </c>
      <c r="H58" t="s">
        <v>49</v>
      </c>
      <c r="I58" s="41">
        <v>15.26</v>
      </c>
      <c r="J58" s="40">
        <f>I58*(1-IFERROR(VLOOKUP(H58,Rabat!$D$10:$E$41,2,FALSE),0))</f>
        <v>15.26</v>
      </c>
      <c r="K58">
        <v>0.05</v>
      </c>
      <c r="L58" t="s">
        <v>1773</v>
      </c>
      <c r="M58" t="s">
        <v>1837</v>
      </c>
      <c r="N58" t="s">
        <v>1775</v>
      </c>
      <c r="O58" t="s">
        <v>1776</v>
      </c>
      <c r="P58">
        <v>100</v>
      </c>
      <c r="Q58">
        <v>0</v>
      </c>
      <c r="R58" t="s">
        <v>1777</v>
      </c>
      <c r="S58" s="42" t="str">
        <f>HYPERLINK("https://sklep.kobi.pl/produkt/led-gs-15w-e27-6000k-270-zb")</f>
        <v>https://sklep.kobi.pl/produkt/led-gs-15w-e27-6000k-270-zb</v>
      </c>
      <c r="T58" s="42" t="str">
        <f>HYPERLINK("https://eprel.ec.europa.eu/qr/659835         ")</f>
        <v xml:space="preserve">https://eprel.ec.europa.eu/qr/659835         </v>
      </c>
      <c r="U58">
        <v>5.5E-2</v>
      </c>
      <c r="V58">
        <v>7.0999999999999994E-2</v>
      </c>
      <c r="W58">
        <v>65</v>
      </c>
      <c r="X58">
        <v>135</v>
      </c>
      <c r="Y58">
        <v>65</v>
      </c>
      <c r="Z58" t="s">
        <v>1778</v>
      </c>
      <c r="AA58"/>
    </row>
    <row r="59" spans="1:27" ht="15" x14ac:dyDescent="0.25">
      <c r="A59" t="s">
        <v>44</v>
      </c>
      <c r="B59" t="s">
        <v>45</v>
      </c>
      <c r="C59" t="s">
        <v>70</v>
      </c>
      <c r="D59" t="s">
        <v>69</v>
      </c>
      <c r="E59" t="s">
        <v>71</v>
      </c>
      <c r="F59" t="s">
        <v>684</v>
      </c>
      <c r="G59" t="s">
        <v>685</v>
      </c>
      <c r="H59" t="s">
        <v>49</v>
      </c>
      <c r="I59" s="41">
        <v>22.16</v>
      </c>
      <c r="J59" s="40">
        <f>I59*(1-IFERROR(VLOOKUP(H59,Rabat!$D$10:$E$41,2,FALSE),0))</f>
        <v>22.16</v>
      </c>
      <c r="K59">
        <v>0.06</v>
      </c>
      <c r="L59" t="s">
        <v>1779</v>
      </c>
      <c r="M59" t="s">
        <v>1838</v>
      </c>
      <c r="N59" t="s">
        <v>1775</v>
      </c>
      <c r="O59" t="s">
        <v>1776</v>
      </c>
      <c r="P59">
        <v>100</v>
      </c>
      <c r="Q59">
        <v>1500</v>
      </c>
      <c r="R59" t="s">
        <v>1777</v>
      </c>
      <c r="S59" s="42" t="str">
        <f>HYPERLINK("https://sklep.kobi.pl/produkt/led-gs-18w-e27-3000k")</f>
        <v>https://sklep.kobi.pl/produkt/led-gs-18w-e27-3000k</v>
      </c>
      <c r="T59" s="42" t="str">
        <f>HYPERLINK("https://eprel.ec.europa.eu/qr/659839         ")</f>
        <v xml:space="preserve">https://eprel.ec.europa.eu/qr/659839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  <c r="Z59" t="s">
        <v>1778</v>
      </c>
      <c r="AA59"/>
    </row>
    <row r="60" spans="1:27" ht="15" x14ac:dyDescent="0.25">
      <c r="A60" t="s">
        <v>44</v>
      </c>
      <c r="B60" t="s">
        <v>45</v>
      </c>
      <c r="C60" t="s">
        <v>70</v>
      </c>
      <c r="D60" t="s">
        <v>69</v>
      </c>
      <c r="E60" t="s">
        <v>71</v>
      </c>
      <c r="F60" t="s">
        <v>822</v>
      </c>
      <c r="G60" t="s">
        <v>823</v>
      </c>
      <c r="H60" t="s">
        <v>49</v>
      </c>
      <c r="I60" s="41">
        <v>22.16</v>
      </c>
      <c r="J60" s="40">
        <f>I60*(1-IFERROR(VLOOKUP(H60,Rabat!$D$10:$E$41,2,FALSE),0))</f>
        <v>22.16</v>
      </c>
      <c r="K60">
        <v>0.06</v>
      </c>
      <c r="L60" t="s">
        <v>1779</v>
      </c>
      <c r="M60" t="s">
        <v>1839</v>
      </c>
      <c r="N60" t="s">
        <v>1775</v>
      </c>
      <c r="O60" t="s">
        <v>1776</v>
      </c>
      <c r="P60">
        <v>100</v>
      </c>
      <c r="Q60">
        <v>1500</v>
      </c>
      <c r="R60" t="s">
        <v>1777</v>
      </c>
      <c r="S60" s="42" t="str">
        <f>HYPERLINK("https://sklep.kobi.pl/produkt/led-gs-18w-e27-4000k")</f>
        <v>https://sklep.kobi.pl/produkt/led-gs-18w-e27-4000k</v>
      </c>
      <c r="T60" s="42" t="str">
        <f>HYPERLINK("https://eprel.ec.europa.eu/qr/659840         ")</f>
        <v xml:space="preserve">https://eprel.ec.europa.eu/qr/659840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  <c r="Z60" t="s">
        <v>1778</v>
      </c>
      <c r="AA60"/>
    </row>
    <row r="61" spans="1:27" ht="15" x14ac:dyDescent="0.25">
      <c r="A61" t="s">
        <v>44</v>
      </c>
      <c r="B61" t="s">
        <v>45</v>
      </c>
      <c r="C61" t="s">
        <v>70</v>
      </c>
      <c r="D61" t="s">
        <v>69</v>
      </c>
      <c r="E61" t="s">
        <v>71</v>
      </c>
      <c r="F61" t="s">
        <v>824</v>
      </c>
      <c r="G61" t="s">
        <v>825</v>
      </c>
      <c r="H61" t="s">
        <v>49</v>
      </c>
      <c r="I61" s="41">
        <v>22.16</v>
      </c>
      <c r="J61" s="40">
        <f>I61*(1-IFERROR(VLOOKUP(H61,Rabat!$D$10:$E$41,2,FALSE),0))</f>
        <v>22.16</v>
      </c>
      <c r="K61">
        <v>0.06</v>
      </c>
      <c r="L61" t="s">
        <v>1779</v>
      </c>
      <c r="M61" t="s">
        <v>1840</v>
      </c>
      <c r="N61" t="s">
        <v>1775</v>
      </c>
      <c r="O61" t="s">
        <v>1776</v>
      </c>
      <c r="P61">
        <v>100</v>
      </c>
      <c r="Q61">
        <v>1500</v>
      </c>
      <c r="R61" t="s">
        <v>1777</v>
      </c>
      <c r="S61" s="42" t="str">
        <f>HYPERLINK("https://sklep.kobi.pl/produkt/led-gs-18w-e27-6000k")</f>
        <v>https://sklep.kobi.pl/produkt/led-gs-18w-e27-6000k</v>
      </c>
      <c r="T61" s="42" t="str">
        <f>HYPERLINK("https://eprel.ec.europa.eu/qr/659841         ")</f>
        <v xml:space="preserve">https://eprel.ec.europa.eu/qr/659841         </v>
      </c>
      <c r="U61">
        <v>7.0000000000000007E-2</v>
      </c>
      <c r="V61">
        <v>8.8999999999999996E-2</v>
      </c>
      <c r="W61">
        <v>65</v>
      </c>
      <c r="X61">
        <v>140</v>
      </c>
      <c r="Y61">
        <v>65</v>
      </c>
      <c r="Z61" t="s">
        <v>1778</v>
      </c>
      <c r="AA61"/>
    </row>
    <row r="62" spans="1:27" ht="15" x14ac:dyDescent="0.25">
      <c r="A62" t="s">
        <v>44</v>
      </c>
      <c r="B62" t="s">
        <v>45</v>
      </c>
      <c r="C62" t="s">
        <v>119</v>
      </c>
      <c r="D62" t="s">
        <v>69</v>
      </c>
      <c r="E62" t="s">
        <v>71</v>
      </c>
      <c r="F62" t="s">
        <v>120</v>
      </c>
      <c r="G62" t="s">
        <v>121</v>
      </c>
      <c r="H62" t="s">
        <v>50</v>
      </c>
      <c r="I62" s="41">
        <v>8.35</v>
      </c>
      <c r="J62" s="40">
        <f>I62*(1-IFERROR(VLOOKUP(H62,Rabat!$D$10:$E$41,2,FALSE),0))</f>
        <v>8.35</v>
      </c>
      <c r="K62">
        <v>0.02</v>
      </c>
      <c r="L62" t="s">
        <v>1773</v>
      </c>
      <c r="M62" t="s">
        <v>1841</v>
      </c>
      <c r="N62" t="s">
        <v>1775</v>
      </c>
      <c r="O62" t="s">
        <v>1776</v>
      </c>
      <c r="P62">
        <v>100</v>
      </c>
      <c r="Q62">
        <v>6000</v>
      </c>
      <c r="R62" t="s">
        <v>1777</v>
      </c>
      <c r="S62" s="42" t="str">
        <f>HYPERLINK("https://sklep.kobi.pl/produkt/led-gu10-smd-1w-3000k")</f>
        <v>https://sklep.kobi.pl/produkt/led-gu10-smd-1w-3000k</v>
      </c>
      <c r="T62" s="42" t="str">
        <f>HYPERLINK("https://eprel.ec.europa.eu/qr/659854         ")</f>
        <v xml:space="preserve">https://eprel.ec.europa.eu/qr/659854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  <c r="Z62" t="s">
        <v>1778</v>
      </c>
      <c r="AA62"/>
    </row>
    <row r="63" spans="1:27" ht="15" x14ac:dyDescent="0.25">
      <c r="A63" t="s">
        <v>44</v>
      </c>
      <c r="B63" t="s">
        <v>45</v>
      </c>
      <c r="C63" t="s">
        <v>119</v>
      </c>
      <c r="D63" t="s">
        <v>69</v>
      </c>
      <c r="E63" t="s">
        <v>71</v>
      </c>
      <c r="F63" t="s">
        <v>374</v>
      </c>
      <c r="G63" t="s">
        <v>375</v>
      </c>
      <c r="H63" t="s">
        <v>50</v>
      </c>
      <c r="I63" s="41">
        <v>8.35</v>
      </c>
      <c r="J63" s="40">
        <f>I63*(1-IFERROR(VLOOKUP(H63,Rabat!$D$10:$E$41,2,FALSE),0))</f>
        <v>8.35</v>
      </c>
      <c r="K63">
        <v>0.02</v>
      </c>
      <c r="L63" t="s">
        <v>1773</v>
      </c>
      <c r="M63" t="s">
        <v>1842</v>
      </c>
      <c r="N63" t="s">
        <v>1775</v>
      </c>
      <c r="O63" t="s">
        <v>1776</v>
      </c>
      <c r="P63">
        <v>100</v>
      </c>
      <c r="Q63">
        <v>6000</v>
      </c>
      <c r="R63" t="s">
        <v>1777</v>
      </c>
      <c r="S63" s="42" t="str">
        <f>HYPERLINK("https://sklep.kobi.pl/produkt/led-gu10-smd-1w-4000k")</f>
        <v>https://sklep.kobi.pl/produkt/led-gu10-smd-1w-4000k</v>
      </c>
      <c r="T63" s="42" t="str">
        <f>HYPERLINK("https://eprel.ec.europa.eu/qr/659856         ")</f>
        <v xml:space="preserve">https://eprel.ec.europa.eu/qr/659856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  <c r="Z63" t="s">
        <v>1778</v>
      </c>
      <c r="AA63"/>
    </row>
    <row r="64" spans="1:27" ht="15" x14ac:dyDescent="0.25">
      <c r="A64" t="s">
        <v>44</v>
      </c>
      <c r="B64" t="s">
        <v>45</v>
      </c>
      <c r="C64" t="s">
        <v>119</v>
      </c>
      <c r="D64" t="s">
        <v>69</v>
      </c>
      <c r="E64" t="s">
        <v>71</v>
      </c>
      <c r="F64" t="s">
        <v>122</v>
      </c>
      <c r="G64" t="s">
        <v>123</v>
      </c>
      <c r="H64" t="s">
        <v>50</v>
      </c>
      <c r="I64" s="41">
        <v>8.35</v>
      </c>
      <c r="J64" s="40">
        <f>I64*(1-IFERROR(VLOOKUP(H64,Rabat!$D$10:$E$41,2,FALSE),0))</f>
        <v>8.35</v>
      </c>
      <c r="K64">
        <v>0.02</v>
      </c>
      <c r="L64" t="s">
        <v>1773</v>
      </c>
      <c r="M64" t="s">
        <v>1843</v>
      </c>
      <c r="N64" t="s">
        <v>1775</v>
      </c>
      <c r="O64" t="s">
        <v>1776</v>
      </c>
      <c r="P64">
        <v>100</v>
      </c>
      <c r="Q64">
        <v>6000</v>
      </c>
      <c r="R64" t="s">
        <v>1777</v>
      </c>
      <c r="S64" s="42" t="str">
        <f>HYPERLINK("https://sklep.kobi.pl/produkt/led-gu10-smd-1w-6000k")</f>
        <v>https://sklep.kobi.pl/produkt/led-gu10-smd-1w-6000k</v>
      </c>
      <c r="T64" s="42" t="str">
        <f>HYPERLINK("https://eprel.ec.europa.eu/qr/659858         ")</f>
        <v xml:space="preserve">https://eprel.ec.europa.eu/qr/659858         </v>
      </c>
      <c r="U64">
        <v>1.7999999999999999E-2</v>
      </c>
      <c r="V64">
        <v>2.8000000000000001E-2</v>
      </c>
      <c r="W64">
        <v>50</v>
      </c>
      <c r="X64">
        <v>60</v>
      </c>
      <c r="Y64">
        <v>50</v>
      </c>
      <c r="Z64" t="s">
        <v>1778</v>
      </c>
      <c r="AA64"/>
    </row>
    <row r="65" spans="1:27" ht="15" x14ac:dyDescent="0.25">
      <c r="A65" t="s">
        <v>44</v>
      </c>
      <c r="B65" t="s">
        <v>45</v>
      </c>
      <c r="C65" t="s">
        <v>119</v>
      </c>
      <c r="D65" t="s">
        <v>424</v>
      </c>
      <c r="E65" t="s">
        <v>71</v>
      </c>
      <c r="F65" t="s">
        <v>837</v>
      </c>
      <c r="G65" t="s">
        <v>838</v>
      </c>
      <c r="H65" t="s">
        <v>50</v>
      </c>
      <c r="I65" s="41">
        <v>11.29</v>
      </c>
      <c r="J65" s="40">
        <f>I65*(1-IFERROR(VLOOKUP(H65,Rabat!$D$10:$E$41,2,FALSE),0))</f>
        <v>11.29</v>
      </c>
      <c r="K65">
        <v>0.02</v>
      </c>
      <c r="L65" t="s">
        <v>1779</v>
      </c>
      <c r="M65" t="s">
        <v>1844</v>
      </c>
      <c r="N65" t="s">
        <v>1775</v>
      </c>
      <c r="O65" t="s">
        <v>1776</v>
      </c>
      <c r="P65">
        <v>100</v>
      </c>
      <c r="Q65">
        <v>6600</v>
      </c>
      <c r="R65" t="s">
        <v>1820</v>
      </c>
      <c r="S65" s="42" t="str">
        <f>HYPERLINK("https://sklep.kobi.pl/produkt/led-gu10-3w-3000k-premium")</f>
        <v>https://sklep.kobi.pl/produkt/led-gu10-3w-3000k-premium</v>
      </c>
      <c r="T65" s="42" t="str">
        <f>HYPERLINK("https://eprel.ec.europa.eu/qr/659875         ")</f>
        <v xml:space="preserve">https://eprel.ec.europa.eu/qr/659875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  <c r="Z65" t="s">
        <v>1778</v>
      </c>
      <c r="AA65"/>
    </row>
    <row r="66" spans="1:27" ht="15" x14ac:dyDescent="0.25">
      <c r="A66" t="s">
        <v>44</v>
      </c>
      <c r="B66" t="s">
        <v>45</v>
      </c>
      <c r="C66" t="s">
        <v>119</v>
      </c>
      <c r="D66" t="s">
        <v>424</v>
      </c>
      <c r="E66" t="s">
        <v>71</v>
      </c>
      <c r="F66" t="s">
        <v>839</v>
      </c>
      <c r="G66" t="s">
        <v>840</v>
      </c>
      <c r="H66" t="s">
        <v>50</v>
      </c>
      <c r="I66" s="41">
        <v>11.29</v>
      </c>
      <c r="J66" s="40">
        <f>I66*(1-IFERROR(VLOOKUP(H66,Rabat!$D$10:$E$41,2,FALSE),0))</f>
        <v>11.29</v>
      </c>
      <c r="K66">
        <v>0.02</v>
      </c>
      <c r="L66" t="s">
        <v>1779</v>
      </c>
      <c r="M66" t="s">
        <v>1845</v>
      </c>
      <c r="N66" t="s">
        <v>1775</v>
      </c>
      <c r="O66" t="s">
        <v>1776</v>
      </c>
      <c r="P66">
        <v>100</v>
      </c>
      <c r="Q66">
        <v>6600</v>
      </c>
      <c r="R66" t="s">
        <v>1820</v>
      </c>
      <c r="S66" s="42" t="str">
        <f>HYPERLINK("https://sklep.kobi.pl/produkt/led-gu10-3w-4000k-premium")</f>
        <v>https://sklep.kobi.pl/produkt/led-gu10-3w-4000k-premium</v>
      </c>
      <c r="T66" s="42" t="str">
        <f>HYPERLINK("https://eprel.ec.europa.eu/qr/659878         ")</f>
        <v xml:space="preserve">https://eprel.ec.europa.eu/qr/659878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  <c r="Z66" t="s">
        <v>1778</v>
      </c>
      <c r="AA66"/>
    </row>
    <row r="67" spans="1:27" ht="15" x14ac:dyDescent="0.25">
      <c r="A67" t="s">
        <v>44</v>
      </c>
      <c r="B67" t="s">
        <v>45</v>
      </c>
      <c r="C67" t="s">
        <v>119</v>
      </c>
      <c r="D67" t="s">
        <v>424</v>
      </c>
      <c r="E67" t="s">
        <v>71</v>
      </c>
      <c r="F67" t="s">
        <v>841</v>
      </c>
      <c r="G67" t="s">
        <v>842</v>
      </c>
      <c r="H67" t="s">
        <v>50</v>
      </c>
      <c r="I67" s="41">
        <v>11.29</v>
      </c>
      <c r="J67" s="40">
        <f>I67*(1-IFERROR(VLOOKUP(H67,Rabat!$D$10:$E$41,2,FALSE),0))</f>
        <v>11.29</v>
      </c>
      <c r="K67">
        <v>0.02</v>
      </c>
      <c r="L67" t="s">
        <v>1779</v>
      </c>
      <c r="M67" t="s">
        <v>1846</v>
      </c>
      <c r="N67" t="s">
        <v>1775</v>
      </c>
      <c r="O67" t="s">
        <v>1776</v>
      </c>
      <c r="P67">
        <v>100</v>
      </c>
      <c r="Q67">
        <v>6600</v>
      </c>
      <c r="R67" t="s">
        <v>1820</v>
      </c>
      <c r="S67" s="42" t="str">
        <f>HYPERLINK("https://sklep.kobi.pl/produkt/led-gu10-3w-6200k-premium")</f>
        <v>https://sklep.kobi.pl/produkt/led-gu10-3w-6200k-premium</v>
      </c>
      <c r="T67" s="42" t="str">
        <f>HYPERLINK("https://eprel.ec.europa.eu/qr/659881         ")</f>
        <v xml:space="preserve">https://eprel.ec.europa.eu/qr/659881         </v>
      </c>
      <c r="U67">
        <v>2.5999999999999999E-2</v>
      </c>
      <c r="V67">
        <v>3.6999999999999998E-2</v>
      </c>
      <c r="W67">
        <v>50</v>
      </c>
      <c r="X67">
        <v>65</v>
      </c>
      <c r="Y67">
        <v>50</v>
      </c>
      <c r="Z67" t="s">
        <v>1778</v>
      </c>
      <c r="AA67"/>
    </row>
    <row r="68" spans="1:27" ht="15" x14ac:dyDescent="0.25">
      <c r="A68" t="s">
        <v>44</v>
      </c>
      <c r="B68" t="s">
        <v>45</v>
      </c>
      <c r="C68" t="s">
        <v>119</v>
      </c>
      <c r="D68" t="s">
        <v>69</v>
      </c>
      <c r="E68" t="s">
        <v>71</v>
      </c>
      <c r="F68" t="s">
        <v>376</v>
      </c>
      <c r="G68" t="s">
        <v>377</v>
      </c>
      <c r="H68" t="s">
        <v>50</v>
      </c>
      <c r="I68" s="41">
        <v>8.94</v>
      </c>
      <c r="J68" s="40">
        <f>I68*(1-IFERROR(VLOOKUP(H68,Rabat!$D$10:$E$41,2,FALSE),0))</f>
        <v>8.94</v>
      </c>
      <c r="K68">
        <v>0.02</v>
      </c>
      <c r="L68" t="s">
        <v>1818</v>
      </c>
      <c r="M68" t="s">
        <v>1847</v>
      </c>
      <c r="N68" t="s">
        <v>1775</v>
      </c>
      <c r="O68" t="s">
        <v>1776</v>
      </c>
      <c r="P68">
        <v>100</v>
      </c>
      <c r="Q68">
        <v>6000</v>
      </c>
      <c r="R68" t="s">
        <v>1777</v>
      </c>
      <c r="S68" s="42" t="str">
        <f>HYPERLINK("https://sklep.kobi.pl/produkt/led-gu10-smd-5w-3000k")</f>
        <v>https://sklep.kobi.pl/produkt/led-gu10-smd-5w-3000k</v>
      </c>
      <c r="T68" s="42" t="str">
        <f>HYPERLINK("https://eprel.ec.europa.eu/qr/659894         ")</f>
        <v xml:space="preserve">https://eprel.ec.europa.eu/qr/659894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  <c r="Z68" t="s">
        <v>1778</v>
      </c>
      <c r="AA68"/>
    </row>
    <row r="69" spans="1:27" ht="15" x14ac:dyDescent="0.25">
      <c r="A69" t="s">
        <v>44</v>
      </c>
      <c r="B69" t="s">
        <v>45</v>
      </c>
      <c r="C69" t="s">
        <v>119</v>
      </c>
      <c r="D69" t="s">
        <v>69</v>
      </c>
      <c r="E69" t="s">
        <v>71</v>
      </c>
      <c r="F69" t="s">
        <v>378</v>
      </c>
      <c r="G69" t="s">
        <v>379</v>
      </c>
      <c r="H69" t="s">
        <v>50</v>
      </c>
      <c r="I69" s="41">
        <v>8.94</v>
      </c>
      <c r="J69" s="40">
        <f>I69*(1-IFERROR(VLOOKUP(H69,Rabat!$D$10:$E$41,2,FALSE),0))</f>
        <v>8.94</v>
      </c>
      <c r="K69">
        <v>0.02</v>
      </c>
      <c r="L69" t="s">
        <v>1818</v>
      </c>
      <c r="M69" t="s">
        <v>1848</v>
      </c>
      <c r="N69" t="s">
        <v>1775</v>
      </c>
      <c r="O69" t="s">
        <v>1776</v>
      </c>
      <c r="P69">
        <v>100</v>
      </c>
      <c r="Q69">
        <v>6000</v>
      </c>
      <c r="R69" t="s">
        <v>1777</v>
      </c>
      <c r="S69" s="42" t="str">
        <f>HYPERLINK("https://sklep.kobi.pl/produkt/led-gu10-smd-5w-4000k")</f>
        <v>https://sklep.kobi.pl/produkt/led-gu10-smd-5w-4000k</v>
      </c>
      <c r="T69" s="42" t="str">
        <f>HYPERLINK("https://eprel.ec.europa.eu/qr/659904         ")</f>
        <v xml:space="preserve">https://eprel.ec.europa.eu/qr/659904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  <c r="Z69" t="s">
        <v>1778</v>
      </c>
      <c r="AA69"/>
    </row>
    <row r="70" spans="1:27" ht="15" x14ac:dyDescent="0.25">
      <c r="A70" t="s">
        <v>44</v>
      </c>
      <c r="B70" t="s">
        <v>45</v>
      </c>
      <c r="C70" t="s">
        <v>119</v>
      </c>
      <c r="D70" t="s">
        <v>69</v>
      </c>
      <c r="E70" t="s">
        <v>71</v>
      </c>
      <c r="F70" t="s">
        <v>380</v>
      </c>
      <c r="G70" t="s">
        <v>381</v>
      </c>
      <c r="H70" t="s">
        <v>50</v>
      </c>
      <c r="I70" s="41">
        <v>8.94</v>
      </c>
      <c r="J70" s="40">
        <f>I70*(1-IFERROR(VLOOKUP(H70,Rabat!$D$10:$E$41,2,FALSE),0))</f>
        <v>8.94</v>
      </c>
      <c r="K70">
        <v>0.02</v>
      </c>
      <c r="L70" t="s">
        <v>1818</v>
      </c>
      <c r="M70" t="s">
        <v>1849</v>
      </c>
      <c r="N70" t="s">
        <v>1775</v>
      </c>
      <c r="O70" t="s">
        <v>1776</v>
      </c>
      <c r="P70">
        <v>100</v>
      </c>
      <c r="Q70">
        <v>6000</v>
      </c>
      <c r="R70" t="s">
        <v>1777</v>
      </c>
      <c r="S70" s="42" t="str">
        <f>HYPERLINK("https://sklep.kobi.pl/produkt/led-gu10-smd-5w-6000k")</f>
        <v>https://sklep.kobi.pl/produkt/led-gu10-smd-5w-6000k</v>
      </c>
      <c r="T70" s="42" t="str">
        <f>HYPERLINK("https://eprel.ec.europa.eu/qr/660091         ")</f>
        <v xml:space="preserve">https://eprel.ec.europa.eu/qr/660091         </v>
      </c>
      <c r="U70">
        <v>2.1000000000000001E-2</v>
      </c>
      <c r="V70">
        <v>2.8000000000000001E-2</v>
      </c>
      <c r="W70">
        <v>50</v>
      </c>
      <c r="X70">
        <v>65</v>
      </c>
      <c r="Y70">
        <v>50</v>
      </c>
      <c r="Z70" t="s">
        <v>1778</v>
      </c>
      <c r="AA70"/>
    </row>
    <row r="71" spans="1:27" ht="15" x14ac:dyDescent="0.25">
      <c r="A71" t="s">
        <v>44</v>
      </c>
      <c r="B71" t="s">
        <v>45</v>
      </c>
      <c r="C71" t="s">
        <v>119</v>
      </c>
      <c r="D71" t="s">
        <v>424</v>
      </c>
      <c r="E71" t="s">
        <v>71</v>
      </c>
      <c r="F71" t="s">
        <v>800</v>
      </c>
      <c r="G71" t="s">
        <v>801</v>
      </c>
      <c r="H71" t="s">
        <v>50</v>
      </c>
      <c r="I71" s="41">
        <v>11.51</v>
      </c>
      <c r="J71" s="40">
        <f>I71*(1-IFERROR(VLOOKUP(H71,Rabat!$D$10:$E$41,2,FALSE),0))</f>
        <v>11.51</v>
      </c>
      <c r="K71">
        <v>0.02</v>
      </c>
      <c r="L71" t="s">
        <v>1779</v>
      </c>
      <c r="M71" t="s">
        <v>1850</v>
      </c>
      <c r="N71" t="s">
        <v>1775</v>
      </c>
      <c r="O71" t="s">
        <v>1776</v>
      </c>
      <c r="P71">
        <v>100</v>
      </c>
      <c r="Q71">
        <v>7200</v>
      </c>
      <c r="R71" t="s">
        <v>1820</v>
      </c>
      <c r="S71" s="42" t="str">
        <f>HYPERLINK("https://sklep.kobi.pl/produkt/led-gu10-5w-3000k-premium")</f>
        <v>https://sklep.kobi.pl/produkt/led-gu10-5w-3000k-premium</v>
      </c>
      <c r="T71" s="42" t="str">
        <f>HYPERLINK("https://eprel.ec.europa.eu/qr/659902         ")</f>
        <v xml:space="preserve">https://eprel.ec.europa.eu/qr/659902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  <c r="Z71" t="s">
        <v>1778</v>
      </c>
      <c r="AA71"/>
    </row>
    <row r="72" spans="1:27" ht="15" x14ac:dyDescent="0.25">
      <c r="A72" t="s">
        <v>44</v>
      </c>
      <c r="B72" t="s">
        <v>45</v>
      </c>
      <c r="C72" t="s">
        <v>119</v>
      </c>
      <c r="D72" t="s">
        <v>424</v>
      </c>
      <c r="E72" t="s">
        <v>71</v>
      </c>
      <c r="F72" t="s">
        <v>802</v>
      </c>
      <c r="G72" t="s">
        <v>803</v>
      </c>
      <c r="H72" t="s">
        <v>50</v>
      </c>
      <c r="I72" s="41">
        <v>11.51</v>
      </c>
      <c r="J72" s="40">
        <f>I72*(1-IFERROR(VLOOKUP(H72,Rabat!$D$10:$E$41,2,FALSE),0))</f>
        <v>11.51</v>
      </c>
      <c r="K72">
        <v>0.02</v>
      </c>
      <c r="L72" t="s">
        <v>1779</v>
      </c>
      <c r="M72" t="s">
        <v>1851</v>
      </c>
      <c r="N72" t="s">
        <v>1775</v>
      </c>
      <c r="O72" t="s">
        <v>1776</v>
      </c>
      <c r="P72">
        <v>100</v>
      </c>
      <c r="Q72">
        <v>7200</v>
      </c>
      <c r="R72" t="s">
        <v>1820</v>
      </c>
      <c r="S72" s="42" t="str">
        <f>HYPERLINK("https://sklep.kobi.pl/produkt/led-gu10-5w-4000k-premium")</f>
        <v>https://sklep.kobi.pl/produkt/led-gu10-5w-4000k-premium</v>
      </c>
      <c r="T72" s="42" t="str">
        <f>HYPERLINK("https://eprel.ec.europa.eu/qr/660087         ")</f>
        <v xml:space="preserve">https://eprel.ec.europa.eu/qr/660087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  <c r="Z72" t="s">
        <v>1778</v>
      </c>
      <c r="AA72"/>
    </row>
    <row r="73" spans="1:27" ht="15" x14ac:dyDescent="0.25">
      <c r="A73" t="s">
        <v>44</v>
      </c>
      <c r="B73" t="s">
        <v>45</v>
      </c>
      <c r="C73" t="s">
        <v>119</v>
      </c>
      <c r="D73" t="s">
        <v>424</v>
      </c>
      <c r="E73" t="s">
        <v>71</v>
      </c>
      <c r="F73" t="s">
        <v>804</v>
      </c>
      <c r="G73" t="s">
        <v>805</v>
      </c>
      <c r="H73" t="s">
        <v>50</v>
      </c>
      <c r="I73" s="41">
        <v>11.51</v>
      </c>
      <c r="J73" s="40">
        <f>I73*(1-IFERROR(VLOOKUP(H73,Rabat!$D$10:$E$41,2,FALSE),0))</f>
        <v>11.51</v>
      </c>
      <c r="K73">
        <v>0.02</v>
      </c>
      <c r="L73" t="s">
        <v>1779</v>
      </c>
      <c r="M73" t="s">
        <v>1852</v>
      </c>
      <c r="N73" t="s">
        <v>1775</v>
      </c>
      <c r="O73" t="s">
        <v>1776</v>
      </c>
      <c r="P73">
        <v>100</v>
      </c>
      <c r="Q73">
        <v>7200</v>
      </c>
      <c r="R73" t="s">
        <v>1820</v>
      </c>
      <c r="S73" s="42" t="str">
        <f>HYPERLINK("https://sklep.kobi.pl/produkt/led-gu10-5w-6500k-premium")</f>
        <v>https://sklep.kobi.pl/produkt/led-gu10-5w-6500k-premium</v>
      </c>
      <c r="T73" s="42" t="str">
        <f>HYPERLINK("https://eprel.ec.europa.eu/qr/660096         ")</f>
        <v xml:space="preserve">https://eprel.ec.europa.eu/qr/660096         </v>
      </c>
      <c r="U73">
        <v>2.5000000000000001E-2</v>
      </c>
      <c r="V73">
        <v>3.6999999999999998E-2</v>
      </c>
      <c r="W73">
        <v>50</v>
      </c>
      <c r="X73">
        <v>65</v>
      </c>
      <c r="Y73">
        <v>50</v>
      </c>
      <c r="Z73" t="s">
        <v>1778</v>
      </c>
      <c r="AA73"/>
    </row>
    <row r="74" spans="1:27" ht="15" x14ac:dyDescent="0.25">
      <c r="A74" t="s">
        <v>44</v>
      </c>
      <c r="B74" t="s">
        <v>45</v>
      </c>
      <c r="C74" t="s">
        <v>119</v>
      </c>
      <c r="D74" t="s">
        <v>69</v>
      </c>
      <c r="E74" t="s">
        <v>71</v>
      </c>
      <c r="F74" t="s">
        <v>126</v>
      </c>
      <c r="G74" t="s">
        <v>127</v>
      </c>
      <c r="H74" t="s">
        <v>50</v>
      </c>
      <c r="I74" s="41">
        <v>11.85</v>
      </c>
      <c r="J74" s="40">
        <f>I74*(1-IFERROR(VLOOKUP(H74,Rabat!$D$10:$E$41,2,FALSE),0))</f>
        <v>11.85</v>
      </c>
      <c r="K74">
        <v>0.02</v>
      </c>
      <c r="L74" t="s">
        <v>1773</v>
      </c>
      <c r="M74" t="s">
        <v>1853</v>
      </c>
      <c r="N74" t="s">
        <v>1775</v>
      </c>
      <c r="O74" t="s">
        <v>1776</v>
      </c>
      <c r="P74">
        <v>100</v>
      </c>
      <c r="Q74">
        <v>6000</v>
      </c>
      <c r="R74" t="s">
        <v>1777</v>
      </c>
      <c r="S74" s="42" t="str">
        <f>HYPERLINK("https://sklep.kobi.pl/produkt/led-gu10-smd-7w-3000k")</f>
        <v>https://sklep.kobi.pl/produkt/led-gu10-smd-7w-3000k</v>
      </c>
      <c r="T74" s="42" t="str">
        <f>HYPERLINK("https://eprel.ec.europa.eu/qr/660097         ")</f>
        <v xml:space="preserve">https://eprel.ec.europa.eu/qr/660097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  <c r="Z74" t="s">
        <v>1778</v>
      </c>
      <c r="AA74"/>
    </row>
    <row r="75" spans="1:27" ht="15" x14ac:dyDescent="0.25">
      <c r="A75" t="s">
        <v>44</v>
      </c>
      <c r="B75" t="s">
        <v>45</v>
      </c>
      <c r="C75" t="s">
        <v>119</v>
      </c>
      <c r="D75" t="s">
        <v>69</v>
      </c>
      <c r="E75" t="s">
        <v>71</v>
      </c>
      <c r="F75" t="s">
        <v>341</v>
      </c>
      <c r="G75" t="s">
        <v>342</v>
      </c>
      <c r="H75" t="s">
        <v>50</v>
      </c>
      <c r="I75" s="41">
        <v>11.85</v>
      </c>
      <c r="J75" s="40">
        <f>I75*(1-IFERROR(VLOOKUP(H75,Rabat!$D$10:$E$41,2,FALSE),0))</f>
        <v>11.85</v>
      </c>
      <c r="K75">
        <v>0.02</v>
      </c>
      <c r="L75" t="s">
        <v>1773</v>
      </c>
      <c r="M75" t="s">
        <v>1854</v>
      </c>
      <c r="N75" t="s">
        <v>1775</v>
      </c>
      <c r="O75" t="s">
        <v>1776</v>
      </c>
      <c r="P75">
        <v>100</v>
      </c>
      <c r="Q75">
        <v>6000</v>
      </c>
      <c r="R75" t="s">
        <v>1777</v>
      </c>
      <c r="S75" s="42" t="str">
        <f>HYPERLINK("https://sklep.kobi.pl/produkt/led-gu10-smd-7w-4000k")</f>
        <v>https://sklep.kobi.pl/produkt/led-gu10-smd-7w-4000k</v>
      </c>
      <c r="T75" s="42" t="str">
        <f>HYPERLINK("https://eprel.ec.europa.eu/qr/660103         ")</f>
        <v xml:space="preserve">https://eprel.ec.europa.eu/qr/660103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  <c r="Z75" t="s">
        <v>1778</v>
      </c>
      <c r="AA75"/>
    </row>
    <row r="76" spans="1:27" ht="15" x14ac:dyDescent="0.25">
      <c r="A76" t="s">
        <v>44</v>
      </c>
      <c r="B76" t="s">
        <v>45</v>
      </c>
      <c r="C76" t="s">
        <v>119</v>
      </c>
      <c r="D76" t="s">
        <v>69</v>
      </c>
      <c r="E76" t="s">
        <v>71</v>
      </c>
      <c r="F76" t="s">
        <v>124</v>
      </c>
      <c r="G76" t="s">
        <v>125</v>
      </c>
      <c r="H76" t="s">
        <v>50</v>
      </c>
      <c r="I76" s="41">
        <v>11.85</v>
      </c>
      <c r="J76" s="40">
        <f>I76*(1-IFERROR(VLOOKUP(H76,Rabat!$D$10:$E$41,2,FALSE),0))</f>
        <v>11.85</v>
      </c>
      <c r="K76">
        <v>0.02</v>
      </c>
      <c r="L76" t="s">
        <v>1773</v>
      </c>
      <c r="M76" t="s">
        <v>1855</v>
      </c>
      <c r="N76" t="s">
        <v>1775</v>
      </c>
      <c r="O76" t="s">
        <v>1776</v>
      </c>
      <c r="P76">
        <v>100</v>
      </c>
      <c r="Q76">
        <v>6000</v>
      </c>
      <c r="R76" t="s">
        <v>1777</v>
      </c>
      <c r="S76" s="42" t="str">
        <f>HYPERLINK("https://sklep.kobi.pl/produkt/led-gu10-smd-7w-6000k")</f>
        <v>https://sklep.kobi.pl/produkt/led-gu10-smd-7w-6000k</v>
      </c>
      <c r="T76" s="42" t="str">
        <f>HYPERLINK("https://eprel.ec.europa.eu/qr/660110         ")</f>
        <v xml:space="preserve">https://eprel.ec.europa.eu/qr/660110         </v>
      </c>
      <c r="U76">
        <v>2.1999999999999999E-2</v>
      </c>
      <c r="V76">
        <v>0.03</v>
      </c>
      <c r="W76">
        <v>50</v>
      </c>
      <c r="X76">
        <v>65</v>
      </c>
      <c r="Y76">
        <v>50</v>
      </c>
      <c r="Z76" t="s">
        <v>1778</v>
      </c>
      <c r="AA76"/>
    </row>
    <row r="77" spans="1:27" ht="15" x14ac:dyDescent="0.25">
      <c r="A77" t="s">
        <v>44</v>
      </c>
      <c r="B77" t="s">
        <v>45</v>
      </c>
      <c r="C77" t="s">
        <v>119</v>
      </c>
      <c r="D77" t="s">
        <v>667</v>
      </c>
      <c r="E77" t="s">
        <v>71</v>
      </c>
      <c r="F77" t="s">
        <v>1628</v>
      </c>
      <c r="G77" t="s">
        <v>1629</v>
      </c>
      <c r="H77" t="s">
        <v>50</v>
      </c>
      <c r="I77" s="41">
        <v>10.3</v>
      </c>
      <c r="J77" s="40">
        <f>I77*(1-IFERROR(VLOOKUP(H77,Rabat!$D$10:$E$41,2,FALSE),0))</f>
        <v>10.3</v>
      </c>
      <c r="K77">
        <v>0.02</v>
      </c>
      <c r="L77" t="s">
        <v>1773</v>
      </c>
      <c r="M77" t="s">
        <v>1856</v>
      </c>
      <c r="N77" t="s">
        <v>1775</v>
      </c>
      <c r="O77" t="s">
        <v>1776</v>
      </c>
      <c r="P77">
        <v>100</v>
      </c>
      <c r="Q77">
        <v>5400</v>
      </c>
      <c r="R77" t="s">
        <v>1777</v>
      </c>
      <c r="S77"/>
      <c r="T77" s="42" t="str">
        <f>HYPERLINK("https://eprel.ec.europa.eu/qr/660292         ")</f>
        <v xml:space="preserve">https://eprel.ec.europa.eu/qr/660292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  <c r="Z77" t="s">
        <v>1778</v>
      </c>
      <c r="AA77"/>
    </row>
    <row r="78" spans="1:27" ht="15" x14ac:dyDescent="0.25">
      <c r="A78" t="s">
        <v>44</v>
      </c>
      <c r="B78" t="s">
        <v>45</v>
      </c>
      <c r="C78" t="s">
        <v>119</v>
      </c>
      <c r="D78" t="s">
        <v>667</v>
      </c>
      <c r="E78" t="s">
        <v>71</v>
      </c>
      <c r="F78" t="s">
        <v>1630</v>
      </c>
      <c r="G78" t="s">
        <v>1631</v>
      </c>
      <c r="H78" t="s">
        <v>50</v>
      </c>
      <c r="I78" s="41">
        <v>10.3</v>
      </c>
      <c r="J78" s="40">
        <f>I78*(1-IFERROR(VLOOKUP(H78,Rabat!$D$10:$E$41,2,FALSE),0))</f>
        <v>10.3</v>
      </c>
      <c r="K78">
        <v>0.02</v>
      </c>
      <c r="L78" t="s">
        <v>1773</v>
      </c>
      <c r="M78" t="s">
        <v>1857</v>
      </c>
      <c r="N78" t="s">
        <v>1775</v>
      </c>
      <c r="O78" t="s">
        <v>1776</v>
      </c>
      <c r="P78">
        <v>100</v>
      </c>
      <c r="Q78">
        <v>5400</v>
      </c>
      <c r="R78" t="s">
        <v>1777</v>
      </c>
      <c r="S78"/>
      <c r="T78" s="42" t="str">
        <f>HYPERLINK("https://eprel.ec.europa.eu/qr/660294         ")</f>
        <v xml:space="preserve">https://eprel.ec.europa.eu/qr/660294         </v>
      </c>
      <c r="U78">
        <v>2.3E-2</v>
      </c>
      <c r="V78">
        <v>3.5000000000000003E-2</v>
      </c>
      <c r="W78">
        <v>50</v>
      </c>
      <c r="X78">
        <v>65</v>
      </c>
      <c r="Y78">
        <v>50</v>
      </c>
      <c r="Z78" t="s">
        <v>1778</v>
      </c>
      <c r="AA78"/>
    </row>
    <row r="79" spans="1:27" ht="15" x14ac:dyDescent="0.25">
      <c r="A79" t="s">
        <v>44</v>
      </c>
      <c r="B79" t="s">
        <v>45</v>
      </c>
      <c r="C79" t="s">
        <v>119</v>
      </c>
      <c r="D79" t="s">
        <v>424</v>
      </c>
      <c r="E79" t="s">
        <v>71</v>
      </c>
      <c r="F79" t="s">
        <v>734</v>
      </c>
      <c r="G79" t="s">
        <v>735</v>
      </c>
      <c r="H79" t="s">
        <v>50</v>
      </c>
      <c r="I79" s="41">
        <v>14.88</v>
      </c>
      <c r="J79" s="40">
        <f>I79*(1-IFERROR(VLOOKUP(H79,Rabat!$D$10:$E$41,2,FALSE),0))</f>
        <v>14.88</v>
      </c>
      <c r="K79">
        <v>0.02</v>
      </c>
      <c r="L79" t="s">
        <v>1773</v>
      </c>
      <c r="M79" t="s">
        <v>1858</v>
      </c>
      <c r="N79" t="s">
        <v>1775</v>
      </c>
      <c r="O79" t="s">
        <v>1776</v>
      </c>
      <c r="P79">
        <v>100</v>
      </c>
      <c r="Q79">
        <v>6600</v>
      </c>
      <c r="R79" t="s">
        <v>1820</v>
      </c>
      <c r="S79" s="42" t="str">
        <f>HYPERLINK("https://sklep.kobi.pl/produkt/led-gu10-7w-3000k-premium")</f>
        <v>https://sklep.kobi.pl/produkt/led-gu10-7w-3000k-premium</v>
      </c>
      <c r="T79" s="42" t="str">
        <f>HYPERLINK("https://eprel.ec.europa.eu/qr/660099         ")</f>
        <v xml:space="preserve">https://eprel.ec.europa.eu/qr/660099         </v>
      </c>
      <c r="U79">
        <v>2.7E-2</v>
      </c>
      <c r="V79">
        <v>0.04</v>
      </c>
      <c r="W79">
        <v>50</v>
      </c>
      <c r="X79">
        <v>65</v>
      </c>
      <c r="Y79">
        <v>50</v>
      </c>
      <c r="Z79" t="s">
        <v>1778</v>
      </c>
      <c r="AA79"/>
    </row>
    <row r="80" spans="1:27" ht="15" x14ac:dyDescent="0.25">
      <c r="A80" t="s">
        <v>44</v>
      </c>
      <c r="B80" t="s">
        <v>45</v>
      </c>
      <c r="C80" t="s">
        <v>119</v>
      </c>
      <c r="D80" t="s">
        <v>424</v>
      </c>
      <c r="E80" t="s">
        <v>71</v>
      </c>
      <c r="F80" t="s">
        <v>756</v>
      </c>
      <c r="G80" t="s">
        <v>757</v>
      </c>
      <c r="H80" t="s">
        <v>50</v>
      </c>
      <c r="I80" s="41">
        <v>14.88</v>
      </c>
      <c r="J80" s="40">
        <f>I80*(1-IFERROR(VLOOKUP(H80,Rabat!$D$10:$E$41,2,FALSE),0))</f>
        <v>14.88</v>
      </c>
      <c r="K80">
        <v>0.02</v>
      </c>
      <c r="L80" t="s">
        <v>1773</v>
      </c>
      <c r="M80" t="s">
        <v>1859</v>
      </c>
      <c r="N80" t="s">
        <v>1775</v>
      </c>
      <c r="O80" t="s">
        <v>1776</v>
      </c>
      <c r="P80">
        <v>100</v>
      </c>
      <c r="Q80">
        <v>6600</v>
      </c>
      <c r="R80" t="s">
        <v>1820</v>
      </c>
      <c r="S80" s="42" t="str">
        <f>HYPERLINK("https://sklep.kobi.pl/produkt/led-gu10-7w-4000k-premium")</f>
        <v>https://sklep.kobi.pl/produkt/led-gu10-7w-4000k-premium</v>
      </c>
      <c r="T80" s="42" t="str">
        <f>HYPERLINK("https://eprel.ec.europa.eu/qr/660106         ")</f>
        <v xml:space="preserve">https://eprel.ec.europa.eu/qr/660106         </v>
      </c>
      <c r="U80">
        <v>2.7E-2</v>
      </c>
      <c r="V80">
        <v>0.04</v>
      </c>
      <c r="W80">
        <v>50</v>
      </c>
      <c r="X80">
        <v>65</v>
      </c>
      <c r="Y80">
        <v>50</v>
      </c>
      <c r="Z80" t="s">
        <v>1778</v>
      </c>
      <c r="AA80"/>
    </row>
    <row r="81" spans="1:27" ht="15" x14ac:dyDescent="0.25">
      <c r="A81" t="s">
        <v>44</v>
      </c>
      <c r="B81" t="s">
        <v>45</v>
      </c>
      <c r="C81" t="s">
        <v>119</v>
      </c>
      <c r="D81" t="s">
        <v>424</v>
      </c>
      <c r="E81" t="s">
        <v>71</v>
      </c>
      <c r="F81" t="s">
        <v>758</v>
      </c>
      <c r="G81" t="s">
        <v>759</v>
      </c>
      <c r="H81" t="s">
        <v>50</v>
      </c>
      <c r="I81" s="41">
        <v>14.88</v>
      </c>
      <c r="J81" s="40">
        <f>I81*(1-IFERROR(VLOOKUP(H81,Rabat!$D$10:$E$41,2,FALSE),0))</f>
        <v>14.88</v>
      </c>
      <c r="K81">
        <v>0.02</v>
      </c>
      <c r="L81" t="s">
        <v>1779</v>
      </c>
      <c r="M81" t="s">
        <v>1860</v>
      </c>
      <c r="N81" t="s">
        <v>1775</v>
      </c>
      <c r="O81" t="s">
        <v>1776</v>
      </c>
      <c r="P81">
        <v>100</v>
      </c>
      <c r="Q81">
        <v>6600</v>
      </c>
      <c r="R81" t="s">
        <v>1820</v>
      </c>
      <c r="S81" s="42" t="str">
        <f>HYPERLINK("https://sklep.kobi.pl/produkt/led-gu10-7w-6500k-premium")</f>
        <v>https://sklep.kobi.pl/produkt/led-gu10-7w-6500k-premium</v>
      </c>
      <c r="T81" s="42" t="str">
        <f>HYPERLINK("https://eprel.ec.europa.eu/qr/660149         ")</f>
        <v xml:space="preserve">https://eprel.ec.europa.eu/qr/660149         </v>
      </c>
      <c r="U81">
        <v>2.7E-2</v>
      </c>
      <c r="V81">
        <v>0.04</v>
      </c>
      <c r="W81">
        <v>50</v>
      </c>
      <c r="X81">
        <v>65</v>
      </c>
      <c r="Y81">
        <v>50</v>
      </c>
      <c r="Z81" t="s">
        <v>1778</v>
      </c>
      <c r="AA81"/>
    </row>
    <row r="82" spans="1:27" ht="15" x14ac:dyDescent="0.25">
      <c r="A82" t="s">
        <v>44</v>
      </c>
      <c r="B82" t="s">
        <v>45</v>
      </c>
      <c r="C82" t="s">
        <v>119</v>
      </c>
      <c r="D82" t="s">
        <v>424</v>
      </c>
      <c r="E82" t="s">
        <v>71</v>
      </c>
      <c r="F82" t="s">
        <v>1127</v>
      </c>
      <c r="G82" t="s">
        <v>1128</v>
      </c>
      <c r="H82" t="s">
        <v>50</v>
      </c>
      <c r="I82" s="41">
        <v>24.12</v>
      </c>
      <c r="J82" s="40">
        <f>I82*(1-IFERROR(VLOOKUP(H82,Rabat!$D$10:$E$41,2,FALSE),0))</f>
        <v>24.12</v>
      </c>
      <c r="K82">
        <v>0.05</v>
      </c>
      <c r="L82" t="s">
        <v>1779</v>
      </c>
      <c r="M82" t="s">
        <v>1861</v>
      </c>
      <c r="N82" t="s">
        <v>1775</v>
      </c>
      <c r="O82" t="s">
        <v>1776</v>
      </c>
      <c r="P82">
        <v>100</v>
      </c>
      <c r="Q82">
        <v>6000</v>
      </c>
      <c r="R82" t="s">
        <v>1777</v>
      </c>
      <c r="S82" s="42" t="str">
        <f>HYPERLINK("https://sklep.kobi.pl/produkt/led-gu10-9w-3000k-premium")</f>
        <v>https://sklep.kobi.pl/produkt/led-gu10-9w-3000k-premium</v>
      </c>
      <c r="T82" s="42" t="str">
        <f>HYPERLINK("https://eprel.ec.europa.eu/qr/793979         ")</f>
        <v xml:space="preserve">https://eprel.ec.europa.eu/qr/793979         </v>
      </c>
      <c r="U82">
        <v>5.8000000000000003E-2</v>
      </c>
      <c r="V82">
        <v>6.7000000000000004E-2</v>
      </c>
      <c r="W82">
        <v>50</v>
      </c>
      <c r="X82">
        <v>65</v>
      </c>
      <c r="Y82">
        <v>50</v>
      </c>
      <c r="Z82" t="s">
        <v>1778</v>
      </c>
      <c r="AA82"/>
    </row>
    <row r="83" spans="1:27" ht="15" x14ac:dyDescent="0.25">
      <c r="A83" t="s">
        <v>44</v>
      </c>
      <c r="B83" t="s">
        <v>45</v>
      </c>
      <c r="C83" t="s">
        <v>119</v>
      </c>
      <c r="D83" t="s">
        <v>424</v>
      </c>
      <c r="E83" t="s">
        <v>71</v>
      </c>
      <c r="F83" t="s">
        <v>1051</v>
      </c>
      <c r="G83" t="s">
        <v>1052</v>
      </c>
      <c r="H83" t="s">
        <v>50</v>
      </c>
      <c r="I83" s="41">
        <v>24.12</v>
      </c>
      <c r="J83" s="40">
        <f>I83*(1-IFERROR(VLOOKUP(H83,Rabat!$D$10:$E$41,2,FALSE),0))</f>
        <v>24.12</v>
      </c>
      <c r="K83">
        <v>0.05</v>
      </c>
      <c r="L83" t="s">
        <v>1779</v>
      </c>
      <c r="M83" t="s">
        <v>1862</v>
      </c>
      <c r="N83" t="s">
        <v>1775</v>
      </c>
      <c r="O83" t="s">
        <v>1776</v>
      </c>
      <c r="P83">
        <v>100</v>
      </c>
      <c r="Q83">
        <v>6000</v>
      </c>
      <c r="R83" t="s">
        <v>1777</v>
      </c>
      <c r="S83" s="42" t="str">
        <f>HYPERLINK("https://sklep.kobi.pl/produkt/led-gu10-9w-4000k-premium")</f>
        <v>https://sklep.kobi.pl/produkt/led-gu10-9w-4000k-premium</v>
      </c>
      <c r="T83" s="42" t="str">
        <f>HYPERLINK("https://eprel.ec.europa.eu/qr/794019         ")</f>
        <v xml:space="preserve">https://eprel.ec.europa.eu/qr/794019         </v>
      </c>
      <c r="U83">
        <v>5.8000000000000003E-2</v>
      </c>
      <c r="V83">
        <v>6.7000000000000004E-2</v>
      </c>
      <c r="W83">
        <v>0</v>
      </c>
      <c r="X83">
        <v>0</v>
      </c>
      <c r="Y83">
        <v>0</v>
      </c>
      <c r="Z83" t="s">
        <v>1778</v>
      </c>
      <c r="AA83"/>
    </row>
    <row r="84" spans="1:27" ht="15" x14ac:dyDescent="0.25">
      <c r="A84" t="s">
        <v>44</v>
      </c>
      <c r="B84" t="s">
        <v>45</v>
      </c>
      <c r="C84" t="s">
        <v>119</v>
      </c>
      <c r="D84" t="s">
        <v>424</v>
      </c>
      <c r="E84" t="s">
        <v>71</v>
      </c>
      <c r="F84" t="s">
        <v>1325</v>
      </c>
      <c r="G84" t="s">
        <v>1326</v>
      </c>
      <c r="H84" t="s">
        <v>50</v>
      </c>
      <c r="I84" s="41">
        <v>24.12</v>
      </c>
      <c r="J84" s="40">
        <f>I84*(1-IFERROR(VLOOKUP(H84,Rabat!$D$10:$E$41,2,FALSE),0))</f>
        <v>24.12</v>
      </c>
      <c r="K84">
        <v>0.05</v>
      </c>
      <c r="L84" t="s">
        <v>1779</v>
      </c>
      <c r="M84" t="s">
        <v>1863</v>
      </c>
      <c r="N84" t="s">
        <v>1775</v>
      </c>
      <c r="O84" t="s">
        <v>1776</v>
      </c>
      <c r="P84">
        <v>100</v>
      </c>
      <c r="Q84">
        <v>6000</v>
      </c>
      <c r="R84" t="s">
        <v>1777</v>
      </c>
      <c r="S84" s="42" t="str">
        <f>HYPERLINK("https://sklep.kobi.pl/produkt/led-gu10-9w-6000k-premium")</f>
        <v>https://sklep.kobi.pl/produkt/led-gu10-9w-6000k-premium</v>
      </c>
      <c r="T84" s="42" t="str">
        <f>HYPERLINK("https://eprel.ec.europa.eu/qr/794024         ")</f>
        <v xml:space="preserve">https://eprel.ec.europa.eu/qr/794024         </v>
      </c>
      <c r="U84">
        <v>5.8000000000000003E-2</v>
      </c>
      <c r="V84">
        <v>6.7000000000000004E-2</v>
      </c>
      <c r="W84">
        <v>50</v>
      </c>
      <c r="X84">
        <v>65</v>
      </c>
      <c r="Y84">
        <v>50</v>
      </c>
      <c r="Z84" t="s">
        <v>1778</v>
      </c>
      <c r="AA84"/>
    </row>
    <row r="85" spans="1:27" ht="15" x14ac:dyDescent="0.25">
      <c r="A85" t="s">
        <v>44</v>
      </c>
      <c r="B85" t="s">
        <v>45</v>
      </c>
      <c r="C85" t="s">
        <v>1139</v>
      </c>
      <c r="D85" t="s">
        <v>69</v>
      </c>
      <c r="E85" t="s">
        <v>71</v>
      </c>
      <c r="F85" t="s">
        <v>1146</v>
      </c>
      <c r="G85" t="s">
        <v>1147</v>
      </c>
      <c r="H85" t="s">
        <v>49</v>
      </c>
      <c r="I85" s="41">
        <v>55</v>
      </c>
      <c r="J85" s="40">
        <f>I85*(1-IFERROR(VLOOKUP(H85,Rabat!$D$10:$E$41,2,FALSE),0))</f>
        <v>55</v>
      </c>
      <c r="K85">
        <v>0.03</v>
      </c>
      <c r="L85" t="s">
        <v>1779</v>
      </c>
      <c r="M85" t="s">
        <v>1864</v>
      </c>
      <c r="N85" t="s">
        <v>1775</v>
      </c>
      <c r="O85" t="s">
        <v>1776</v>
      </c>
      <c r="P85">
        <v>24</v>
      </c>
      <c r="Q85">
        <v>0</v>
      </c>
      <c r="R85" t="s">
        <v>1777</v>
      </c>
      <c r="S85" s="42" t="str">
        <f>HYPERLINK("https://sklep.kobi.pl/produkt/led-j78-8w-r7s-3000k")</f>
        <v>https://sklep.kobi.pl/produkt/led-j78-8w-r7s-3000k</v>
      </c>
      <c r="T85" s="42" t="str">
        <f>HYPERLINK("https://eprel.ec.europa.eu/qr/1243613        ")</f>
        <v xml:space="preserve">https://eprel.ec.europa.eu/qr/1243613        </v>
      </c>
      <c r="U85">
        <v>0.04</v>
      </c>
      <c r="V85">
        <v>0</v>
      </c>
      <c r="W85">
        <v>0</v>
      </c>
      <c r="X85">
        <v>0</v>
      </c>
      <c r="Y85">
        <v>0</v>
      </c>
      <c r="Z85" t="s">
        <v>1778</v>
      </c>
      <c r="AA85"/>
    </row>
    <row r="86" spans="1:27" ht="15" x14ac:dyDescent="0.25">
      <c r="A86" t="s">
        <v>44</v>
      </c>
      <c r="B86" t="s">
        <v>45</v>
      </c>
      <c r="C86" t="s">
        <v>1139</v>
      </c>
      <c r="D86" t="s">
        <v>69</v>
      </c>
      <c r="E86" t="s">
        <v>71</v>
      </c>
      <c r="F86" t="s">
        <v>1140</v>
      </c>
      <c r="G86" t="s">
        <v>1141</v>
      </c>
      <c r="H86" t="s">
        <v>49</v>
      </c>
      <c r="I86" s="41">
        <v>55</v>
      </c>
      <c r="J86" s="40">
        <f>I86*(1-IFERROR(VLOOKUP(H86,Rabat!$D$10:$E$41,2,FALSE),0))</f>
        <v>55</v>
      </c>
      <c r="K86">
        <v>0.03</v>
      </c>
      <c r="L86" t="s">
        <v>1779</v>
      </c>
      <c r="M86" t="s">
        <v>1865</v>
      </c>
      <c r="N86" t="s">
        <v>1775</v>
      </c>
      <c r="O86" t="s">
        <v>1776</v>
      </c>
      <c r="P86">
        <v>24</v>
      </c>
      <c r="Q86">
        <v>0</v>
      </c>
      <c r="R86" t="s">
        <v>1777</v>
      </c>
      <c r="S86" s="42" t="str">
        <f>HYPERLINK("https://sklep.kobi.pl/produkt/led-j78-8w-r7s-4000k")</f>
        <v>https://sklep.kobi.pl/produkt/led-j78-8w-r7s-4000k</v>
      </c>
      <c r="T86" s="42" t="str">
        <f>HYPERLINK("https://eprel.ec.europa.eu/qr/1243615        ")</f>
        <v xml:space="preserve">https://eprel.ec.europa.eu/qr/1243615        </v>
      </c>
      <c r="U86">
        <v>0.04</v>
      </c>
      <c r="V86">
        <v>0</v>
      </c>
      <c r="W86">
        <v>0</v>
      </c>
      <c r="X86">
        <v>0</v>
      </c>
      <c r="Y86">
        <v>0</v>
      </c>
      <c r="Z86" t="s">
        <v>1778</v>
      </c>
      <c r="AA86"/>
    </row>
    <row r="87" spans="1:27" ht="15" x14ac:dyDescent="0.25">
      <c r="A87" t="s">
        <v>44</v>
      </c>
      <c r="B87" t="s">
        <v>45</v>
      </c>
      <c r="C87" t="s">
        <v>1148</v>
      </c>
      <c r="D87" t="s">
        <v>69</v>
      </c>
      <c r="E87" t="s">
        <v>71</v>
      </c>
      <c r="F87" t="s">
        <v>1149</v>
      </c>
      <c r="G87" t="s">
        <v>1150</v>
      </c>
      <c r="H87" t="s">
        <v>49</v>
      </c>
      <c r="I87" s="41">
        <v>65</v>
      </c>
      <c r="J87" s="40">
        <f>I87*(1-IFERROR(VLOOKUP(H87,Rabat!$D$10:$E$41,2,FALSE),0))</f>
        <v>65</v>
      </c>
      <c r="K87">
        <v>0.05</v>
      </c>
      <c r="L87" t="s">
        <v>1779</v>
      </c>
      <c r="M87" t="s">
        <v>1866</v>
      </c>
      <c r="N87" t="s">
        <v>1775</v>
      </c>
      <c r="O87" t="s">
        <v>1776</v>
      </c>
      <c r="P87">
        <v>24</v>
      </c>
      <c r="Q87">
        <v>0</v>
      </c>
      <c r="R87" t="s">
        <v>1777</v>
      </c>
      <c r="S87" s="42" t="str">
        <f>HYPERLINK("https://sklep.kobi.pl/produkt/led-j118-15w-r7s-3000k")</f>
        <v>https://sklep.kobi.pl/produkt/led-j118-15w-r7s-3000k</v>
      </c>
      <c r="T87" s="42" t="str">
        <f>HYPERLINK("https://eprel.ec.europa.eu/qr/1243616        ")</f>
        <v xml:space="preserve">https://eprel.ec.europa.eu/qr/1243616        </v>
      </c>
      <c r="U87">
        <v>0.06</v>
      </c>
      <c r="V87">
        <v>0</v>
      </c>
      <c r="W87">
        <v>0</v>
      </c>
      <c r="X87">
        <v>0</v>
      </c>
      <c r="Y87">
        <v>0</v>
      </c>
      <c r="Z87" t="s">
        <v>1778</v>
      </c>
      <c r="AA87"/>
    </row>
    <row r="88" spans="1:27" ht="15" x14ac:dyDescent="0.25">
      <c r="A88" t="s">
        <v>44</v>
      </c>
      <c r="B88" t="s">
        <v>45</v>
      </c>
      <c r="C88" t="s">
        <v>1148</v>
      </c>
      <c r="D88" t="s">
        <v>69</v>
      </c>
      <c r="E88" t="s">
        <v>71</v>
      </c>
      <c r="F88" t="s">
        <v>1151</v>
      </c>
      <c r="G88" t="s">
        <v>1152</v>
      </c>
      <c r="H88" t="s">
        <v>49</v>
      </c>
      <c r="I88" s="41">
        <v>65</v>
      </c>
      <c r="J88" s="40">
        <f>I88*(1-IFERROR(VLOOKUP(H88,Rabat!$D$10:$E$41,2,FALSE),0))</f>
        <v>65</v>
      </c>
      <c r="K88">
        <v>0.05</v>
      </c>
      <c r="L88" t="s">
        <v>1779</v>
      </c>
      <c r="M88" t="s">
        <v>1867</v>
      </c>
      <c r="N88" t="s">
        <v>1775</v>
      </c>
      <c r="O88" t="s">
        <v>1776</v>
      </c>
      <c r="P88">
        <v>24</v>
      </c>
      <c r="Q88">
        <v>0</v>
      </c>
      <c r="R88" t="s">
        <v>1777</v>
      </c>
      <c r="S88" s="42" t="str">
        <f>HYPERLINK("https://sklep.kobi.pl/produkt/led-j118-15w-r7s-4000k")</f>
        <v>https://sklep.kobi.pl/produkt/led-j118-15w-r7s-4000k</v>
      </c>
      <c r="T88" s="42" t="str">
        <f>HYPERLINK("https://eprel.ec.europa.eu/qr/1243618        ")</f>
        <v xml:space="preserve">https://eprel.ec.europa.eu/qr/1243618        </v>
      </c>
      <c r="U88">
        <v>0.06</v>
      </c>
      <c r="V88">
        <v>0</v>
      </c>
      <c r="W88">
        <v>0</v>
      </c>
      <c r="X88">
        <v>0</v>
      </c>
      <c r="Y88">
        <v>0</v>
      </c>
      <c r="Z88" t="s">
        <v>1778</v>
      </c>
      <c r="AA88"/>
    </row>
    <row r="89" spans="1:27" ht="15" x14ac:dyDescent="0.25">
      <c r="A89" t="s">
        <v>44</v>
      </c>
      <c r="B89" t="s">
        <v>45</v>
      </c>
      <c r="C89" t="s">
        <v>128</v>
      </c>
      <c r="D89" t="s">
        <v>69</v>
      </c>
      <c r="E89" t="s">
        <v>71</v>
      </c>
      <c r="F89" t="s">
        <v>267</v>
      </c>
      <c r="G89" t="s">
        <v>268</v>
      </c>
      <c r="H89" t="s">
        <v>49</v>
      </c>
      <c r="I89" s="41">
        <v>9.33</v>
      </c>
      <c r="J89" s="40">
        <f>I89*(1-IFERROR(VLOOKUP(H89,Rabat!$D$10:$E$41,2,FALSE),0))</f>
        <v>9.33</v>
      </c>
      <c r="K89">
        <v>0.01</v>
      </c>
      <c r="L89" t="s">
        <v>1773</v>
      </c>
      <c r="M89" t="s">
        <v>1868</v>
      </c>
      <c r="N89" t="s">
        <v>1775</v>
      </c>
      <c r="O89" t="s">
        <v>1776</v>
      </c>
      <c r="P89">
        <v>100</v>
      </c>
      <c r="Q89">
        <v>4800</v>
      </c>
      <c r="R89" t="s">
        <v>1777</v>
      </c>
      <c r="S89" s="42" t="str">
        <f>HYPERLINK("https://sklep.kobi.pl/produkt/led-mb-45w-e14-3000k-cb")</f>
        <v>https://sklep.kobi.pl/produkt/led-mb-45w-e14-3000k-cb</v>
      </c>
      <c r="T89" s="42" t="str">
        <f>HYPERLINK("https://eprel.ec.europa.eu/qr/660644         ")</f>
        <v xml:space="preserve">https://eprel.ec.europa.eu/qr/660644         </v>
      </c>
      <c r="U89">
        <v>1.7000000000000001E-2</v>
      </c>
      <c r="V89">
        <v>2.5000000000000001E-2</v>
      </c>
      <c r="W89">
        <v>46</v>
      </c>
      <c r="X89">
        <v>46</v>
      </c>
      <c r="Y89">
        <v>86</v>
      </c>
      <c r="Z89" t="s">
        <v>1778</v>
      </c>
      <c r="AA89"/>
    </row>
    <row r="90" spans="1:27" ht="15" x14ac:dyDescent="0.25">
      <c r="A90" t="s">
        <v>44</v>
      </c>
      <c r="B90" t="s">
        <v>45</v>
      </c>
      <c r="C90" t="s">
        <v>128</v>
      </c>
      <c r="D90" t="s">
        <v>69</v>
      </c>
      <c r="E90" t="s">
        <v>71</v>
      </c>
      <c r="F90" t="s">
        <v>540</v>
      </c>
      <c r="G90" t="s">
        <v>541</v>
      </c>
      <c r="H90" t="s">
        <v>49</v>
      </c>
      <c r="I90" s="41">
        <v>9.33</v>
      </c>
      <c r="J90" s="40">
        <f>I90*(1-IFERROR(VLOOKUP(H90,Rabat!$D$10:$E$41,2,FALSE),0))</f>
        <v>9.33</v>
      </c>
      <c r="K90">
        <v>0.01</v>
      </c>
      <c r="L90" t="s">
        <v>1773</v>
      </c>
      <c r="M90" t="s">
        <v>1869</v>
      </c>
      <c r="N90" t="s">
        <v>1775</v>
      </c>
      <c r="O90" t="s">
        <v>1776</v>
      </c>
      <c r="P90">
        <v>100</v>
      </c>
      <c r="Q90">
        <v>4800</v>
      </c>
      <c r="R90" t="s">
        <v>1777</v>
      </c>
      <c r="S90" s="42" t="str">
        <f>HYPERLINK("https://sklep.kobi.pl/produkt/led-mb-45w-e14-4000k")</f>
        <v>https://sklep.kobi.pl/produkt/led-mb-45w-e14-4000k</v>
      </c>
      <c r="T90" s="42" t="str">
        <f>HYPERLINK("https://eprel.ec.europa.eu/qr/660645         ")</f>
        <v xml:space="preserve">https://eprel.ec.europa.eu/qr/660645         </v>
      </c>
      <c r="U90">
        <v>1.7000000000000001E-2</v>
      </c>
      <c r="V90">
        <v>2.5000000000000001E-2</v>
      </c>
      <c r="W90">
        <v>45</v>
      </c>
      <c r="X90">
        <v>65</v>
      </c>
      <c r="Y90">
        <v>35</v>
      </c>
      <c r="Z90" t="s">
        <v>1778</v>
      </c>
      <c r="AA90"/>
    </row>
    <row r="91" spans="1:27" ht="15" x14ac:dyDescent="0.25">
      <c r="A91" t="s">
        <v>44</v>
      </c>
      <c r="B91" t="s">
        <v>45</v>
      </c>
      <c r="C91" t="s">
        <v>128</v>
      </c>
      <c r="D91" t="s">
        <v>69</v>
      </c>
      <c r="E91" t="s">
        <v>71</v>
      </c>
      <c r="F91" t="s">
        <v>305</v>
      </c>
      <c r="G91" t="s">
        <v>306</v>
      </c>
      <c r="H91" t="s">
        <v>49</v>
      </c>
      <c r="I91" s="41">
        <v>9.33</v>
      </c>
      <c r="J91" s="40">
        <f>I91*(1-IFERROR(VLOOKUP(H91,Rabat!$D$10:$E$41,2,FALSE),0))</f>
        <v>9.33</v>
      </c>
      <c r="K91">
        <v>0.01</v>
      </c>
      <c r="L91" t="s">
        <v>1773</v>
      </c>
      <c r="M91" t="s">
        <v>1870</v>
      </c>
      <c r="N91" t="s">
        <v>1775</v>
      </c>
      <c r="O91" t="s">
        <v>1776</v>
      </c>
      <c r="P91">
        <v>100</v>
      </c>
      <c r="Q91">
        <v>4800</v>
      </c>
      <c r="R91" t="s">
        <v>1777</v>
      </c>
      <c r="S91" s="42" t="str">
        <f>HYPERLINK("https://sklep.kobi.pl/produkt/led-mb-45w-e14-6000k-zb")</f>
        <v>https://sklep.kobi.pl/produkt/led-mb-45w-e14-6000k-zb</v>
      </c>
      <c r="T91" s="42" t="str">
        <f>HYPERLINK("https://eprel.ec.europa.eu/qr/660647         ")</f>
        <v xml:space="preserve">https://eprel.ec.europa.eu/qr/660647         </v>
      </c>
      <c r="U91">
        <v>1.7000000000000001E-2</v>
      </c>
      <c r="V91">
        <v>2.5000000000000001E-2</v>
      </c>
      <c r="W91">
        <v>46</v>
      </c>
      <c r="X91">
        <v>46</v>
      </c>
      <c r="Y91">
        <v>86</v>
      </c>
      <c r="Z91" t="s">
        <v>1778</v>
      </c>
      <c r="AA91"/>
    </row>
    <row r="92" spans="1:27" ht="15" x14ac:dyDescent="0.25">
      <c r="A92" t="s">
        <v>44</v>
      </c>
      <c r="B92" t="s">
        <v>45</v>
      </c>
      <c r="C92" t="s">
        <v>128</v>
      </c>
      <c r="D92" t="s">
        <v>69</v>
      </c>
      <c r="E92" t="s">
        <v>71</v>
      </c>
      <c r="F92" t="s">
        <v>271</v>
      </c>
      <c r="G92" t="s">
        <v>272</v>
      </c>
      <c r="H92" t="s">
        <v>49</v>
      </c>
      <c r="I92" s="41">
        <v>10.02</v>
      </c>
      <c r="J92" s="40">
        <f>I92*(1-IFERROR(VLOOKUP(H92,Rabat!$D$10:$E$41,2,FALSE),0))</f>
        <v>10.02</v>
      </c>
      <c r="K92">
        <v>0.01</v>
      </c>
      <c r="L92" t="s">
        <v>1818</v>
      </c>
      <c r="M92" t="s">
        <v>1871</v>
      </c>
      <c r="N92" t="s">
        <v>1775</v>
      </c>
      <c r="O92" t="s">
        <v>1776</v>
      </c>
      <c r="P92">
        <v>100</v>
      </c>
      <c r="Q92">
        <v>4800</v>
      </c>
      <c r="R92" t="s">
        <v>1777</v>
      </c>
      <c r="S92" s="42" t="str">
        <f>HYPERLINK("https://sklep.kobi.pl/produkt/led-mb-6w-e14-3000k-cb")</f>
        <v>https://sklep.kobi.pl/produkt/led-mb-6w-e14-3000k-cb</v>
      </c>
      <c r="T92" s="42" t="str">
        <f>HYPERLINK("https://eprel.ec.europa.eu/qr/660651         ")</f>
        <v xml:space="preserve">https://eprel.ec.europa.eu/qr/660651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  <c r="Z92" t="s">
        <v>1778</v>
      </c>
      <c r="AA92"/>
    </row>
    <row r="93" spans="1:27" ht="15" x14ac:dyDescent="0.25">
      <c r="A93" t="s">
        <v>44</v>
      </c>
      <c r="B93" t="s">
        <v>45</v>
      </c>
      <c r="C93" t="s">
        <v>128</v>
      </c>
      <c r="D93" t="s">
        <v>69</v>
      </c>
      <c r="E93" t="s">
        <v>71</v>
      </c>
      <c r="F93" t="s">
        <v>324</v>
      </c>
      <c r="G93" t="s">
        <v>325</v>
      </c>
      <c r="H93" t="s">
        <v>49</v>
      </c>
      <c r="I93" s="41">
        <v>10.02</v>
      </c>
      <c r="J93" s="40">
        <f>I93*(1-IFERROR(VLOOKUP(H93,Rabat!$D$10:$E$41,2,FALSE),0))</f>
        <v>10.02</v>
      </c>
      <c r="K93">
        <v>0.01</v>
      </c>
      <c r="L93" t="s">
        <v>1818</v>
      </c>
      <c r="M93" t="s">
        <v>1872</v>
      </c>
      <c r="N93" t="s">
        <v>1775</v>
      </c>
      <c r="O93" t="s">
        <v>1776</v>
      </c>
      <c r="P93">
        <v>100</v>
      </c>
      <c r="Q93">
        <v>4800</v>
      </c>
      <c r="R93" t="s">
        <v>1777</v>
      </c>
      <c r="S93" s="42" t="str">
        <f>HYPERLINK("https://sklep.kobi.pl/produkt/led-mb-6w-e14-4000k-nb")</f>
        <v>https://sklep.kobi.pl/produkt/led-mb-6w-e14-4000k-nb</v>
      </c>
      <c r="T93" s="42" t="str">
        <f>HYPERLINK("https://eprel.ec.europa.eu/qr/660653         ")</f>
        <v xml:space="preserve">https://eprel.ec.europa.eu/qr/660653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  <c r="Z93" t="s">
        <v>1778</v>
      </c>
      <c r="AA93"/>
    </row>
    <row r="94" spans="1:27" ht="15" x14ac:dyDescent="0.25">
      <c r="A94" t="s">
        <v>44</v>
      </c>
      <c r="B94" t="s">
        <v>45</v>
      </c>
      <c r="C94" t="s">
        <v>128</v>
      </c>
      <c r="D94" t="s">
        <v>69</v>
      </c>
      <c r="E94" t="s">
        <v>71</v>
      </c>
      <c r="F94" t="s">
        <v>129</v>
      </c>
      <c r="G94" t="s">
        <v>130</v>
      </c>
      <c r="H94" t="s">
        <v>49</v>
      </c>
      <c r="I94" s="41">
        <v>10.02</v>
      </c>
      <c r="J94" s="40">
        <f>I94*(1-IFERROR(VLOOKUP(H94,Rabat!$D$10:$E$41,2,FALSE),0))</f>
        <v>10.02</v>
      </c>
      <c r="K94">
        <v>0.01</v>
      </c>
      <c r="L94" t="s">
        <v>1818</v>
      </c>
      <c r="M94" t="s">
        <v>1873</v>
      </c>
      <c r="N94" t="s">
        <v>1775</v>
      </c>
      <c r="O94" t="s">
        <v>1776</v>
      </c>
      <c r="P94">
        <v>100</v>
      </c>
      <c r="Q94">
        <v>4800</v>
      </c>
      <c r="R94" t="s">
        <v>1777</v>
      </c>
      <c r="S94" s="42" t="str">
        <f>HYPERLINK("https://sklep.kobi.pl/produkt/led-mb-6w-e14-6000k-zb")</f>
        <v>https://sklep.kobi.pl/produkt/led-mb-6w-e14-6000k-zb</v>
      </c>
      <c r="T94" s="42" t="str">
        <f>HYPERLINK("https://eprel.ec.europa.eu/qr/660654         ")</f>
        <v xml:space="preserve">https://eprel.ec.europa.eu/qr/660654         </v>
      </c>
      <c r="U94">
        <v>1.4999999999999999E-2</v>
      </c>
      <c r="V94">
        <v>2.7E-2</v>
      </c>
      <c r="W94">
        <v>46</v>
      </c>
      <c r="X94">
        <v>46</v>
      </c>
      <c r="Y94">
        <v>85</v>
      </c>
      <c r="Z94" t="s">
        <v>1778</v>
      </c>
      <c r="AA94"/>
    </row>
    <row r="95" spans="1:27" ht="15" x14ac:dyDescent="0.25">
      <c r="A95" t="s">
        <v>44</v>
      </c>
      <c r="B95" t="s">
        <v>45</v>
      </c>
      <c r="C95" t="s">
        <v>128</v>
      </c>
      <c r="D95" t="s">
        <v>667</v>
      </c>
      <c r="E95" t="s">
        <v>71</v>
      </c>
      <c r="F95" t="s">
        <v>698</v>
      </c>
      <c r="G95" t="s">
        <v>699</v>
      </c>
      <c r="H95" t="s">
        <v>49</v>
      </c>
      <c r="I95" s="41">
        <v>8</v>
      </c>
      <c r="J95" s="40">
        <f>I95*(1-IFERROR(VLOOKUP(H95,Rabat!$D$10:$E$41,2,FALSE),0))</f>
        <v>8</v>
      </c>
      <c r="K95">
        <v>0.01</v>
      </c>
      <c r="L95" t="s">
        <v>1773</v>
      </c>
      <c r="M95" t="s">
        <v>1874</v>
      </c>
      <c r="N95" t="s">
        <v>1775</v>
      </c>
      <c r="O95" t="s">
        <v>1776</v>
      </c>
      <c r="P95">
        <v>100</v>
      </c>
      <c r="Q95">
        <v>5600</v>
      </c>
      <c r="R95" t="s">
        <v>1777</v>
      </c>
      <c r="S95" s="42" t="str">
        <f>HYPERLINK("https://sklep.kobi.pl/produkt/led-mb-7w-e14-3000k-led2b")</f>
        <v>https://sklep.kobi.pl/produkt/led-mb-7w-e14-3000k-led2b</v>
      </c>
      <c r="T95" s="42" t="str">
        <f>HYPERLINK("https://eprel.ec.europa.eu/qr/660300         ")</f>
        <v xml:space="preserve">https://eprel.ec.europa.eu/qr/660300         </v>
      </c>
      <c r="U95">
        <v>1.4999999999999999E-2</v>
      </c>
      <c r="V95">
        <v>2.5000000000000001E-2</v>
      </c>
      <c r="W95">
        <v>50</v>
      </c>
      <c r="X95">
        <v>65</v>
      </c>
      <c r="Y95">
        <v>45</v>
      </c>
      <c r="Z95" t="s">
        <v>1778</v>
      </c>
      <c r="AA95"/>
    </row>
    <row r="96" spans="1:27" ht="15" x14ac:dyDescent="0.25">
      <c r="A96" t="s">
        <v>44</v>
      </c>
      <c r="B96" t="s">
        <v>45</v>
      </c>
      <c r="C96" t="s">
        <v>128</v>
      </c>
      <c r="D96" t="s">
        <v>667</v>
      </c>
      <c r="E96" t="s">
        <v>71</v>
      </c>
      <c r="F96" t="s">
        <v>700</v>
      </c>
      <c r="G96" t="s">
        <v>701</v>
      </c>
      <c r="H96" t="s">
        <v>49</v>
      </c>
      <c r="I96" s="41">
        <v>8</v>
      </c>
      <c r="J96" s="40">
        <f>I96*(1-IFERROR(VLOOKUP(H96,Rabat!$D$10:$E$41,2,FALSE),0))</f>
        <v>8</v>
      </c>
      <c r="K96">
        <v>0.01</v>
      </c>
      <c r="L96" t="s">
        <v>1773</v>
      </c>
      <c r="M96" t="s">
        <v>1875</v>
      </c>
      <c r="N96" t="s">
        <v>1775</v>
      </c>
      <c r="O96" t="s">
        <v>1776</v>
      </c>
      <c r="P96">
        <v>100</v>
      </c>
      <c r="Q96">
        <v>5600</v>
      </c>
      <c r="R96" t="s">
        <v>1777</v>
      </c>
      <c r="S96" s="42" t="str">
        <f>HYPERLINK("https://sklep.kobi.pl/produkt/led-mb-7w-e14-4000k-led2b")</f>
        <v>https://sklep.kobi.pl/produkt/led-mb-7w-e14-4000k-led2b</v>
      </c>
      <c r="T96" s="42" t="str">
        <f>HYPERLINK("https://eprel.ec.europa.eu/qr/660301         ")</f>
        <v xml:space="preserve">https://eprel.ec.europa.eu/qr/660301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  <c r="Z96" t="s">
        <v>1778</v>
      </c>
      <c r="AA96"/>
    </row>
    <row r="97" spans="1:27" ht="15" x14ac:dyDescent="0.25">
      <c r="A97" t="s">
        <v>44</v>
      </c>
      <c r="B97" t="s">
        <v>45</v>
      </c>
      <c r="C97" t="s">
        <v>128</v>
      </c>
      <c r="D97" t="s">
        <v>667</v>
      </c>
      <c r="E97" t="s">
        <v>71</v>
      </c>
      <c r="F97" t="s">
        <v>843</v>
      </c>
      <c r="G97" t="s">
        <v>844</v>
      </c>
      <c r="H97" t="s">
        <v>49</v>
      </c>
      <c r="I97" s="41">
        <v>8</v>
      </c>
      <c r="J97" s="40">
        <f>I97*(1-IFERROR(VLOOKUP(H97,Rabat!$D$10:$E$41,2,FALSE),0))</f>
        <v>8</v>
      </c>
      <c r="K97">
        <v>0.01</v>
      </c>
      <c r="L97" t="s">
        <v>1773</v>
      </c>
      <c r="M97" t="s">
        <v>1876</v>
      </c>
      <c r="N97" t="s">
        <v>1775</v>
      </c>
      <c r="O97" t="s">
        <v>1776</v>
      </c>
      <c r="P97">
        <v>100</v>
      </c>
      <c r="Q97">
        <v>5600</v>
      </c>
      <c r="R97" t="s">
        <v>1777</v>
      </c>
      <c r="S97" s="42" t="str">
        <f>HYPERLINK("https://sklep.kobi.pl/produkt/led-mb-7w-e14-6000k-led2b")</f>
        <v>https://sklep.kobi.pl/produkt/led-mb-7w-e14-6000k-led2b</v>
      </c>
      <c r="T97" s="42" t="str">
        <f>HYPERLINK("https://eprel.ec.europa.eu/qr/660302         ")</f>
        <v xml:space="preserve">https://eprel.ec.europa.eu/qr/660302         </v>
      </c>
      <c r="U97">
        <v>1.4999999999999999E-2</v>
      </c>
      <c r="V97">
        <v>2.5000000000000001E-2</v>
      </c>
      <c r="W97">
        <v>45</v>
      </c>
      <c r="X97">
        <v>65</v>
      </c>
      <c r="Y97">
        <v>45</v>
      </c>
      <c r="Z97" t="s">
        <v>1778</v>
      </c>
      <c r="AA97"/>
    </row>
    <row r="98" spans="1:27" ht="15" x14ac:dyDescent="0.25">
      <c r="A98" t="s">
        <v>44</v>
      </c>
      <c r="B98" t="s">
        <v>45</v>
      </c>
      <c r="C98" t="s">
        <v>128</v>
      </c>
      <c r="D98" t="s">
        <v>424</v>
      </c>
      <c r="E98" t="s">
        <v>71</v>
      </c>
      <c r="F98" t="s">
        <v>447</v>
      </c>
      <c r="G98" t="s">
        <v>448</v>
      </c>
      <c r="H98" t="s">
        <v>49</v>
      </c>
      <c r="I98" s="41">
        <v>21.2</v>
      </c>
      <c r="J98" s="40">
        <f>I98*(1-IFERROR(VLOOKUP(H98,Rabat!$D$10:$E$41,2,FALSE),0))</f>
        <v>21.2</v>
      </c>
      <c r="K98">
        <v>0.04</v>
      </c>
      <c r="L98" t="s">
        <v>1773</v>
      </c>
      <c r="M98" t="s">
        <v>1877</v>
      </c>
      <c r="N98" t="s">
        <v>1775</v>
      </c>
      <c r="O98" t="s">
        <v>1776</v>
      </c>
      <c r="P98">
        <v>100</v>
      </c>
      <c r="Q98">
        <v>4200</v>
      </c>
      <c r="R98" t="s">
        <v>1777</v>
      </c>
      <c r="S98" s="42" t="str">
        <f>HYPERLINK("https://sklep.kobi.pl/produkt/led-mb-9w-e14-3000k-cb-premium")</f>
        <v>https://sklep.kobi.pl/produkt/led-mb-9w-e14-3000k-cb-premium</v>
      </c>
      <c r="T98" s="42" t="str">
        <f>HYPERLINK("https://eprel.ec.europa.eu/qr/660660         ")</f>
        <v xml:space="preserve">https://eprel.ec.europa.eu/qr/660660         </v>
      </c>
      <c r="U98">
        <v>4.3999999999999997E-2</v>
      </c>
      <c r="V98">
        <v>6.5000000000000002E-2</v>
      </c>
      <c r="W98">
        <v>50</v>
      </c>
      <c r="X98">
        <v>50</v>
      </c>
      <c r="Y98">
        <v>105</v>
      </c>
      <c r="Z98" t="s">
        <v>1778</v>
      </c>
      <c r="AA98"/>
    </row>
    <row r="99" spans="1:27" ht="15" x14ac:dyDescent="0.25">
      <c r="A99" t="s">
        <v>44</v>
      </c>
      <c r="B99" t="s">
        <v>45</v>
      </c>
      <c r="C99" t="s">
        <v>128</v>
      </c>
      <c r="D99" t="s">
        <v>424</v>
      </c>
      <c r="E99" t="s">
        <v>71</v>
      </c>
      <c r="F99" t="s">
        <v>445</v>
      </c>
      <c r="G99" t="s">
        <v>446</v>
      </c>
      <c r="H99" t="s">
        <v>49</v>
      </c>
      <c r="I99" s="41">
        <v>21.2</v>
      </c>
      <c r="J99" s="40">
        <f>I99*(1-IFERROR(VLOOKUP(H99,Rabat!$D$10:$E$41,2,FALSE),0))</f>
        <v>21.2</v>
      </c>
      <c r="K99">
        <v>0.04</v>
      </c>
      <c r="L99" t="s">
        <v>1773</v>
      </c>
      <c r="M99" t="s">
        <v>1878</v>
      </c>
      <c r="N99" t="s">
        <v>1775</v>
      </c>
      <c r="O99" t="s">
        <v>1776</v>
      </c>
      <c r="P99">
        <v>100</v>
      </c>
      <c r="Q99">
        <v>4200</v>
      </c>
      <c r="R99" t="s">
        <v>1777</v>
      </c>
      <c r="S99" s="42" t="str">
        <f>HYPERLINK("https://sklep.kobi.pl/produkt/led-mb-9w-e14-4000k-nb-premium")</f>
        <v>https://sklep.kobi.pl/produkt/led-mb-9w-e14-4000k-nb-premium</v>
      </c>
      <c r="T99" s="42" t="str">
        <f>HYPERLINK("https://eprel.ec.europa.eu/qr/660661         ")</f>
        <v xml:space="preserve">https://eprel.ec.europa.eu/qr/660661         </v>
      </c>
      <c r="U99">
        <v>4.3999999999999997E-2</v>
      </c>
      <c r="V99">
        <v>6.5000000000000002E-2</v>
      </c>
      <c r="W99">
        <v>50</v>
      </c>
      <c r="X99">
        <v>50</v>
      </c>
      <c r="Y99">
        <v>105</v>
      </c>
      <c r="Z99" t="s">
        <v>1778</v>
      </c>
      <c r="AA99"/>
    </row>
    <row r="100" spans="1:27" ht="15" x14ac:dyDescent="0.25">
      <c r="A100" t="s">
        <v>44</v>
      </c>
      <c r="B100" t="s">
        <v>45</v>
      </c>
      <c r="C100" t="s">
        <v>128</v>
      </c>
      <c r="D100" t="s">
        <v>424</v>
      </c>
      <c r="E100" t="s">
        <v>71</v>
      </c>
      <c r="F100" t="s">
        <v>509</v>
      </c>
      <c r="G100" t="s">
        <v>510</v>
      </c>
      <c r="H100" t="s">
        <v>49</v>
      </c>
      <c r="I100" s="41">
        <v>21.2</v>
      </c>
      <c r="J100" s="40">
        <f>I100*(1-IFERROR(VLOOKUP(H100,Rabat!$D$10:$E$41,2,FALSE),0))</f>
        <v>21.2</v>
      </c>
      <c r="K100">
        <v>0.04</v>
      </c>
      <c r="L100" t="s">
        <v>1773</v>
      </c>
      <c r="M100" t="s">
        <v>1879</v>
      </c>
      <c r="N100" t="s">
        <v>1775</v>
      </c>
      <c r="O100" t="s">
        <v>1776</v>
      </c>
      <c r="P100">
        <v>100</v>
      </c>
      <c r="Q100">
        <v>4200</v>
      </c>
      <c r="R100" t="s">
        <v>1777</v>
      </c>
      <c r="S100" s="42" t="str">
        <f>HYPERLINK("https://sklep.kobi.pl/produkt/led-mb-9w-e14-6000k-zb-premium")</f>
        <v>https://sklep.kobi.pl/produkt/led-mb-9w-e14-6000k-zb-premium</v>
      </c>
      <c r="T100" s="42" t="str">
        <f>HYPERLINK("https://eprel.ec.europa.eu/qr/660663         ")</f>
        <v xml:space="preserve">https://eprel.ec.europa.eu/qr/660663         </v>
      </c>
      <c r="U100">
        <v>4.3999999999999997E-2</v>
      </c>
      <c r="V100">
        <v>6.5000000000000002E-2</v>
      </c>
      <c r="W100">
        <v>50</v>
      </c>
      <c r="X100">
        <v>125</v>
      </c>
      <c r="Y100">
        <v>45</v>
      </c>
      <c r="Z100" t="s">
        <v>1778</v>
      </c>
      <c r="AA100"/>
    </row>
    <row r="101" spans="1:27" ht="15" x14ac:dyDescent="0.25">
      <c r="A101" t="s">
        <v>44</v>
      </c>
      <c r="B101" t="s">
        <v>45</v>
      </c>
      <c r="C101" t="s">
        <v>131</v>
      </c>
      <c r="D101" t="s">
        <v>69</v>
      </c>
      <c r="E101" t="s">
        <v>71</v>
      </c>
      <c r="F101" t="s">
        <v>269</v>
      </c>
      <c r="G101" t="s">
        <v>270</v>
      </c>
      <c r="H101" t="s">
        <v>49</v>
      </c>
      <c r="I101" s="41">
        <v>9.33</v>
      </c>
      <c r="J101" s="40">
        <f>I101*(1-IFERROR(VLOOKUP(H101,Rabat!$D$10:$E$41,2,FALSE),0))</f>
        <v>9.33</v>
      </c>
      <c r="K101">
        <v>0.02</v>
      </c>
      <c r="L101" t="s">
        <v>1773</v>
      </c>
      <c r="M101" t="s">
        <v>1880</v>
      </c>
      <c r="N101" t="s">
        <v>1775</v>
      </c>
      <c r="O101" t="s">
        <v>1776</v>
      </c>
      <c r="P101">
        <v>100</v>
      </c>
      <c r="Q101">
        <v>4800</v>
      </c>
      <c r="R101" t="s">
        <v>1777</v>
      </c>
      <c r="S101" s="42" t="str">
        <f>HYPERLINK("https://sklep.kobi.pl/produkt/led-mb-45w-e27-3000k-cb")</f>
        <v>https://sklep.kobi.pl/produkt/led-mb-45w-e27-3000k-cb</v>
      </c>
      <c r="T101" s="42" t="str">
        <f>HYPERLINK("https://eprel.ec.europa.eu/qr/660665         ")</f>
        <v xml:space="preserve">https://eprel.ec.europa.eu/qr/660665         </v>
      </c>
      <c r="U101">
        <v>1.7999999999999999E-2</v>
      </c>
      <c r="V101">
        <v>2.7E-2</v>
      </c>
      <c r="W101">
        <v>48</v>
      </c>
      <c r="X101">
        <v>49</v>
      </c>
      <c r="Y101">
        <v>87</v>
      </c>
      <c r="Z101" t="s">
        <v>1778</v>
      </c>
      <c r="AA101"/>
    </row>
    <row r="102" spans="1:27" ht="15" x14ac:dyDescent="0.25">
      <c r="A102" t="s">
        <v>44</v>
      </c>
      <c r="B102" t="s">
        <v>45</v>
      </c>
      <c r="C102" t="s">
        <v>131</v>
      </c>
      <c r="D102" t="s">
        <v>69</v>
      </c>
      <c r="E102" t="s">
        <v>71</v>
      </c>
      <c r="F102" t="s">
        <v>829</v>
      </c>
      <c r="G102" t="s">
        <v>830</v>
      </c>
      <c r="H102" t="s">
        <v>49</v>
      </c>
      <c r="I102" s="41">
        <v>9.33</v>
      </c>
      <c r="J102" s="40">
        <f>I102*(1-IFERROR(VLOOKUP(H102,Rabat!$D$10:$E$41,2,FALSE),0))</f>
        <v>9.33</v>
      </c>
      <c r="K102">
        <v>0.02</v>
      </c>
      <c r="L102" t="s">
        <v>1773</v>
      </c>
      <c r="M102" t="s">
        <v>1881</v>
      </c>
      <c r="N102" t="s">
        <v>1775</v>
      </c>
      <c r="O102" t="s">
        <v>1776</v>
      </c>
      <c r="P102">
        <v>100</v>
      </c>
      <c r="Q102">
        <v>4800</v>
      </c>
      <c r="R102" t="s">
        <v>1777</v>
      </c>
      <c r="S102" s="42" t="str">
        <f>HYPERLINK("https://sklep.kobi.pl/produkt/led-mb-45w-e27-4000k")</f>
        <v>https://sklep.kobi.pl/produkt/led-mb-45w-e27-4000k</v>
      </c>
      <c r="T102" s="42" t="str">
        <f>HYPERLINK("https://eprel.ec.europa.eu/qr/660667         ")</f>
        <v xml:space="preserve">https://eprel.ec.europa.eu/qr/660667         </v>
      </c>
      <c r="U102">
        <v>1.7999999999999999E-2</v>
      </c>
      <c r="V102">
        <v>2.7E-2</v>
      </c>
      <c r="W102">
        <v>45</v>
      </c>
      <c r="X102">
        <v>65</v>
      </c>
      <c r="Y102">
        <v>45</v>
      </c>
      <c r="Z102" t="s">
        <v>1778</v>
      </c>
      <c r="AA102"/>
    </row>
    <row r="103" spans="1:27" ht="15" x14ac:dyDescent="0.25">
      <c r="A103" t="s">
        <v>44</v>
      </c>
      <c r="B103" t="s">
        <v>45</v>
      </c>
      <c r="C103" t="s">
        <v>131</v>
      </c>
      <c r="D103" t="s">
        <v>69</v>
      </c>
      <c r="E103" t="s">
        <v>71</v>
      </c>
      <c r="F103" t="s">
        <v>307</v>
      </c>
      <c r="G103" t="s">
        <v>308</v>
      </c>
      <c r="H103" t="s">
        <v>49</v>
      </c>
      <c r="I103" s="41">
        <v>9.33</v>
      </c>
      <c r="J103" s="40">
        <f>I103*(1-IFERROR(VLOOKUP(H103,Rabat!$D$10:$E$41,2,FALSE),0))</f>
        <v>9.33</v>
      </c>
      <c r="K103">
        <v>0.02</v>
      </c>
      <c r="L103" t="s">
        <v>1773</v>
      </c>
      <c r="M103" t="s">
        <v>1882</v>
      </c>
      <c r="N103" t="s">
        <v>1775</v>
      </c>
      <c r="O103" t="s">
        <v>1776</v>
      </c>
      <c r="P103">
        <v>100</v>
      </c>
      <c r="Q103">
        <v>4800</v>
      </c>
      <c r="R103" t="s">
        <v>1777</v>
      </c>
      <c r="S103" s="42" t="str">
        <f>HYPERLINK("https://sklep.kobi.pl/produkt/led-mb-45w-e27-6000k-zb")</f>
        <v>https://sklep.kobi.pl/produkt/led-mb-45w-e27-6000k-zb</v>
      </c>
      <c r="T103" s="42" t="str">
        <f>HYPERLINK("https://eprel.ec.europa.eu/qr/660668         ")</f>
        <v xml:space="preserve">https://eprel.ec.europa.eu/qr/660668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  <c r="Z103" t="s">
        <v>1778</v>
      </c>
      <c r="AA103"/>
    </row>
    <row r="104" spans="1:27" ht="15" x14ac:dyDescent="0.25">
      <c r="A104" t="s">
        <v>44</v>
      </c>
      <c r="B104" t="s">
        <v>45</v>
      </c>
      <c r="C104" t="s">
        <v>131</v>
      </c>
      <c r="D104" t="s">
        <v>69</v>
      </c>
      <c r="E104" t="s">
        <v>71</v>
      </c>
      <c r="F104" t="s">
        <v>134</v>
      </c>
      <c r="G104" t="s">
        <v>135</v>
      </c>
      <c r="H104" t="s">
        <v>49</v>
      </c>
      <c r="I104" s="41">
        <v>10.02</v>
      </c>
      <c r="J104" s="40">
        <f>I104*(1-IFERROR(VLOOKUP(H104,Rabat!$D$10:$E$41,2,FALSE),0))</f>
        <v>10.02</v>
      </c>
      <c r="K104">
        <v>0.02</v>
      </c>
      <c r="L104" t="s">
        <v>1818</v>
      </c>
      <c r="M104" t="s">
        <v>1883</v>
      </c>
      <c r="N104" t="s">
        <v>1775</v>
      </c>
      <c r="O104" t="s">
        <v>1776</v>
      </c>
      <c r="P104">
        <v>100</v>
      </c>
      <c r="Q104">
        <v>4800</v>
      </c>
      <c r="R104" t="s">
        <v>1777</v>
      </c>
      <c r="S104" s="42" t="str">
        <f>HYPERLINK("https://sklep.kobi.pl/produkt/led-mb-6w-e27-3000k-cb")</f>
        <v>https://sklep.kobi.pl/produkt/led-mb-6w-e27-3000k-cb</v>
      </c>
      <c r="T104" s="42" t="str">
        <f>HYPERLINK("https://eprel.ec.europa.eu/qr/660670         ")</f>
        <v xml:space="preserve">https://eprel.ec.europa.eu/qr/660670         </v>
      </c>
      <c r="U104">
        <v>2.1000000000000001E-2</v>
      </c>
      <c r="V104">
        <v>2.8000000000000001E-2</v>
      </c>
      <c r="W104">
        <v>46</v>
      </c>
      <c r="X104">
        <v>76</v>
      </c>
      <c r="Y104">
        <v>85</v>
      </c>
      <c r="Z104" t="s">
        <v>1778</v>
      </c>
      <c r="AA104"/>
    </row>
    <row r="105" spans="1:27" ht="15" x14ac:dyDescent="0.25">
      <c r="A105" t="s">
        <v>44</v>
      </c>
      <c r="B105" t="s">
        <v>45</v>
      </c>
      <c r="C105" t="s">
        <v>131</v>
      </c>
      <c r="D105" t="s">
        <v>69</v>
      </c>
      <c r="E105" t="s">
        <v>71</v>
      </c>
      <c r="F105" t="s">
        <v>326</v>
      </c>
      <c r="G105" t="s">
        <v>327</v>
      </c>
      <c r="H105" t="s">
        <v>49</v>
      </c>
      <c r="I105" s="41">
        <v>10.02</v>
      </c>
      <c r="J105" s="40">
        <f>I105*(1-IFERROR(VLOOKUP(H105,Rabat!$D$10:$E$41,2,FALSE),0))</f>
        <v>10.02</v>
      </c>
      <c r="K105">
        <v>0.02</v>
      </c>
      <c r="L105" t="s">
        <v>1818</v>
      </c>
      <c r="M105" t="s">
        <v>1884</v>
      </c>
      <c r="N105" t="s">
        <v>1775</v>
      </c>
      <c r="O105" t="s">
        <v>1776</v>
      </c>
      <c r="P105">
        <v>100</v>
      </c>
      <c r="Q105">
        <v>4800</v>
      </c>
      <c r="R105" t="s">
        <v>1777</v>
      </c>
      <c r="S105" s="42" t="str">
        <f>HYPERLINK("https://sklep.kobi.pl/produkt/led-mb-6w-e27-4000k-nb")</f>
        <v>https://sklep.kobi.pl/produkt/led-mb-6w-e27-4000k-nb</v>
      </c>
      <c r="T105" s="42" t="str">
        <f>HYPERLINK("https://eprel.ec.europa.eu/qr/660671         ")</f>
        <v xml:space="preserve">https://eprel.ec.europa.eu/qr/660671         </v>
      </c>
      <c r="U105">
        <v>2.1000000000000001E-2</v>
      </c>
      <c r="V105">
        <v>2.8000000000000001E-2</v>
      </c>
      <c r="W105">
        <v>45</v>
      </c>
      <c r="X105">
        <v>47</v>
      </c>
      <c r="Y105">
        <v>86</v>
      </c>
      <c r="Z105" t="s">
        <v>1778</v>
      </c>
      <c r="AA105"/>
    </row>
    <row r="106" spans="1:27" ht="15" x14ac:dyDescent="0.25">
      <c r="A106" t="s">
        <v>44</v>
      </c>
      <c r="B106" t="s">
        <v>45</v>
      </c>
      <c r="C106" t="s">
        <v>131</v>
      </c>
      <c r="D106" t="s">
        <v>69</v>
      </c>
      <c r="E106" t="s">
        <v>71</v>
      </c>
      <c r="F106" t="s">
        <v>132</v>
      </c>
      <c r="G106" t="s">
        <v>133</v>
      </c>
      <c r="H106" t="s">
        <v>49</v>
      </c>
      <c r="I106" s="41">
        <v>10.02</v>
      </c>
      <c r="J106" s="40">
        <f>I106*(1-IFERROR(VLOOKUP(H106,Rabat!$D$10:$E$41,2,FALSE),0))</f>
        <v>10.02</v>
      </c>
      <c r="K106">
        <v>0.02</v>
      </c>
      <c r="L106" t="s">
        <v>1818</v>
      </c>
      <c r="M106" t="s">
        <v>1885</v>
      </c>
      <c r="N106" t="s">
        <v>1775</v>
      </c>
      <c r="O106" t="s">
        <v>1776</v>
      </c>
      <c r="P106">
        <v>100</v>
      </c>
      <c r="Q106">
        <v>4800</v>
      </c>
      <c r="R106" t="s">
        <v>1777</v>
      </c>
      <c r="S106" s="42" t="str">
        <f>HYPERLINK("https://sklep.kobi.pl/produkt/led-mb-6w-e27-6000k-zb")</f>
        <v>https://sklep.kobi.pl/produkt/led-mb-6w-e27-6000k-zb</v>
      </c>
      <c r="T106" s="42" t="str">
        <f>HYPERLINK("https://eprel.ec.europa.eu/qr/660672         ")</f>
        <v xml:space="preserve">https://eprel.ec.europa.eu/qr/660672         </v>
      </c>
      <c r="U106">
        <v>2.1000000000000001E-2</v>
      </c>
      <c r="V106">
        <v>2.8000000000000001E-2</v>
      </c>
      <c r="W106">
        <v>46</v>
      </c>
      <c r="X106">
        <v>47</v>
      </c>
      <c r="Y106">
        <v>86</v>
      </c>
      <c r="Z106" t="s">
        <v>1778</v>
      </c>
      <c r="AA106"/>
    </row>
    <row r="107" spans="1:27" ht="15" x14ac:dyDescent="0.25">
      <c r="A107" t="s">
        <v>44</v>
      </c>
      <c r="B107" t="s">
        <v>45</v>
      </c>
      <c r="C107" t="s">
        <v>131</v>
      </c>
      <c r="D107" t="s">
        <v>667</v>
      </c>
      <c r="E107" t="s">
        <v>71</v>
      </c>
      <c r="F107" t="s">
        <v>686</v>
      </c>
      <c r="G107" t="s">
        <v>687</v>
      </c>
      <c r="H107" t="s">
        <v>49</v>
      </c>
      <c r="I107" s="41">
        <v>8</v>
      </c>
      <c r="J107" s="40">
        <f>I107*(1-IFERROR(VLOOKUP(H107,Rabat!$D$10:$E$41,2,FALSE),0))</f>
        <v>8</v>
      </c>
      <c r="K107">
        <v>0.01</v>
      </c>
      <c r="L107" t="s">
        <v>1773</v>
      </c>
      <c r="M107" t="s">
        <v>1886</v>
      </c>
      <c r="N107" t="s">
        <v>1775</v>
      </c>
      <c r="O107" t="s">
        <v>1776</v>
      </c>
      <c r="P107">
        <v>100</v>
      </c>
      <c r="Q107">
        <v>5600</v>
      </c>
      <c r="R107" t="s">
        <v>1777</v>
      </c>
      <c r="S107" s="42" t="str">
        <f>HYPERLINK("https://sklep.kobi.pl/produkt/led-mb-7w-e27-3000k-led2b")</f>
        <v>https://sklep.kobi.pl/produkt/led-mb-7w-e27-3000k-led2b</v>
      </c>
      <c r="T107" s="42" t="str">
        <f>HYPERLINK("https://eprel.ec.europa.eu/qr/660306         ")</f>
        <v xml:space="preserve">https://eprel.ec.europa.eu/qr/660306         </v>
      </c>
      <c r="U107">
        <v>1.6E-2</v>
      </c>
      <c r="V107">
        <v>2.5999999999999999E-2</v>
      </c>
      <c r="W107">
        <v>45</v>
      </c>
      <c r="X107">
        <v>65</v>
      </c>
      <c r="Y107">
        <v>45</v>
      </c>
      <c r="Z107" t="s">
        <v>1778</v>
      </c>
      <c r="AA107"/>
    </row>
    <row r="108" spans="1:27" ht="15" x14ac:dyDescent="0.25">
      <c r="A108" t="s">
        <v>44</v>
      </c>
      <c r="B108" t="s">
        <v>45</v>
      </c>
      <c r="C108" t="s">
        <v>131</v>
      </c>
      <c r="D108" t="s">
        <v>667</v>
      </c>
      <c r="E108" t="s">
        <v>71</v>
      </c>
      <c r="F108" t="s">
        <v>702</v>
      </c>
      <c r="G108" t="s">
        <v>703</v>
      </c>
      <c r="H108" t="s">
        <v>49</v>
      </c>
      <c r="I108" s="41">
        <v>8</v>
      </c>
      <c r="J108" s="40">
        <f>I108*(1-IFERROR(VLOOKUP(H108,Rabat!$D$10:$E$41,2,FALSE),0))</f>
        <v>8</v>
      </c>
      <c r="K108">
        <v>0.01</v>
      </c>
      <c r="L108" t="s">
        <v>1773</v>
      </c>
      <c r="M108" t="s">
        <v>1887</v>
      </c>
      <c r="N108" t="s">
        <v>1775</v>
      </c>
      <c r="O108" t="s">
        <v>1776</v>
      </c>
      <c r="P108">
        <v>100</v>
      </c>
      <c r="Q108">
        <v>5600</v>
      </c>
      <c r="R108" t="s">
        <v>1777</v>
      </c>
      <c r="S108" s="42" t="str">
        <f>HYPERLINK("https://sklep.kobi.pl/produkt/led-mb-7w-e27-4000k-led2b")</f>
        <v>https://sklep.kobi.pl/produkt/led-mb-7w-e27-4000k-led2b</v>
      </c>
      <c r="T108" s="42" t="str">
        <f>HYPERLINK("https://eprel.ec.europa.eu/qr/660307         ")</f>
        <v xml:space="preserve">https://eprel.ec.europa.eu/qr/660307         </v>
      </c>
      <c r="U108">
        <v>1.6E-2</v>
      </c>
      <c r="V108">
        <v>2.5999999999999999E-2</v>
      </c>
      <c r="W108">
        <v>45</v>
      </c>
      <c r="X108">
        <v>65</v>
      </c>
      <c r="Y108">
        <v>45</v>
      </c>
      <c r="Z108" t="s">
        <v>1778</v>
      </c>
      <c r="AA108"/>
    </row>
    <row r="109" spans="1:27" ht="15" x14ac:dyDescent="0.25">
      <c r="A109" t="s">
        <v>44</v>
      </c>
      <c r="B109" t="s">
        <v>45</v>
      </c>
      <c r="C109" t="s">
        <v>131</v>
      </c>
      <c r="D109" t="s">
        <v>667</v>
      </c>
      <c r="E109" t="s">
        <v>71</v>
      </c>
      <c r="F109" t="s">
        <v>845</v>
      </c>
      <c r="G109" t="s">
        <v>846</v>
      </c>
      <c r="H109" t="s">
        <v>49</v>
      </c>
      <c r="I109" s="41">
        <v>8</v>
      </c>
      <c r="J109" s="40">
        <f>I109*(1-IFERROR(VLOOKUP(H109,Rabat!$D$10:$E$41,2,FALSE),0))</f>
        <v>8</v>
      </c>
      <c r="K109">
        <v>0.01</v>
      </c>
      <c r="L109" t="s">
        <v>1773</v>
      </c>
      <c r="M109" t="s">
        <v>1888</v>
      </c>
      <c r="N109" t="s">
        <v>1775</v>
      </c>
      <c r="O109" t="s">
        <v>1776</v>
      </c>
      <c r="P109">
        <v>100</v>
      </c>
      <c r="Q109">
        <v>5600</v>
      </c>
      <c r="R109" t="s">
        <v>1777</v>
      </c>
      <c r="S109" s="42" t="str">
        <f>HYPERLINK("https://sklep.kobi.pl/produkt/led-mb-7w-e27-6000k-led2b")</f>
        <v>https://sklep.kobi.pl/produkt/led-mb-7w-e27-6000k-led2b</v>
      </c>
      <c r="T109" s="42" t="str">
        <f>HYPERLINK("https://eprel.ec.europa.eu/qr/660308         ")</f>
        <v xml:space="preserve">https://eprel.ec.europa.eu/qr/660308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  <c r="Z109" t="s">
        <v>1778</v>
      </c>
      <c r="AA109"/>
    </row>
    <row r="110" spans="1:27" ht="15" x14ac:dyDescent="0.25">
      <c r="A110" t="s">
        <v>44</v>
      </c>
      <c r="B110" t="s">
        <v>45</v>
      </c>
      <c r="C110" t="s">
        <v>131</v>
      </c>
      <c r="D110" t="s">
        <v>424</v>
      </c>
      <c r="E110" t="s">
        <v>71</v>
      </c>
      <c r="F110" t="s">
        <v>451</v>
      </c>
      <c r="G110" t="s">
        <v>452</v>
      </c>
      <c r="H110" t="s">
        <v>49</v>
      </c>
      <c r="I110" s="41">
        <v>21.2</v>
      </c>
      <c r="J110" s="40">
        <f>I110*(1-IFERROR(VLOOKUP(H110,Rabat!$D$10:$E$41,2,FALSE),0))</f>
        <v>21.2</v>
      </c>
      <c r="K110">
        <v>0.05</v>
      </c>
      <c r="L110" t="s">
        <v>1773</v>
      </c>
      <c r="M110" t="s">
        <v>1889</v>
      </c>
      <c r="N110" t="s">
        <v>1775</v>
      </c>
      <c r="O110" t="s">
        <v>1776</v>
      </c>
      <c r="P110">
        <v>100</v>
      </c>
      <c r="Q110">
        <v>4200</v>
      </c>
      <c r="R110" t="s">
        <v>1777</v>
      </c>
      <c r="S110" s="42" t="str">
        <f>HYPERLINK("https://sklep.kobi.pl/produkt/led-mb-9w-e27-3000k-cb-premium")</f>
        <v>https://sklep.kobi.pl/produkt/led-mb-9w-e27-3000k-cb-premium</v>
      </c>
      <c r="T110" s="42" t="str">
        <f>HYPERLINK("https://eprel.ec.europa.eu/qr/660675         ")</f>
        <v xml:space="preserve">https://eprel.ec.europa.eu/qr/660675         </v>
      </c>
      <c r="U110">
        <v>5.5E-2</v>
      </c>
      <c r="V110">
        <v>7.1999999999999995E-2</v>
      </c>
      <c r="W110">
        <v>50</v>
      </c>
      <c r="X110">
        <v>50</v>
      </c>
      <c r="Y110">
        <v>106</v>
      </c>
      <c r="Z110" t="s">
        <v>1778</v>
      </c>
      <c r="AA110"/>
    </row>
    <row r="111" spans="1:27" ht="15" x14ac:dyDescent="0.25">
      <c r="A111" t="s">
        <v>44</v>
      </c>
      <c r="B111" t="s">
        <v>45</v>
      </c>
      <c r="C111" t="s">
        <v>131</v>
      </c>
      <c r="D111" t="s">
        <v>424</v>
      </c>
      <c r="E111" t="s">
        <v>71</v>
      </c>
      <c r="F111" t="s">
        <v>449</v>
      </c>
      <c r="G111" t="s">
        <v>450</v>
      </c>
      <c r="H111" t="s">
        <v>49</v>
      </c>
      <c r="I111" s="41">
        <v>21.2</v>
      </c>
      <c r="J111" s="40">
        <f>I111*(1-IFERROR(VLOOKUP(H111,Rabat!$D$10:$E$41,2,FALSE),0))</f>
        <v>21.2</v>
      </c>
      <c r="K111">
        <v>0.05</v>
      </c>
      <c r="L111" t="s">
        <v>1773</v>
      </c>
      <c r="M111" t="s">
        <v>1890</v>
      </c>
      <c r="N111" t="s">
        <v>1775</v>
      </c>
      <c r="O111" t="s">
        <v>1776</v>
      </c>
      <c r="P111">
        <v>100</v>
      </c>
      <c r="Q111">
        <v>4200</v>
      </c>
      <c r="R111" t="s">
        <v>1777</v>
      </c>
      <c r="S111" s="42" t="str">
        <f>HYPERLINK("https://sklep.kobi.pl/produkt/led-mb-9w-e27-4000k-nb-premium")</f>
        <v>https://sklep.kobi.pl/produkt/led-mb-9w-e27-4000k-nb-premium</v>
      </c>
      <c r="T111" s="42" t="str">
        <f>HYPERLINK("https://eprel.ec.europa.eu/qr/660677         ")</f>
        <v xml:space="preserve">https://eprel.ec.europa.eu/qr/660677         </v>
      </c>
      <c r="U111">
        <v>5.5E-2</v>
      </c>
      <c r="V111">
        <v>7.1999999999999995E-2</v>
      </c>
      <c r="W111">
        <v>50</v>
      </c>
      <c r="X111">
        <v>50</v>
      </c>
      <c r="Y111">
        <v>106</v>
      </c>
      <c r="Z111" t="s">
        <v>1778</v>
      </c>
      <c r="AA111"/>
    </row>
    <row r="112" spans="1:27" ht="15" x14ac:dyDescent="0.25">
      <c r="A112" t="s">
        <v>44</v>
      </c>
      <c r="B112" t="s">
        <v>45</v>
      </c>
      <c r="C112" t="s">
        <v>131</v>
      </c>
      <c r="D112" t="s">
        <v>424</v>
      </c>
      <c r="E112" t="s">
        <v>71</v>
      </c>
      <c r="F112" t="s">
        <v>835</v>
      </c>
      <c r="G112" t="s">
        <v>836</v>
      </c>
      <c r="H112" t="s">
        <v>49</v>
      </c>
      <c r="I112" s="41">
        <v>21.2</v>
      </c>
      <c r="J112" s="40">
        <f>I112*(1-IFERROR(VLOOKUP(H112,Rabat!$D$10:$E$41,2,FALSE),0))</f>
        <v>21.2</v>
      </c>
      <c r="K112">
        <v>0.05</v>
      </c>
      <c r="L112" t="s">
        <v>1773</v>
      </c>
      <c r="M112" t="s">
        <v>1891</v>
      </c>
      <c r="N112" t="s">
        <v>1775</v>
      </c>
      <c r="O112" t="s">
        <v>1776</v>
      </c>
      <c r="P112">
        <v>100</v>
      </c>
      <c r="Q112">
        <v>4200</v>
      </c>
      <c r="R112" t="s">
        <v>1777</v>
      </c>
      <c r="S112" s="42" t="str">
        <f>HYPERLINK("https://sklep.kobi.pl/produkt/led-mb-9w-e27-6000k-zb-premium")</f>
        <v>https://sklep.kobi.pl/produkt/led-mb-9w-e27-6000k-zb-premium</v>
      </c>
      <c r="T112" s="42" t="str">
        <f>HYPERLINK("https://eprel.ec.europa.eu/qr/660678         ")</f>
        <v xml:space="preserve">https://eprel.ec.europa.eu/qr/660678         </v>
      </c>
      <c r="U112">
        <v>5.5E-2</v>
      </c>
      <c r="V112">
        <v>7.1999999999999995E-2</v>
      </c>
      <c r="W112">
        <v>50</v>
      </c>
      <c r="X112">
        <v>125</v>
      </c>
      <c r="Y112">
        <v>45</v>
      </c>
      <c r="Z112" t="s">
        <v>1778</v>
      </c>
      <c r="AA112"/>
    </row>
    <row r="113" spans="1:27" ht="15" x14ac:dyDescent="0.25">
      <c r="A113" t="s">
        <v>44</v>
      </c>
      <c r="B113" t="s">
        <v>45</v>
      </c>
      <c r="C113" t="s">
        <v>624</v>
      </c>
      <c r="D113" t="s">
        <v>69</v>
      </c>
      <c r="E113" t="s">
        <v>71</v>
      </c>
      <c r="F113" t="s">
        <v>625</v>
      </c>
      <c r="G113" t="s">
        <v>626</v>
      </c>
      <c r="H113" t="s">
        <v>50</v>
      </c>
      <c r="I113" s="41">
        <v>17.54</v>
      </c>
      <c r="J113" s="40">
        <f>I113*(1-IFERROR(VLOOKUP(H113,Rabat!$D$10:$E$41,2,FALSE),0))</f>
        <v>17.54</v>
      </c>
      <c r="K113">
        <v>0.02</v>
      </c>
      <c r="L113" t="s">
        <v>1773</v>
      </c>
      <c r="M113" t="s">
        <v>1892</v>
      </c>
      <c r="N113" t="s">
        <v>1775</v>
      </c>
      <c r="O113" t="s">
        <v>1776</v>
      </c>
      <c r="P113">
        <v>100</v>
      </c>
      <c r="Q113">
        <v>0</v>
      </c>
      <c r="R113" t="s">
        <v>1777</v>
      </c>
      <c r="S113" s="42" t="str">
        <f>HYPERLINK("https://sklep.kobi.pl/produkt/led-mr11-4w-gu10-3000k")</f>
        <v>https://sklep.kobi.pl/produkt/led-mr11-4w-gu10-3000k</v>
      </c>
      <c r="T113" s="42" t="str">
        <f>HYPERLINK("https://eprel.ec.europa.eu/qr/660632         ")</f>
        <v xml:space="preserve">https://eprel.ec.europa.eu/qr/660632         </v>
      </c>
      <c r="U113">
        <v>2.9000000000000001E-2</v>
      </c>
      <c r="V113">
        <v>3.5999999999999997E-2</v>
      </c>
      <c r="W113">
        <v>35</v>
      </c>
      <c r="X113">
        <v>55</v>
      </c>
      <c r="Y113">
        <v>35</v>
      </c>
      <c r="Z113" t="s">
        <v>1778</v>
      </c>
      <c r="AA113"/>
    </row>
    <row r="114" spans="1:27" ht="15" x14ac:dyDescent="0.25">
      <c r="A114" t="s">
        <v>44</v>
      </c>
      <c r="B114" t="s">
        <v>45</v>
      </c>
      <c r="C114" t="s">
        <v>624</v>
      </c>
      <c r="D114" t="s">
        <v>69</v>
      </c>
      <c r="E114" t="s">
        <v>71</v>
      </c>
      <c r="F114" t="s">
        <v>627</v>
      </c>
      <c r="G114" t="s">
        <v>628</v>
      </c>
      <c r="H114" t="s">
        <v>50</v>
      </c>
      <c r="I114" s="41">
        <v>17.54</v>
      </c>
      <c r="J114" s="40">
        <f>I114*(1-IFERROR(VLOOKUP(H114,Rabat!$D$10:$E$41,2,FALSE),0))</f>
        <v>17.54</v>
      </c>
      <c r="K114">
        <v>0.02</v>
      </c>
      <c r="L114" t="s">
        <v>1773</v>
      </c>
      <c r="M114" t="s">
        <v>1893</v>
      </c>
      <c r="N114" t="s">
        <v>1775</v>
      </c>
      <c r="O114" t="s">
        <v>1776</v>
      </c>
      <c r="P114">
        <v>100</v>
      </c>
      <c r="Q114">
        <v>0</v>
      </c>
      <c r="R114" t="s">
        <v>1777</v>
      </c>
      <c r="S114" s="42" t="str">
        <f>HYPERLINK("https://sklep.kobi.pl/produkt/led-mr11-4w-gu10-4000k")</f>
        <v>https://sklep.kobi.pl/produkt/led-mr11-4w-gu10-4000k</v>
      </c>
      <c r="T114" s="42" t="str">
        <f>HYPERLINK("https://eprel.ec.europa.eu/qr/660634         ")</f>
        <v xml:space="preserve">https://eprel.ec.europa.eu/qr/660634         </v>
      </c>
      <c r="U114">
        <v>2.9000000000000001E-2</v>
      </c>
      <c r="V114">
        <v>3.5999999999999997E-2</v>
      </c>
      <c r="W114">
        <v>35</v>
      </c>
      <c r="X114">
        <v>55</v>
      </c>
      <c r="Y114">
        <v>35</v>
      </c>
      <c r="Z114" t="s">
        <v>1778</v>
      </c>
      <c r="AA114"/>
    </row>
    <row r="115" spans="1:27" ht="15" x14ac:dyDescent="0.25">
      <c r="A115" t="s">
        <v>44</v>
      </c>
      <c r="B115" t="s">
        <v>45</v>
      </c>
      <c r="C115" t="s">
        <v>624</v>
      </c>
      <c r="D115" t="s">
        <v>69</v>
      </c>
      <c r="E115" t="s">
        <v>71</v>
      </c>
      <c r="F115" t="s">
        <v>629</v>
      </c>
      <c r="G115" t="s">
        <v>630</v>
      </c>
      <c r="H115" t="s">
        <v>50</v>
      </c>
      <c r="I115" s="41">
        <v>17.54</v>
      </c>
      <c r="J115" s="40">
        <f>I115*(1-IFERROR(VLOOKUP(H115,Rabat!$D$10:$E$41,2,FALSE),0))</f>
        <v>17.54</v>
      </c>
      <c r="K115">
        <v>0.02</v>
      </c>
      <c r="L115" t="s">
        <v>1773</v>
      </c>
      <c r="M115" t="s">
        <v>1894</v>
      </c>
      <c r="N115" t="s">
        <v>1775</v>
      </c>
      <c r="O115" t="s">
        <v>1776</v>
      </c>
      <c r="P115">
        <v>100</v>
      </c>
      <c r="Q115">
        <v>0</v>
      </c>
      <c r="R115" t="s">
        <v>1777</v>
      </c>
      <c r="S115" s="42" t="str">
        <f>HYPERLINK("https://sklep.kobi.pl/produkt/led-mr11-4w-gu10-6000k")</f>
        <v>https://sklep.kobi.pl/produkt/led-mr11-4w-gu10-6000k</v>
      </c>
      <c r="T115" s="42" t="str">
        <f>HYPERLINK("https://eprel.ec.europa.eu/qr/660638         ")</f>
        <v xml:space="preserve">https://eprel.ec.europa.eu/qr/660638         </v>
      </c>
      <c r="U115">
        <v>2.9000000000000001E-2</v>
      </c>
      <c r="V115">
        <v>3.5999999999999997E-2</v>
      </c>
      <c r="W115">
        <v>35</v>
      </c>
      <c r="X115">
        <v>55</v>
      </c>
      <c r="Y115">
        <v>35</v>
      </c>
      <c r="Z115" t="s">
        <v>1778</v>
      </c>
      <c r="AA115"/>
    </row>
    <row r="116" spans="1:27" ht="15" x14ac:dyDescent="0.25">
      <c r="A116" t="s">
        <v>44</v>
      </c>
      <c r="B116" t="s">
        <v>45</v>
      </c>
      <c r="C116" t="s">
        <v>251</v>
      </c>
      <c r="D116" t="s">
        <v>69</v>
      </c>
      <c r="E116" t="s">
        <v>71</v>
      </c>
      <c r="F116" t="s">
        <v>252</v>
      </c>
      <c r="G116" t="s">
        <v>253</v>
      </c>
      <c r="H116" t="s">
        <v>49</v>
      </c>
      <c r="I116" s="41">
        <v>10.65</v>
      </c>
      <c r="J116" s="40">
        <f>I116*(1-IFERROR(VLOOKUP(H116,Rabat!$D$10:$E$41,2,FALSE),0))</f>
        <v>10.65</v>
      </c>
      <c r="K116">
        <v>0.02</v>
      </c>
      <c r="L116" t="s">
        <v>1818</v>
      </c>
      <c r="M116" t="s">
        <v>1895</v>
      </c>
      <c r="N116" t="s">
        <v>1775</v>
      </c>
      <c r="O116" t="s">
        <v>1776</v>
      </c>
      <c r="P116">
        <v>100</v>
      </c>
      <c r="Q116">
        <v>4800</v>
      </c>
      <c r="R116" t="s">
        <v>1777</v>
      </c>
      <c r="S116" s="42" t="str">
        <f>HYPERLINK("https://sklep.kobi.pl/produkt/led-r50-5w-e14-3000k-cb")</f>
        <v>https://sklep.kobi.pl/produkt/led-r50-5w-e14-3000k-cb</v>
      </c>
      <c r="T116" s="42" t="str">
        <f>HYPERLINK("https://eprel.ec.europa.eu/qr/660746         ")</f>
        <v xml:space="preserve">https://eprel.ec.europa.eu/qr/660746         </v>
      </c>
      <c r="U116">
        <v>2.1999999999999999E-2</v>
      </c>
      <c r="V116">
        <v>4.1000000000000002E-2</v>
      </c>
      <c r="W116">
        <v>50</v>
      </c>
      <c r="X116">
        <v>51</v>
      </c>
      <c r="Y116">
        <v>90</v>
      </c>
      <c r="Z116" t="s">
        <v>1778</v>
      </c>
      <c r="AA116"/>
    </row>
    <row r="117" spans="1:27" ht="15" x14ac:dyDescent="0.25">
      <c r="A117" t="s">
        <v>44</v>
      </c>
      <c r="B117" t="s">
        <v>45</v>
      </c>
      <c r="C117" t="s">
        <v>251</v>
      </c>
      <c r="D117" t="s">
        <v>69</v>
      </c>
      <c r="E117" t="s">
        <v>71</v>
      </c>
      <c r="F117" t="s">
        <v>339</v>
      </c>
      <c r="G117" t="s">
        <v>340</v>
      </c>
      <c r="H117" t="s">
        <v>49</v>
      </c>
      <c r="I117" s="41">
        <v>10.65</v>
      </c>
      <c r="J117" s="40">
        <f>I117*(1-IFERROR(VLOOKUP(H117,Rabat!$D$10:$E$41,2,FALSE),0))</f>
        <v>10.65</v>
      </c>
      <c r="K117">
        <v>0.02</v>
      </c>
      <c r="L117" t="s">
        <v>1818</v>
      </c>
      <c r="M117" t="s">
        <v>1896</v>
      </c>
      <c r="N117" t="s">
        <v>1775</v>
      </c>
      <c r="O117" t="s">
        <v>1776</v>
      </c>
      <c r="P117">
        <v>100</v>
      </c>
      <c r="Q117">
        <v>4800</v>
      </c>
      <c r="R117" t="s">
        <v>1777</v>
      </c>
      <c r="S117" s="42" t="str">
        <f>HYPERLINK("https://sklep.kobi.pl/produkt/led-r50-5w-e14-4000k-nb")</f>
        <v>https://sklep.kobi.pl/produkt/led-r50-5w-e14-4000k-nb</v>
      </c>
      <c r="T117" s="42" t="str">
        <f>HYPERLINK("https://eprel.ec.europa.eu/qr/660747         ")</f>
        <v xml:space="preserve">https://eprel.ec.europa.eu/qr/660747         </v>
      </c>
      <c r="U117">
        <v>2.1999999999999999E-2</v>
      </c>
      <c r="V117">
        <v>4.1000000000000002E-2</v>
      </c>
      <c r="W117">
        <v>50</v>
      </c>
      <c r="X117">
        <v>51</v>
      </c>
      <c r="Y117">
        <v>90</v>
      </c>
      <c r="Z117" t="s">
        <v>1778</v>
      </c>
      <c r="AA117"/>
    </row>
    <row r="118" spans="1:27" ht="15" x14ac:dyDescent="0.25">
      <c r="A118" t="s">
        <v>44</v>
      </c>
      <c r="B118" t="s">
        <v>45</v>
      </c>
      <c r="C118" t="s">
        <v>254</v>
      </c>
      <c r="D118" t="s">
        <v>69</v>
      </c>
      <c r="E118" t="s">
        <v>71</v>
      </c>
      <c r="F118" t="s">
        <v>255</v>
      </c>
      <c r="G118" t="s">
        <v>256</v>
      </c>
      <c r="H118" t="s">
        <v>49</v>
      </c>
      <c r="I118" s="41">
        <v>12.64</v>
      </c>
      <c r="J118" s="40">
        <f>I118*(1-IFERROR(VLOOKUP(H118,Rabat!$D$10:$E$41,2,FALSE),0))</f>
        <v>12.64</v>
      </c>
      <c r="K118">
        <v>0.03</v>
      </c>
      <c r="L118" t="s">
        <v>1773</v>
      </c>
      <c r="M118" t="s">
        <v>1897</v>
      </c>
      <c r="N118" t="s">
        <v>1775</v>
      </c>
      <c r="O118" t="s">
        <v>1776</v>
      </c>
      <c r="P118">
        <v>100</v>
      </c>
      <c r="Q118">
        <v>2500</v>
      </c>
      <c r="R118" t="s">
        <v>1777</v>
      </c>
      <c r="S118" s="42" t="str">
        <f>HYPERLINK("https://sklep.kobi.pl/produkt/led-r63-8w-e27-3000k-cb")</f>
        <v>https://sklep.kobi.pl/produkt/led-r63-8w-e27-3000k-cb</v>
      </c>
      <c r="T118" s="42" t="str">
        <f>HYPERLINK("https://eprel.ec.europa.eu/qr/660751         ")</f>
        <v xml:space="preserve">https://eprel.ec.europa.eu/qr/660751         </v>
      </c>
      <c r="U118">
        <v>3.7999999999999999E-2</v>
      </c>
      <c r="V118">
        <v>5.8999999999999997E-2</v>
      </c>
      <c r="W118">
        <v>64</v>
      </c>
      <c r="X118">
        <v>63</v>
      </c>
      <c r="Y118">
        <v>105</v>
      </c>
      <c r="Z118" t="s">
        <v>1778</v>
      </c>
      <c r="AA118"/>
    </row>
    <row r="119" spans="1:27" ht="15" x14ac:dyDescent="0.25">
      <c r="A119" t="s">
        <v>44</v>
      </c>
      <c r="B119" t="s">
        <v>45</v>
      </c>
      <c r="C119" t="s">
        <v>254</v>
      </c>
      <c r="D119" t="s">
        <v>69</v>
      </c>
      <c r="E119" t="s">
        <v>71</v>
      </c>
      <c r="F119" t="s">
        <v>358</v>
      </c>
      <c r="G119" t="s">
        <v>359</v>
      </c>
      <c r="H119" t="s">
        <v>49</v>
      </c>
      <c r="I119" s="41">
        <v>12.64</v>
      </c>
      <c r="J119" s="40">
        <f>I119*(1-IFERROR(VLOOKUP(H119,Rabat!$D$10:$E$41,2,FALSE),0))</f>
        <v>12.64</v>
      </c>
      <c r="K119">
        <v>0.03</v>
      </c>
      <c r="L119" t="s">
        <v>1773</v>
      </c>
      <c r="M119" t="s">
        <v>1898</v>
      </c>
      <c r="N119" t="s">
        <v>1775</v>
      </c>
      <c r="O119" t="s">
        <v>1776</v>
      </c>
      <c r="P119">
        <v>100</v>
      </c>
      <c r="Q119">
        <v>2500</v>
      </c>
      <c r="R119" t="s">
        <v>1777</v>
      </c>
      <c r="S119" s="42" t="str">
        <f>HYPERLINK("https://sklep.kobi.pl/produkt/led-r63-8w-e27-4000k-nb")</f>
        <v>https://sklep.kobi.pl/produkt/led-r63-8w-e27-4000k-nb</v>
      </c>
      <c r="T119" s="42" t="str">
        <f>HYPERLINK("https://eprel.ec.europa.eu/qr/660752         ")</f>
        <v xml:space="preserve">https://eprel.ec.europa.eu/qr/660752         </v>
      </c>
      <c r="U119">
        <v>3.7999999999999999E-2</v>
      </c>
      <c r="V119">
        <v>5.8999999999999997E-2</v>
      </c>
      <c r="W119">
        <v>63</v>
      </c>
      <c r="X119">
        <v>65</v>
      </c>
      <c r="Y119">
        <v>105</v>
      </c>
      <c r="Z119" t="s">
        <v>1778</v>
      </c>
      <c r="AA119"/>
    </row>
    <row r="120" spans="1:27" ht="15" x14ac:dyDescent="0.25">
      <c r="A120" t="s">
        <v>44</v>
      </c>
      <c r="B120" t="s">
        <v>45</v>
      </c>
      <c r="C120" t="s">
        <v>254</v>
      </c>
      <c r="D120" t="s">
        <v>69</v>
      </c>
      <c r="E120" t="s">
        <v>149</v>
      </c>
      <c r="F120" t="s">
        <v>419</v>
      </c>
      <c r="G120" t="s">
        <v>420</v>
      </c>
      <c r="H120" t="s">
        <v>49</v>
      </c>
      <c r="I120" s="41">
        <v>12.64</v>
      </c>
      <c r="J120" s="40">
        <f>I120*(1-IFERROR(VLOOKUP(H120,Rabat!$D$10:$E$41,2,FALSE),0))</f>
        <v>12.64</v>
      </c>
      <c r="K120">
        <v>0.03</v>
      </c>
      <c r="L120" t="s">
        <v>1773</v>
      </c>
      <c r="M120" t="s">
        <v>1899</v>
      </c>
      <c r="N120" t="s">
        <v>1775</v>
      </c>
      <c r="O120" t="s">
        <v>1776</v>
      </c>
      <c r="P120">
        <v>100</v>
      </c>
      <c r="Q120">
        <v>2500</v>
      </c>
      <c r="R120" t="s">
        <v>1777</v>
      </c>
      <c r="S120" s="42" t="str">
        <f>HYPERLINK("https://sklep.kobi.pl/produkt/led-r63-8w-e27-4000k-zb")</f>
        <v>https://sklep.kobi.pl/produkt/led-r63-8w-e27-4000k-zb</v>
      </c>
      <c r="T120" s="42" t="str">
        <f>HYPERLINK("https://eprel.ec.europa.eu/qr/660753         ")</f>
        <v xml:space="preserve">https://eprel.ec.europa.eu/qr/660753         </v>
      </c>
      <c r="U120">
        <v>3.7999999999999999E-2</v>
      </c>
      <c r="V120">
        <v>5.8999999999999997E-2</v>
      </c>
      <c r="W120">
        <v>63</v>
      </c>
      <c r="X120">
        <v>63</v>
      </c>
      <c r="Y120">
        <v>105</v>
      </c>
      <c r="Z120" t="s">
        <v>1778</v>
      </c>
      <c r="AA120"/>
    </row>
    <row r="121" spans="1:27" ht="15" x14ac:dyDescent="0.25">
      <c r="A121" t="s">
        <v>44</v>
      </c>
      <c r="B121" t="s">
        <v>45</v>
      </c>
      <c r="C121" t="s">
        <v>105</v>
      </c>
      <c r="D121" t="s">
        <v>69</v>
      </c>
      <c r="E121" t="s">
        <v>149</v>
      </c>
      <c r="F121" t="s">
        <v>862</v>
      </c>
      <c r="G121" t="s">
        <v>863</v>
      </c>
      <c r="H121" t="s">
        <v>49</v>
      </c>
      <c r="I121" s="41">
        <v>6.56</v>
      </c>
      <c r="J121" s="40">
        <f>I121*(1-IFERROR(VLOOKUP(H121,Rabat!$D$10:$E$41,2,FALSE),0))</f>
        <v>6.56</v>
      </c>
      <c r="K121">
        <v>0.01</v>
      </c>
      <c r="L121" t="s">
        <v>1773</v>
      </c>
      <c r="M121" t="s">
        <v>1900</v>
      </c>
      <c r="N121" t="s">
        <v>1775</v>
      </c>
      <c r="O121" t="s">
        <v>1776</v>
      </c>
      <c r="P121">
        <v>100</v>
      </c>
      <c r="Q121">
        <v>3000</v>
      </c>
      <c r="R121" t="s">
        <v>1777</v>
      </c>
      <c r="S121" s="42" t="str">
        <f>HYPERLINK("https://sklep.kobi.pl/produkt/led-sw-15w-e14-4000k")</f>
        <v>https://sklep.kobi.pl/produkt/led-sw-15w-e14-4000k</v>
      </c>
      <c r="T121" s="42" t="str">
        <f>HYPERLINK("https://eprel.ec.europa.eu/qr/909569         ")</f>
        <v xml:space="preserve">https://eprel.ec.europa.eu/qr/909569         </v>
      </c>
      <c r="U121">
        <v>1.4999999999999999E-2</v>
      </c>
      <c r="V121">
        <v>2.5000000000000001E-2</v>
      </c>
      <c r="W121">
        <v>40</v>
      </c>
      <c r="X121">
        <v>100</v>
      </c>
      <c r="Y121">
        <v>35</v>
      </c>
      <c r="Z121" t="s">
        <v>1778</v>
      </c>
      <c r="AA121"/>
    </row>
    <row r="122" spans="1:27" ht="15" x14ac:dyDescent="0.25">
      <c r="A122" t="s">
        <v>44</v>
      </c>
      <c r="B122" t="s">
        <v>45</v>
      </c>
      <c r="C122" t="s">
        <v>105</v>
      </c>
      <c r="D122" t="s">
        <v>69</v>
      </c>
      <c r="E122" t="s">
        <v>149</v>
      </c>
      <c r="F122" t="s">
        <v>864</v>
      </c>
      <c r="G122" t="s">
        <v>865</v>
      </c>
      <c r="H122" t="s">
        <v>49</v>
      </c>
      <c r="I122" s="41">
        <v>6.56</v>
      </c>
      <c r="J122" s="40">
        <f>I122*(1-IFERROR(VLOOKUP(H122,Rabat!$D$10:$E$41,2,FALSE),0))</f>
        <v>6.56</v>
      </c>
      <c r="K122">
        <v>0.01</v>
      </c>
      <c r="L122" t="s">
        <v>1773</v>
      </c>
      <c r="M122" t="s">
        <v>1901</v>
      </c>
      <c r="N122" t="s">
        <v>1775</v>
      </c>
      <c r="O122" t="s">
        <v>1776</v>
      </c>
      <c r="P122">
        <v>100</v>
      </c>
      <c r="Q122">
        <v>3000</v>
      </c>
      <c r="R122" t="s">
        <v>1777</v>
      </c>
      <c r="S122" s="42" t="str">
        <f>HYPERLINK("https://sklep.kobi.pl/produkt/led-sw-15w-e14-6000k")</f>
        <v>https://sklep.kobi.pl/produkt/led-sw-15w-e14-6000k</v>
      </c>
      <c r="T122" s="42" t="str">
        <f>HYPERLINK("https://eprel.ec.europa.eu/qr/660756         ")</f>
        <v xml:space="preserve">https://eprel.ec.europa.eu/qr/660756         </v>
      </c>
      <c r="U122">
        <v>1.4999999999999999E-2</v>
      </c>
      <c r="V122">
        <v>2.5000000000000001E-2</v>
      </c>
      <c r="W122">
        <v>40</v>
      </c>
      <c r="X122">
        <v>100</v>
      </c>
      <c r="Y122">
        <v>35</v>
      </c>
      <c r="Z122" t="s">
        <v>1778</v>
      </c>
      <c r="AA122"/>
    </row>
    <row r="123" spans="1:27" ht="15" x14ac:dyDescent="0.25">
      <c r="A123" t="s">
        <v>44</v>
      </c>
      <c r="B123" t="s">
        <v>45</v>
      </c>
      <c r="C123" t="s">
        <v>105</v>
      </c>
      <c r="D123" t="s">
        <v>69</v>
      </c>
      <c r="E123" t="s">
        <v>71</v>
      </c>
      <c r="F123" t="s">
        <v>108</v>
      </c>
      <c r="G123" t="s">
        <v>109</v>
      </c>
      <c r="H123" t="s">
        <v>49</v>
      </c>
      <c r="I123" s="41">
        <v>6.88</v>
      </c>
      <c r="J123" s="40">
        <f>I123*(1-IFERROR(VLOOKUP(H123,Rabat!$D$10:$E$41,2,FALSE),0))</f>
        <v>6.88</v>
      </c>
      <c r="K123">
        <v>0.01</v>
      </c>
      <c r="L123" t="s">
        <v>1818</v>
      </c>
      <c r="M123" t="s">
        <v>1902</v>
      </c>
      <c r="N123" t="s">
        <v>1775</v>
      </c>
      <c r="O123" t="s">
        <v>1776</v>
      </c>
      <c r="P123">
        <v>100</v>
      </c>
      <c r="Q123">
        <v>0</v>
      </c>
      <c r="R123" t="s">
        <v>1777</v>
      </c>
      <c r="S123" s="42" t="str">
        <f>HYPERLINK("https://sklep.kobi.pl/produkt/led-sw-3w-e14-3000k-cb")</f>
        <v>https://sklep.kobi.pl/produkt/led-sw-3w-e14-3000k-cb</v>
      </c>
      <c r="T123" s="42" t="str">
        <f>HYPERLINK("https://eprel.ec.europa.eu/qr/660758         ")</f>
        <v xml:space="preserve">https://eprel.ec.europa.eu/qr/660758         </v>
      </c>
      <c r="U123">
        <v>1.7000000000000001E-2</v>
      </c>
      <c r="V123">
        <v>2.5999999999999999E-2</v>
      </c>
      <c r="W123">
        <v>40</v>
      </c>
      <c r="X123">
        <v>40</v>
      </c>
      <c r="Y123">
        <v>100</v>
      </c>
      <c r="Z123" t="s">
        <v>1778</v>
      </c>
      <c r="AA123"/>
    </row>
    <row r="124" spans="1:27" ht="15" x14ac:dyDescent="0.25">
      <c r="A124" t="s">
        <v>44</v>
      </c>
      <c r="B124" t="s">
        <v>45</v>
      </c>
      <c r="C124" t="s">
        <v>105</v>
      </c>
      <c r="D124" t="s">
        <v>69</v>
      </c>
      <c r="E124" t="s">
        <v>71</v>
      </c>
      <c r="F124" t="s">
        <v>110</v>
      </c>
      <c r="G124" t="s">
        <v>111</v>
      </c>
      <c r="H124" t="s">
        <v>49</v>
      </c>
      <c r="I124" s="41">
        <v>9.33</v>
      </c>
      <c r="J124" s="40">
        <f>I124*(1-IFERROR(VLOOKUP(H124,Rabat!$D$10:$E$41,2,FALSE),0))</f>
        <v>9.33</v>
      </c>
      <c r="K124">
        <v>0.02</v>
      </c>
      <c r="L124" t="s">
        <v>1773</v>
      </c>
      <c r="M124" t="s">
        <v>1903</v>
      </c>
      <c r="N124" t="s">
        <v>1775</v>
      </c>
      <c r="O124" t="s">
        <v>1776</v>
      </c>
      <c r="P124">
        <v>100</v>
      </c>
      <c r="Q124">
        <v>6000</v>
      </c>
      <c r="R124" t="s">
        <v>1777</v>
      </c>
      <c r="S124" s="42" t="str">
        <f>HYPERLINK("https://sklep.kobi.pl/produkt/led-sw-45w-e14-3000k-cb")</f>
        <v>https://sklep.kobi.pl/produkt/led-sw-45w-e14-3000k-cb</v>
      </c>
      <c r="T124" s="42" t="str">
        <f>HYPERLINK("https://eprel.ec.europa.eu/qr/660760         ")</f>
        <v xml:space="preserve">https://eprel.ec.europa.eu/qr/660760         </v>
      </c>
      <c r="U124">
        <v>1.7999999999999999E-2</v>
      </c>
      <c r="V124">
        <v>2.5000000000000001E-2</v>
      </c>
      <c r="W124">
        <v>39</v>
      </c>
      <c r="X124">
        <v>38</v>
      </c>
      <c r="Y124">
        <v>107</v>
      </c>
      <c r="Z124" t="s">
        <v>1778</v>
      </c>
      <c r="AA124"/>
    </row>
    <row r="125" spans="1:27" ht="15" x14ac:dyDescent="0.25">
      <c r="A125" t="s">
        <v>44</v>
      </c>
      <c r="B125" t="s">
        <v>45</v>
      </c>
      <c r="C125" t="s">
        <v>105</v>
      </c>
      <c r="D125" t="s">
        <v>69</v>
      </c>
      <c r="E125" t="s">
        <v>71</v>
      </c>
      <c r="F125" t="s">
        <v>356</v>
      </c>
      <c r="G125" t="s">
        <v>357</v>
      </c>
      <c r="H125" t="s">
        <v>49</v>
      </c>
      <c r="I125" s="41">
        <v>9.33</v>
      </c>
      <c r="J125" s="40">
        <f>I125*(1-IFERROR(VLOOKUP(H125,Rabat!$D$10:$E$41,2,FALSE),0))</f>
        <v>9.33</v>
      </c>
      <c r="K125">
        <v>0.02</v>
      </c>
      <c r="L125" t="s">
        <v>1773</v>
      </c>
      <c r="M125" t="s">
        <v>1904</v>
      </c>
      <c r="N125" t="s">
        <v>1775</v>
      </c>
      <c r="O125" t="s">
        <v>1776</v>
      </c>
      <c r="P125">
        <v>100</v>
      </c>
      <c r="Q125">
        <v>6000</v>
      </c>
      <c r="R125" t="s">
        <v>1777</v>
      </c>
      <c r="S125" s="42" t="str">
        <f>HYPERLINK("https://sklep.kobi.pl/produkt/led-sw-45w-e14-4000k-nb")</f>
        <v>https://sklep.kobi.pl/produkt/led-sw-45w-e14-4000k-nb</v>
      </c>
      <c r="T125" s="42" t="str">
        <f>HYPERLINK("https://eprel.ec.europa.eu/qr/660762         ")</f>
        <v xml:space="preserve">https://eprel.ec.europa.eu/qr/660762         </v>
      </c>
      <c r="U125">
        <v>1.7999999999999999E-2</v>
      </c>
      <c r="V125">
        <v>2.5000000000000001E-2</v>
      </c>
      <c r="W125">
        <v>38</v>
      </c>
      <c r="X125">
        <v>38</v>
      </c>
      <c r="Y125">
        <v>106</v>
      </c>
      <c r="Z125" t="s">
        <v>1778</v>
      </c>
      <c r="AA125"/>
    </row>
    <row r="126" spans="1:27" ht="15" x14ac:dyDescent="0.25">
      <c r="A126" t="s">
        <v>44</v>
      </c>
      <c r="B126" t="s">
        <v>45</v>
      </c>
      <c r="C126" t="s">
        <v>105</v>
      </c>
      <c r="D126" t="s">
        <v>69</v>
      </c>
      <c r="E126" t="s">
        <v>71</v>
      </c>
      <c r="F126" t="s">
        <v>309</v>
      </c>
      <c r="G126" t="s">
        <v>310</v>
      </c>
      <c r="H126" t="s">
        <v>49</v>
      </c>
      <c r="I126" s="41">
        <v>9.33</v>
      </c>
      <c r="J126" s="40">
        <f>I126*(1-IFERROR(VLOOKUP(H126,Rabat!$D$10:$E$41,2,FALSE),0))</f>
        <v>9.33</v>
      </c>
      <c r="K126">
        <v>0.02</v>
      </c>
      <c r="L126" t="s">
        <v>1773</v>
      </c>
      <c r="M126" t="s">
        <v>1905</v>
      </c>
      <c r="N126" t="s">
        <v>1775</v>
      </c>
      <c r="O126" t="s">
        <v>1776</v>
      </c>
      <c r="P126">
        <v>100</v>
      </c>
      <c r="Q126">
        <v>6000</v>
      </c>
      <c r="R126" t="s">
        <v>1777</v>
      </c>
      <c r="S126" s="42" t="str">
        <f>HYPERLINK("https://sklep.kobi.pl/produkt/led-sw-45w-e14-6000k-zb")</f>
        <v>https://sklep.kobi.pl/produkt/led-sw-45w-e14-6000k-zb</v>
      </c>
      <c r="T126" s="42" t="str">
        <f>HYPERLINK("https://eprel.ec.europa.eu/qr/660763         ")</f>
        <v xml:space="preserve">https://eprel.ec.europa.eu/qr/660763         </v>
      </c>
      <c r="U126">
        <v>1.7999999999999999E-2</v>
      </c>
      <c r="V126">
        <v>2.5000000000000001E-2</v>
      </c>
      <c r="W126">
        <v>38</v>
      </c>
      <c r="X126">
        <v>38</v>
      </c>
      <c r="Y126">
        <v>106</v>
      </c>
      <c r="Z126" t="s">
        <v>1778</v>
      </c>
      <c r="AA126"/>
    </row>
    <row r="127" spans="1:27" ht="15" x14ac:dyDescent="0.25">
      <c r="A127" t="s">
        <v>44</v>
      </c>
      <c r="B127" t="s">
        <v>45</v>
      </c>
      <c r="C127" t="s">
        <v>105</v>
      </c>
      <c r="D127" t="s">
        <v>69</v>
      </c>
      <c r="E127" t="s">
        <v>71</v>
      </c>
      <c r="F127" t="s">
        <v>106</v>
      </c>
      <c r="G127" t="s">
        <v>107</v>
      </c>
      <c r="H127" t="s">
        <v>49</v>
      </c>
      <c r="I127" s="41">
        <v>10.02</v>
      </c>
      <c r="J127" s="40">
        <f>I127*(1-IFERROR(VLOOKUP(H127,Rabat!$D$10:$E$41,2,FALSE),0))</f>
        <v>10.02</v>
      </c>
      <c r="K127">
        <v>0.02</v>
      </c>
      <c r="L127" t="s">
        <v>1818</v>
      </c>
      <c r="M127" t="s">
        <v>1906</v>
      </c>
      <c r="N127" t="s">
        <v>1775</v>
      </c>
      <c r="O127" t="s">
        <v>1776</v>
      </c>
      <c r="P127">
        <v>100</v>
      </c>
      <c r="Q127">
        <v>6000</v>
      </c>
      <c r="R127" t="s">
        <v>1777</v>
      </c>
      <c r="S127" s="42" t="str">
        <f>HYPERLINK("https://sklep.kobi.pl/produkt/led-sw-6w-e14-3000k-cb")</f>
        <v>https://sklep.kobi.pl/produkt/led-sw-6w-e14-3000k-cb</v>
      </c>
      <c r="T127" s="42" t="str">
        <f>HYPERLINK("https://eprel.ec.europa.eu/qr/660765         ")</f>
        <v xml:space="preserve">https://eprel.ec.europa.eu/qr/660765         </v>
      </c>
      <c r="U127">
        <v>1.7999999999999999E-2</v>
      </c>
      <c r="V127">
        <v>2.5999999999999999E-2</v>
      </c>
      <c r="W127">
        <v>38</v>
      </c>
      <c r="X127">
        <v>38</v>
      </c>
      <c r="Y127">
        <v>106</v>
      </c>
      <c r="Z127" t="s">
        <v>1778</v>
      </c>
      <c r="AA127"/>
    </row>
    <row r="128" spans="1:27" ht="15" x14ac:dyDescent="0.25">
      <c r="A128" t="s">
        <v>44</v>
      </c>
      <c r="B128" t="s">
        <v>45</v>
      </c>
      <c r="C128" t="s">
        <v>105</v>
      </c>
      <c r="D128" t="s">
        <v>69</v>
      </c>
      <c r="E128" t="s">
        <v>71</v>
      </c>
      <c r="F128" t="s">
        <v>320</v>
      </c>
      <c r="G128" t="s">
        <v>321</v>
      </c>
      <c r="H128" t="s">
        <v>49</v>
      </c>
      <c r="I128" s="41">
        <v>10.02</v>
      </c>
      <c r="J128" s="40">
        <f>I128*(1-IFERROR(VLOOKUP(H128,Rabat!$D$10:$E$41,2,FALSE),0))</f>
        <v>10.02</v>
      </c>
      <c r="K128">
        <v>0.02</v>
      </c>
      <c r="L128" t="s">
        <v>1818</v>
      </c>
      <c r="M128" t="s">
        <v>1907</v>
      </c>
      <c r="N128" t="s">
        <v>1775</v>
      </c>
      <c r="O128" t="s">
        <v>1776</v>
      </c>
      <c r="P128">
        <v>100</v>
      </c>
      <c r="Q128">
        <v>6000</v>
      </c>
      <c r="R128" t="s">
        <v>1777</v>
      </c>
      <c r="S128" s="42" t="str">
        <f>HYPERLINK("https://sklep.kobi.pl/produkt/led-sw-6w-e14-4000k-nb")</f>
        <v>https://sklep.kobi.pl/produkt/led-sw-6w-e14-4000k-nb</v>
      </c>
      <c r="T128" s="42" t="str">
        <f>HYPERLINK("https://eprel.ec.europa.eu/qr/660766         ")</f>
        <v xml:space="preserve">https://eprel.ec.europa.eu/qr/660766         </v>
      </c>
      <c r="U128">
        <v>1.7999999999999999E-2</v>
      </c>
      <c r="V128">
        <v>2.5999999999999999E-2</v>
      </c>
      <c r="W128">
        <v>38</v>
      </c>
      <c r="X128">
        <v>38</v>
      </c>
      <c r="Y128">
        <v>106</v>
      </c>
      <c r="Z128" t="s">
        <v>1778</v>
      </c>
      <c r="AA128"/>
    </row>
    <row r="129" spans="1:27" ht="15" x14ac:dyDescent="0.25">
      <c r="A129" t="s">
        <v>44</v>
      </c>
      <c r="B129" t="s">
        <v>45</v>
      </c>
      <c r="C129" t="s">
        <v>105</v>
      </c>
      <c r="D129" t="s">
        <v>69</v>
      </c>
      <c r="E129" t="s">
        <v>71</v>
      </c>
      <c r="F129" t="s">
        <v>112</v>
      </c>
      <c r="G129" t="s">
        <v>113</v>
      </c>
      <c r="H129" t="s">
        <v>49</v>
      </c>
      <c r="I129" s="41">
        <v>10.02</v>
      </c>
      <c r="J129" s="40">
        <f>I129*(1-IFERROR(VLOOKUP(H129,Rabat!$D$10:$E$41,2,FALSE),0))</f>
        <v>10.02</v>
      </c>
      <c r="K129">
        <v>0.02</v>
      </c>
      <c r="L129" t="s">
        <v>1818</v>
      </c>
      <c r="M129" t="s">
        <v>1908</v>
      </c>
      <c r="N129" t="s">
        <v>1775</v>
      </c>
      <c r="O129" t="s">
        <v>1776</v>
      </c>
      <c r="P129">
        <v>100</v>
      </c>
      <c r="Q129">
        <v>6000</v>
      </c>
      <c r="R129" t="s">
        <v>1777</v>
      </c>
      <c r="S129" s="42" t="str">
        <f>HYPERLINK("https://sklep.kobi.pl/produkt/led-sw-6w-e14-6000k-zb")</f>
        <v>https://sklep.kobi.pl/produkt/led-sw-6w-e14-6000k-zb</v>
      </c>
      <c r="T129" s="42" t="str">
        <f>HYPERLINK("https://eprel.ec.europa.eu/qr/660767         ")</f>
        <v xml:space="preserve">https://eprel.ec.europa.eu/qr/660767         </v>
      </c>
      <c r="U129">
        <v>1.7999999999999999E-2</v>
      </c>
      <c r="V129">
        <v>2.5999999999999999E-2</v>
      </c>
      <c r="W129">
        <v>38</v>
      </c>
      <c r="X129">
        <v>38</v>
      </c>
      <c r="Y129">
        <v>106</v>
      </c>
      <c r="Z129" t="s">
        <v>1778</v>
      </c>
      <c r="AA129"/>
    </row>
    <row r="130" spans="1:27" ht="15" x14ac:dyDescent="0.25">
      <c r="A130" t="s">
        <v>44</v>
      </c>
      <c r="B130" t="s">
        <v>45</v>
      </c>
      <c r="C130" t="s">
        <v>105</v>
      </c>
      <c r="D130" t="s">
        <v>667</v>
      </c>
      <c r="E130" t="s">
        <v>71</v>
      </c>
      <c r="F130" t="s">
        <v>704</v>
      </c>
      <c r="G130" t="s">
        <v>705</v>
      </c>
      <c r="H130" t="s">
        <v>49</v>
      </c>
      <c r="I130" s="41">
        <v>8</v>
      </c>
      <c r="J130" s="40">
        <f>I130*(1-IFERROR(VLOOKUP(H130,Rabat!$D$10:$E$41,2,FALSE),0))</f>
        <v>8</v>
      </c>
      <c r="K130">
        <v>0.01</v>
      </c>
      <c r="L130" t="s">
        <v>1773</v>
      </c>
      <c r="M130" t="s">
        <v>1909</v>
      </c>
      <c r="N130" t="s">
        <v>1775</v>
      </c>
      <c r="O130" t="s">
        <v>1776</v>
      </c>
      <c r="P130">
        <v>100</v>
      </c>
      <c r="Q130">
        <v>6000</v>
      </c>
      <c r="R130" t="s">
        <v>1777</v>
      </c>
      <c r="S130" s="42" t="str">
        <f>HYPERLINK("https://sklep.kobi.pl/produkt/led-sw-7w-e14-3000k-led2b")</f>
        <v>https://sklep.kobi.pl/produkt/led-sw-7w-e14-3000k-led2b</v>
      </c>
      <c r="T130" s="42" t="str">
        <f>HYPERLINK("https://eprel.ec.europa.eu/qr/660313         ")</f>
        <v xml:space="preserve">https://eprel.ec.europa.eu/qr/660313         </v>
      </c>
      <c r="U130">
        <v>1.6E-2</v>
      </c>
      <c r="V130">
        <v>2.5000000000000001E-2</v>
      </c>
      <c r="W130">
        <v>45</v>
      </c>
      <c r="X130">
        <v>85</v>
      </c>
      <c r="Y130">
        <v>45</v>
      </c>
      <c r="Z130" t="s">
        <v>1778</v>
      </c>
      <c r="AA130"/>
    </row>
    <row r="131" spans="1:27" ht="15" x14ac:dyDescent="0.25">
      <c r="A131" t="s">
        <v>44</v>
      </c>
      <c r="B131" t="s">
        <v>45</v>
      </c>
      <c r="C131" t="s">
        <v>105</v>
      </c>
      <c r="D131" t="s">
        <v>667</v>
      </c>
      <c r="E131" t="s">
        <v>71</v>
      </c>
      <c r="F131" t="s">
        <v>706</v>
      </c>
      <c r="G131" t="s">
        <v>707</v>
      </c>
      <c r="H131" t="s">
        <v>49</v>
      </c>
      <c r="I131" s="41">
        <v>8</v>
      </c>
      <c r="J131" s="40">
        <f>I131*(1-IFERROR(VLOOKUP(H131,Rabat!$D$10:$E$41,2,FALSE),0))</f>
        <v>8</v>
      </c>
      <c r="K131">
        <v>0.01</v>
      </c>
      <c r="L131" t="s">
        <v>1773</v>
      </c>
      <c r="M131" t="s">
        <v>1910</v>
      </c>
      <c r="N131" t="s">
        <v>1775</v>
      </c>
      <c r="O131" t="s">
        <v>1776</v>
      </c>
      <c r="P131">
        <v>100</v>
      </c>
      <c r="Q131">
        <v>6000</v>
      </c>
      <c r="R131" t="s">
        <v>1777</v>
      </c>
      <c r="S131" s="42" t="str">
        <f>HYPERLINK("https://sklep.kobi.pl/produkt/led-sw-7w-e14-4000k-led2b")</f>
        <v>https://sklep.kobi.pl/produkt/led-sw-7w-e14-4000k-led2b</v>
      </c>
      <c r="T131" s="42" t="str">
        <f>HYPERLINK("https://eprel.ec.europa.eu/qr/660314         ")</f>
        <v xml:space="preserve">https://eprel.ec.europa.eu/qr/660314         </v>
      </c>
      <c r="U131">
        <v>1.6E-2</v>
      </c>
      <c r="V131">
        <v>2.5000000000000001E-2</v>
      </c>
      <c r="W131">
        <v>45</v>
      </c>
      <c r="X131">
        <v>85</v>
      </c>
      <c r="Y131">
        <v>45</v>
      </c>
      <c r="Z131" t="s">
        <v>1778</v>
      </c>
      <c r="AA131"/>
    </row>
    <row r="132" spans="1:27" ht="15" x14ac:dyDescent="0.25">
      <c r="A132" t="s">
        <v>44</v>
      </c>
      <c r="B132" t="s">
        <v>45</v>
      </c>
      <c r="C132" t="s">
        <v>105</v>
      </c>
      <c r="D132" t="s">
        <v>667</v>
      </c>
      <c r="E132" t="s">
        <v>71</v>
      </c>
      <c r="F132" t="s">
        <v>847</v>
      </c>
      <c r="G132" t="s">
        <v>848</v>
      </c>
      <c r="H132" t="s">
        <v>49</v>
      </c>
      <c r="I132" s="41">
        <v>8</v>
      </c>
      <c r="J132" s="40">
        <f>I132*(1-IFERROR(VLOOKUP(H132,Rabat!$D$10:$E$41,2,FALSE),0))</f>
        <v>8</v>
      </c>
      <c r="K132">
        <v>0.01</v>
      </c>
      <c r="L132" t="s">
        <v>1773</v>
      </c>
      <c r="M132" t="s">
        <v>1911</v>
      </c>
      <c r="N132" t="s">
        <v>1775</v>
      </c>
      <c r="O132" t="s">
        <v>1776</v>
      </c>
      <c r="P132">
        <v>100</v>
      </c>
      <c r="Q132">
        <v>6000</v>
      </c>
      <c r="R132" t="s">
        <v>1777</v>
      </c>
      <c r="S132" s="42" t="str">
        <f>HYPERLINK("https://sklep.kobi.pl/produkt/led-sw-7w-e14-6000k-led2b")</f>
        <v>https://sklep.kobi.pl/produkt/led-sw-7w-e14-6000k-led2b</v>
      </c>
      <c r="T132" s="42" t="str">
        <f>HYPERLINK("https://eprel.ec.europa.eu/qr/660316         ")</f>
        <v xml:space="preserve">https://eprel.ec.europa.eu/qr/660316         </v>
      </c>
      <c r="U132">
        <v>1.6E-2</v>
      </c>
      <c r="V132">
        <v>2.5000000000000001E-2</v>
      </c>
      <c r="W132">
        <v>45</v>
      </c>
      <c r="X132">
        <v>85</v>
      </c>
      <c r="Y132">
        <v>45</v>
      </c>
      <c r="Z132" t="s">
        <v>1778</v>
      </c>
      <c r="AA132"/>
    </row>
    <row r="133" spans="1:27" ht="15" x14ac:dyDescent="0.25">
      <c r="A133" t="s">
        <v>44</v>
      </c>
      <c r="B133" t="s">
        <v>45</v>
      </c>
      <c r="C133" t="s">
        <v>105</v>
      </c>
      <c r="D133" t="s">
        <v>424</v>
      </c>
      <c r="E133" t="s">
        <v>71</v>
      </c>
      <c r="F133" t="s">
        <v>441</v>
      </c>
      <c r="G133" t="s">
        <v>442</v>
      </c>
      <c r="H133" t="s">
        <v>49</v>
      </c>
      <c r="I133" s="41">
        <v>21.2</v>
      </c>
      <c r="J133" s="40">
        <f>I133*(1-IFERROR(VLOOKUP(H133,Rabat!$D$10:$E$41,2,FALSE),0))</f>
        <v>21.2</v>
      </c>
      <c r="K133">
        <v>0.04</v>
      </c>
      <c r="L133" t="s">
        <v>1773</v>
      </c>
      <c r="M133" t="s">
        <v>1912</v>
      </c>
      <c r="N133" t="s">
        <v>1775</v>
      </c>
      <c r="O133" t="s">
        <v>1776</v>
      </c>
      <c r="P133">
        <v>100</v>
      </c>
      <c r="Q133">
        <v>3600</v>
      </c>
      <c r="R133" t="s">
        <v>1777</v>
      </c>
      <c r="S133" s="42" t="str">
        <f>HYPERLINK("https://sklep.kobi.pl/produkt/led-sw-9w-e14-3000k-cb-premium")</f>
        <v>https://sklep.kobi.pl/produkt/led-sw-9w-e14-3000k-cb-premium</v>
      </c>
      <c r="T133" s="42" t="str">
        <f>HYPERLINK("https://eprel.ec.europa.eu/qr/660768         ")</f>
        <v xml:space="preserve">https://eprel.ec.europa.eu/qr/660768         </v>
      </c>
      <c r="U133">
        <v>4.4999999999999998E-2</v>
      </c>
      <c r="V133">
        <v>6.3E-2</v>
      </c>
      <c r="W133">
        <v>46</v>
      </c>
      <c r="X133">
        <v>46</v>
      </c>
      <c r="Y133">
        <v>125</v>
      </c>
      <c r="Z133" t="s">
        <v>1778</v>
      </c>
      <c r="AA133"/>
    </row>
    <row r="134" spans="1:27" ht="15" x14ac:dyDescent="0.25">
      <c r="A134" t="s">
        <v>44</v>
      </c>
      <c r="B134" t="s">
        <v>45</v>
      </c>
      <c r="C134" t="s">
        <v>105</v>
      </c>
      <c r="D134" t="s">
        <v>424</v>
      </c>
      <c r="E134" t="s">
        <v>71</v>
      </c>
      <c r="F134" t="s">
        <v>443</v>
      </c>
      <c r="G134" t="s">
        <v>444</v>
      </c>
      <c r="H134" t="s">
        <v>49</v>
      </c>
      <c r="I134" s="41">
        <v>21.2</v>
      </c>
      <c r="J134" s="40">
        <f>I134*(1-IFERROR(VLOOKUP(H134,Rabat!$D$10:$E$41,2,FALSE),0))</f>
        <v>21.2</v>
      </c>
      <c r="K134">
        <v>0.04</v>
      </c>
      <c r="L134" t="s">
        <v>1773</v>
      </c>
      <c r="M134" t="s">
        <v>1913</v>
      </c>
      <c r="N134" t="s">
        <v>1775</v>
      </c>
      <c r="O134" t="s">
        <v>1776</v>
      </c>
      <c r="P134">
        <v>100</v>
      </c>
      <c r="Q134">
        <v>3600</v>
      </c>
      <c r="R134" t="s">
        <v>1777</v>
      </c>
      <c r="S134" s="42" t="str">
        <f>HYPERLINK("https://sklep.kobi.pl/produkt/led-sw-9w-e14-4000k-nb-premium")</f>
        <v>https://sklep.kobi.pl/produkt/led-sw-9w-e14-4000k-nb-premium</v>
      </c>
      <c r="T134" s="42" t="str">
        <f>HYPERLINK("https://eprel.ec.europa.eu/qr/660769         ")</f>
        <v xml:space="preserve">https://eprel.ec.europa.eu/qr/660769         </v>
      </c>
      <c r="U134">
        <v>4.4999999999999998E-2</v>
      </c>
      <c r="V134">
        <v>6.3E-2</v>
      </c>
      <c r="W134">
        <v>45</v>
      </c>
      <c r="X134">
        <v>47</v>
      </c>
      <c r="Y134">
        <v>125</v>
      </c>
      <c r="Z134" t="s">
        <v>1778</v>
      </c>
      <c r="AA134"/>
    </row>
    <row r="135" spans="1:27" ht="15" x14ac:dyDescent="0.25">
      <c r="A135" t="s">
        <v>44</v>
      </c>
      <c r="B135" t="s">
        <v>45</v>
      </c>
      <c r="C135" t="s">
        <v>105</v>
      </c>
      <c r="D135" t="s">
        <v>424</v>
      </c>
      <c r="E135" t="s">
        <v>71</v>
      </c>
      <c r="F135" t="s">
        <v>507</v>
      </c>
      <c r="G135" t="s">
        <v>508</v>
      </c>
      <c r="H135" t="s">
        <v>49</v>
      </c>
      <c r="I135" s="41">
        <v>21.2</v>
      </c>
      <c r="J135" s="40">
        <f>I135*(1-IFERROR(VLOOKUP(H135,Rabat!$D$10:$E$41,2,FALSE),0))</f>
        <v>21.2</v>
      </c>
      <c r="K135">
        <v>0.04</v>
      </c>
      <c r="L135" t="s">
        <v>1773</v>
      </c>
      <c r="M135" t="s">
        <v>1914</v>
      </c>
      <c r="N135" t="s">
        <v>1775</v>
      </c>
      <c r="O135" t="s">
        <v>1776</v>
      </c>
      <c r="P135">
        <v>100</v>
      </c>
      <c r="Q135">
        <v>3600</v>
      </c>
      <c r="R135" t="s">
        <v>1777</v>
      </c>
      <c r="S135" s="42" t="str">
        <f>HYPERLINK("https://sklep.kobi.pl/produkt/led-sw-9w-e14-6000k-zb-premium")</f>
        <v>https://sklep.kobi.pl/produkt/led-sw-9w-e14-6000k-zb-premium</v>
      </c>
      <c r="T135" s="42" t="str">
        <f>HYPERLINK("https://eprel.ec.europa.eu/qr/660771         ")</f>
        <v xml:space="preserve">https://eprel.ec.europa.eu/qr/660771         </v>
      </c>
      <c r="U135">
        <v>4.4999999999999998E-2</v>
      </c>
      <c r="V135">
        <v>6.3E-2</v>
      </c>
      <c r="W135">
        <v>50</v>
      </c>
      <c r="X135">
        <v>125</v>
      </c>
      <c r="Y135">
        <v>45</v>
      </c>
      <c r="Z135" t="s">
        <v>1778</v>
      </c>
      <c r="AA135"/>
    </row>
    <row r="136" spans="1:27" ht="15" x14ac:dyDescent="0.25">
      <c r="A136" t="s">
        <v>44</v>
      </c>
      <c r="B136" t="s">
        <v>45</v>
      </c>
      <c r="C136" t="s">
        <v>114</v>
      </c>
      <c r="D136" t="s">
        <v>69</v>
      </c>
      <c r="E136" t="s">
        <v>149</v>
      </c>
      <c r="F136" t="s">
        <v>414</v>
      </c>
      <c r="G136" t="s">
        <v>415</v>
      </c>
      <c r="H136" t="s">
        <v>49</v>
      </c>
      <c r="I136" s="41">
        <v>9.33</v>
      </c>
      <c r="J136" s="40">
        <f>I136*(1-IFERROR(VLOOKUP(H136,Rabat!$D$10:$E$41,2,FALSE),0))</f>
        <v>9.33</v>
      </c>
      <c r="K136">
        <v>0.02</v>
      </c>
      <c r="L136" t="s">
        <v>1773</v>
      </c>
      <c r="M136" t="s">
        <v>1915</v>
      </c>
      <c r="N136" t="s">
        <v>1775</v>
      </c>
      <c r="O136" t="s">
        <v>1776</v>
      </c>
      <c r="P136">
        <v>100</v>
      </c>
      <c r="Q136">
        <v>0</v>
      </c>
      <c r="R136" t="s">
        <v>1777</v>
      </c>
      <c r="S136" s="42" t="str">
        <f>HYPERLINK("https://sklep.kobi.pl/produkt/led-sw-45w-e27-3000k-cb")</f>
        <v>https://sklep.kobi.pl/produkt/led-sw-45w-e27-3000k-cb</v>
      </c>
      <c r="T136" s="42" t="str">
        <f>HYPERLINK("https://eprel.ec.europa.eu/qr/660774         ")</f>
        <v xml:space="preserve">https://eprel.ec.europa.eu/qr/660774         </v>
      </c>
      <c r="U136">
        <v>0.02</v>
      </c>
      <c r="V136">
        <v>3.1E-2</v>
      </c>
      <c r="W136">
        <v>39</v>
      </c>
      <c r="X136">
        <v>39</v>
      </c>
      <c r="Y136">
        <v>108</v>
      </c>
      <c r="Z136" t="s">
        <v>1778</v>
      </c>
      <c r="AA136"/>
    </row>
    <row r="137" spans="1:27" ht="15" x14ac:dyDescent="0.25">
      <c r="A137" t="s">
        <v>44</v>
      </c>
      <c r="B137" t="s">
        <v>45</v>
      </c>
      <c r="C137" t="s">
        <v>114</v>
      </c>
      <c r="D137" t="s">
        <v>69</v>
      </c>
      <c r="E137" t="s">
        <v>71</v>
      </c>
      <c r="F137" t="s">
        <v>115</v>
      </c>
      <c r="G137" t="s">
        <v>116</v>
      </c>
      <c r="H137" t="s">
        <v>49</v>
      </c>
      <c r="I137" s="41">
        <v>10.02</v>
      </c>
      <c r="J137" s="40">
        <f>I137*(1-IFERROR(VLOOKUP(H137,Rabat!$D$10:$E$41,2,FALSE),0))</f>
        <v>10.02</v>
      </c>
      <c r="K137">
        <v>0.02</v>
      </c>
      <c r="L137" t="s">
        <v>1818</v>
      </c>
      <c r="M137" t="s">
        <v>1916</v>
      </c>
      <c r="N137" t="s">
        <v>1775</v>
      </c>
      <c r="O137" t="s">
        <v>1776</v>
      </c>
      <c r="P137">
        <v>100</v>
      </c>
      <c r="Q137">
        <v>0</v>
      </c>
      <c r="R137" t="s">
        <v>1777</v>
      </c>
      <c r="S137" s="42" t="str">
        <f>HYPERLINK("https://sklep.kobi.pl/produkt/led-sw-6w-e27-3000k-cb")</f>
        <v>https://sklep.kobi.pl/produkt/led-sw-6w-e27-3000k-cb</v>
      </c>
      <c r="T137" s="42" t="str">
        <f>HYPERLINK("https://eprel.ec.europa.eu/qr/660782         ")</f>
        <v xml:space="preserve">https://eprel.ec.europa.eu/qr/660782         </v>
      </c>
      <c r="U137">
        <v>0.02</v>
      </c>
      <c r="V137">
        <v>2.9000000000000001E-2</v>
      </c>
      <c r="W137">
        <v>40</v>
      </c>
      <c r="X137">
        <v>38</v>
      </c>
      <c r="Y137">
        <v>106</v>
      </c>
      <c r="Z137" t="s">
        <v>1778</v>
      </c>
      <c r="AA137"/>
    </row>
    <row r="138" spans="1:27" ht="15" x14ac:dyDescent="0.25">
      <c r="A138" t="s">
        <v>44</v>
      </c>
      <c r="B138" t="s">
        <v>45</v>
      </c>
      <c r="C138" t="s">
        <v>114</v>
      </c>
      <c r="D138" t="s">
        <v>69</v>
      </c>
      <c r="E138" t="s">
        <v>71</v>
      </c>
      <c r="F138" t="s">
        <v>322</v>
      </c>
      <c r="G138" t="s">
        <v>323</v>
      </c>
      <c r="H138" t="s">
        <v>49</v>
      </c>
      <c r="I138" s="41">
        <v>10.02</v>
      </c>
      <c r="J138" s="40">
        <f>I138*(1-IFERROR(VLOOKUP(H138,Rabat!$D$10:$E$41,2,FALSE),0))</f>
        <v>10.02</v>
      </c>
      <c r="K138">
        <v>0.02</v>
      </c>
      <c r="L138" t="s">
        <v>1818</v>
      </c>
      <c r="M138" t="s">
        <v>1917</v>
      </c>
      <c r="N138" t="s">
        <v>1775</v>
      </c>
      <c r="O138" t="s">
        <v>1776</v>
      </c>
      <c r="P138">
        <v>100</v>
      </c>
      <c r="Q138">
        <v>0</v>
      </c>
      <c r="R138" t="s">
        <v>1777</v>
      </c>
      <c r="S138" s="42" t="str">
        <f>HYPERLINK("https://sklep.kobi.pl/produkt/led-sw-6w-e27-4000k-nb")</f>
        <v>https://sklep.kobi.pl/produkt/led-sw-6w-e27-4000k-nb</v>
      </c>
      <c r="T138" s="42" t="str">
        <f>HYPERLINK("https://eprel.ec.europa.eu/qr/660784         ")</f>
        <v xml:space="preserve">https://eprel.ec.europa.eu/qr/660784         </v>
      </c>
      <c r="U138">
        <v>0.02</v>
      </c>
      <c r="V138">
        <v>2.9000000000000001E-2</v>
      </c>
      <c r="W138">
        <v>38</v>
      </c>
      <c r="X138">
        <v>38</v>
      </c>
      <c r="Y138">
        <v>106</v>
      </c>
      <c r="Z138" t="s">
        <v>1778</v>
      </c>
      <c r="AA138"/>
    </row>
    <row r="139" spans="1:27" ht="15" x14ac:dyDescent="0.25">
      <c r="A139" t="s">
        <v>44</v>
      </c>
      <c r="B139" t="s">
        <v>45</v>
      </c>
      <c r="C139" t="s">
        <v>114</v>
      </c>
      <c r="D139" t="s">
        <v>69</v>
      </c>
      <c r="E139" t="s">
        <v>71</v>
      </c>
      <c r="F139" t="s">
        <v>117</v>
      </c>
      <c r="G139" t="s">
        <v>118</v>
      </c>
      <c r="H139" t="s">
        <v>49</v>
      </c>
      <c r="I139" s="41">
        <v>10.02</v>
      </c>
      <c r="J139" s="40">
        <f>I139*(1-IFERROR(VLOOKUP(H139,Rabat!$D$10:$E$41,2,FALSE),0))</f>
        <v>10.02</v>
      </c>
      <c r="K139">
        <v>0.02</v>
      </c>
      <c r="L139" t="s">
        <v>1818</v>
      </c>
      <c r="M139" t="s">
        <v>1918</v>
      </c>
      <c r="N139" t="s">
        <v>1775</v>
      </c>
      <c r="O139" t="s">
        <v>1776</v>
      </c>
      <c r="P139">
        <v>100</v>
      </c>
      <c r="Q139">
        <v>0</v>
      </c>
      <c r="R139" t="s">
        <v>1777</v>
      </c>
      <c r="S139" s="42" t="str">
        <f>HYPERLINK("https://sklep.kobi.pl/produkt/led-sw-6w-e27-6000k-zb")</f>
        <v>https://sklep.kobi.pl/produkt/led-sw-6w-e27-6000k-zb</v>
      </c>
      <c r="T139" s="42" t="str">
        <f>HYPERLINK("https://eprel.ec.europa.eu/qr/660786         ")</f>
        <v xml:space="preserve">https://eprel.ec.europa.eu/qr/660786         </v>
      </c>
      <c r="U139">
        <v>0.02</v>
      </c>
      <c r="V139">
        <v>2.9000000000000001E-2</v>
      </c>
      <c r="W139">
        <v>38</v>
      </c>
      <c r="X139">
        <v>38</v>
      </c>
      <c r="Y139">
        <v>106</v>
      </c>
      <c r="Z139" t="s">
        <v>1778</v>
      </c>
      <c r="AA139"/>
    </row>
    <row r="140" spans="1:27" ht="15" x14ac:dyDescent="0.25">
      <c r="A140" t="s">
        <v>44</v>
      </c>
      <c r="B140" t="s">
        <v>45</v>
      </c>
      <c r="C140" t="s">
        <v>114</v>
      </c>
      <c r="D140" t="s">
        <v>667</v>
      </c>
      <c r="E140" t="s">
        <v>71</v>
      </c>
      <c r="F140" t="s">
        <v>708</v>
      </c>
      <c r="G140" t="s">
        <v>709</v>
      </c>
      <c r="H140" t="s">
        <v>49</v>
      </c>
      <c r="I140" s="41">
        <v>8</v>
      </c>
      <c r="J140" s="40">
        <f>I140*(1-IFERROR(VLOOKUP(H140,Rabat!$D$10:$E$41,2,FALSE),0))</f>
        <v>8</v>
      </c>
      <c r="K140">
        <v>0.02</v>
      </c>
      <c r="L140" t="s">
        <v>1773</v>
      </c>
      <c r="M140" t="s">
        <v>1919</v>
      </c>
      <c r="N140" t="s">
        <v>1775</v>
      </c>
      <c r="O140" t="s">
        <v>1776</v>
      </c>
      <c r="P140">
        <v>100</v>
      </c>
      <c r="Q140">
        <v>6000</v>
      </c>
      <c r="R140" t="s">
        <v>1777</v>
      </c>
      <c r="S140" s="42" t="str">
        <f>HYPERLINK("https://sklep.kobi.pl/produkt/led-sw-7w-e27-3000k-led2b")</f>
        <v>https://sklep.kobi.pl/produkt/led-sw-7w-e27-3000k-led2b</v>
      </c>
      <c r="T140" s="42" t="str">
        <f>HYPERLINK("https://eprel.ec.europa.eu/qr/660526         ")</f>
        <v xml:space="preserve">https://eprel.ec.europa.eu/qr/660526         </v>
      </c>
      <c r="U140">
        <v>1.9E-2</v>
      </c>
      <c r="V140">
        <v>2.9000000000000001E-2</v>
      </c>
      <c r="W140">
        <v>45</v>
      </c>
      <c r="X140">
        <v>85</v>
      </c>
      <c r="Y140">
        <v>45</v>
      </c>
      <c r="Z140" t="s">
        <v>1778</v>
      </c>
      <c r="AA140"/>
    </row>
    <row r="141" spans="1:27" ht="15" x14ac:dyDescent="0.25">
      <c r="A141" t="s">
        <v>44</v>
      </c>
      <c r="B141" t="s">
        <v>45</v>
      </c>
      <c r="C141" t="s">
        <v>114</v>
      </c>
      <c r="D141" t="s">
        <v>667</v>
      </c>
      <c r="E141" t="s">
        <v>71</v>
      </c>
      <c r="F141" t="s">
        <v>710</v>
      </c>
      <c r="G141" t="s">
        <v>711</v>
      </c>
      <c r="H141" t="s">
        <v>49</v>
      </c>
      <c r="I141" s="41">
        <v>8</v>
      </c>
      <c r="J141" s="40">
        <f>I141*(1-IFERROR(VLOOKUP(H141,Rabat!$D$10:$E$41,2,FALSE),0))</f>
        <v>8</v>
      </c>
      <c r="K141">
        <v>0.02</v>
      </c>
      <c r="L141" t="s">
        <v>1773</v>
      </c>
      <c r="M141" t="s">
        <v>1920</v>
      </c>
      <c r="N141" t="s">
        <v>1775</v>
      </c>
      <c r="O141" t="s">
        <v>1776</v>
      </c>
      <c r="P141">
        <v>100</v>
      </c>
      <c r="Q141">
        <v>6000</v>
      </c>
      <c r="R141" t="s">
        <v>1777</v>
      </c>
      <c r="S141" s="42" t="str">
        <f>HYPERLINK("https://sklep.kobi.pl/produkt/led-sw-7w-e27-4000k-led2b")</f>
        <v>https://sklep.kobi.pl/produkt/led-sw-7w-e27-4000k-led2b</v>
      </c>
      <c r="T141" s="42" t="str">
        <f>HYPERLINK("https://eprel.ec.europa.eu/qr/660607         ")</f>
        <v xml:space="preserve">https://eprel.ec.europa.eu/qr/660607         </v>
      </c>
      <c r="U141">
        <v>1.9E-2</v>
      </c>
      <c r="V141">
        <v>2.9000000000000001E-2</v>
      </c>
      <c r="W141">
        <v>45</v>
      </c>
      <c r="X141">
        <v>85</v>
      </c>
      <c r="Y141">
        <v>45</v>
      </c>
      <c r="Z141" t="s">
        <v>1778</v>
      </c>
      <c r="AA141"/>
    </row>
    <row r="142" spans="1:27" ht="15" x14ac:dyDescent="0.25">
      <c r="A142" t="s">
        <v>44</v>
      </c>
      <c r="B142" t="s">
        <v>45</v>
      </c>
      <c r="C142" t="s">
        <v>114</v>
      </c>
      <c r="D142" t="s">
        <v>667</v>
      </c>
      <c r="E142" t="s">
        <v>71</v>
      </c>
      <c r="F142" t="s">
        <v>849</v>
      </c>
      <c r="G142" t="s">
        <v>850</v>
      </c>
      <c r="H142" t="s">
        <v>49</v>
      </c>
      <c r="I142" s="41">
        <v>8</v>
      </c>
      <c r="J142" s="40">
        <f>I142*(1-IFERROR(VLOOKUP(H142,Rabat!$D$10:$E$41,2,FALSE),0))</f>
        <v>8</v>
      </c>
      <c r="K142">
        <v>0.02</v>
      </c>
      <c r="L142" t="s">
        <v>1773</v>
      </c>
      <c r="M142" t="s">
        <v>1921</v>
      </c>
      <c r="N142" t="s">
        <v>1775</v>
      </c>
      <c r="O142" t="s">
        <v>1776</v>
      </c>
      <c r="P142">
        <v>100</v>
      </c>
      <c r="Q142">
        <v>6000</v>
      </c>
      <c r="R142" t="s">
        <v>1777</v>
      </c>
      <c r="S142" s="42" t="str">
        <f>HYPERLINK("https://sklep.kobi.pl/produkt/led-sw-7w-e27-6000k-led2b")</f>
        <v>https://sklep.kobi.pl/produkt/led-sw-7w-e27-6000k-led2b</v>
      </c>
      <c r="T142" s="42" t="str">
        <f>HYPERLINK("https://eprel.ec.europa.eu/qr/660609         ")</f>
        <v xml:space="preserve">https://eprel.ec.europa.eu/qr/660609         </v>
      </c>
      <c r="U142">
        <v>1.9E-2</v>
      </c>
      <c r="V142">
        <v>2.9000000000000001E-2</v>
      </c>
      <c r="W142">
        <v>45</v>
      </c>
      <c r="X142">
        <v>85</v>
      </c>
      <c r="Y142">
        <v>45</v>
      </c>
      <c r="Z142" t="s">
        <v>1778</v>
      </c>
      <c r="AA142"/>
    </row>
    <row r="143" spans="1:27" ht="15" x14ac:dyDescent="0.25">
      <c r="A143" t="s">
        <v>44</v>
      </c>
      <c r="B143" t="s">
        <v>45</v>
      </c>
      <c r="C143" t="s">
        <v>114</v>
      </c>
      <c r="D143" t="s">
        <v>424</v>
      </c>
      <c r="E143" t="s">
        <v>71</v>
      </c>
      <c r="F143" t="s">
        <v>548</v>
      </c>
      <c r="G143" t="s">
        <v>549</v>
      </c>
      <c r="H143" t="s">
        <v>49</v>
      </c>
      <c r="I143" s="41">
        <v>21.2</v>
      </c>
      <c r="J143" s="40">
        <f>I143*(1-IFERROR(VLOOKUP(H143,Rabat!$D$10:$E$41,2,FALSE),0))</f>
        <v>21.2</v>
      </c>
      <c r="K143">
        <v>0.04</v>
      </c>
      <c r="L143" t="s">
        <v>1773</v>
      </c>
      <c r="M143" t="s">
        <v>1922</v>
      </c>
      <c r="N143" t="s">
        <v>1775</v>
      </c>
      <c r="O143" t="s">
        <v>1776</v>
      </c>
      <c r="P143">
        <v>100</v>
      </c>
      <c r="Q143">
        <v>3600</v>
      </c>
      <c r="R143" t="s">
        <v>1777</v>
      </c>
      <c r="S143" s="42" t="str">
        <f>HYPERLINK("https://sklep.kobi.pl/produkt/led-sw-9w-e27-3000k-cb-premium")</f>
        <v>https://sklep.kobi.pl/produkt/led-sw-9w-e27-3000k-cb-premium</v>
      </c>
      <c r="T143" s="42" t="str">
        <f>HYPERLINK("https://eprel.ec.europa.eu/qr/660788         ")</f>
        <v xml:space="preserve">https://eprel.ec.europa.eu/qr/660788         </v>
      </c>
      <c r="U143">
        <v>0.05</v>
      </c>
      <c r="V143">
        <v>6.8000000000000005E-2</v>
      </c>
      <c r="W143">
        <v>50</v>
      </c>
      <c r="X143">
        <v>125</v>
      </c>
      <c r="Y143">
        <v>45</v>
      </c>
      <c r="Z143" t="s">
        <v>1778</v>
      </c>
      <c r="AA143"/>
    </row>
    <row r="144" spans="1:27" ht="15" x14ac:dyDescent="0.25">
      <c r="A144" t="s">
        <v>44</v>
      </c>
      <c r="B144" t="s">
        <v>45</v>
      </c>
      <c r="C144" t="s">
        <v>114</v>
      </c>
      <c r="D144" t="s">
        <v>424</v>
      </c>
      <c r="E144" t="s">
        <v>71</v>
      </c>
      <c r="F144" t="s">
        <v>550</v>
      </c>
      <c r="G144" t="s">
        <v>551</v>
      </c>
      <c r="H144" t="s">
        <v>49</v>
      </c>
      <c r="I144" s="41">
        <v>21.2</v>
      </c>
      <c r="J144" s="40">
        <f>I144*(1-IFERROR(VLOOKUP(H144,Rabat!$D$10:$E$41,2,FALSE),0))</f>
        <v>21.2</v>
      </c>
      <c r="K144">
        <v>0.04</v>
      </c>
      <c r="L144" t="s">
        <v>1773</v>
      </c>
      <c r="M144" t="s">
        <v>1923</v>
      </c>
      <c r="N144" t="s">
        <v>1775</v>
      </c>
      <c r="O144" t="s">
        <v>1776</v>
      </c>
      <c r="P144">
        <v>100</v>
      </c>
      <c r="Q144">
        <v>3600</v>
      </c>
      <c r="R144" t="s">
        <v>1777</v>
      </c>
      <c r="S144" s="42" t="str">
        <f>HYPERLINK("https://sklep.kobi.pl/produkt/led-sw-9w-e27-4000k-nb-premium")</f>
        <v>https://sklep.kobi.pl/produkt/led-sw-9w-e27-4000k-nb-premium</v>
      </c>
      <c r="T144" s="42" t="str">
        <f>HYPERLINK("https://eprel.ec.europa.eu/qr/660791         ")</f>
        <v xml:space="preserve">https://eprel.ec.europa.eu/qr/660791         </v>
      </c>
      <c r="U144">
        <v>0.05</v>
      </c>
      <c r="V144">
        <v>6.8000000000000005E-2</v>
      </c>
      <c r="W144">
        <v>50</v>
      </c>
      <c r="X144">
        <v>125</v>
      </c>
      <c r="Y144">
        <v>45</v>
      </c>
      <c r="Z144" t="s">
        <v>1778</v>
      </c>
      <c r="AA144"/>
    </row>
    <row r="145" spans="1:27" ht="15" x14ac:dyDescent="0.25">
      <c r="A145" t="s">
        <v>44</v>
      </c>
      <c r="B145" t="s">
        <v>45</v>
      </c>
      <c r="C145" t="s">
        <v>114</v>
      </c>
      <c r="D145" t="s">
        <v>424</v>
      </c>
      <c r="E145" t="s">
        <v>71</v>
      </c>
      <c r="F145" t="s">
        <v>511</v>
      </c>
      <c r="G145" t="s">
        <v>512</v>
      </c>
      <c r="H145" t="s">
        <v>49</v>
      </c>
      <c r="I145" s="41">
        <v>21.2</v>
      </c>
      <c r="J145" s="40">
        <f>I145*(1-IFERROR(VLOOKUP(H145,Rabat!$D$10:$E$41,2,FALSE),0))</f>
        <v>21.2</v>
      </c>
      <c r="K145">
        <v>0.04</v>
      </c>
      <c r="L145" t="s">
        <v>1773</v>
      </c>
      <c r="M145" t="s">
        <v>1924</v>
      </c>
      <c r="N145" t="s">
        <v>1775</v>
      </c>
      <c r="O145" t="s">
        <v>1776</v>
      </c>
      <c r="P145">
        <v>100</v>
      </c>
      <c r="Q145">
        <v>3600</v>
      </c>
      <c r="R145" t="s">
        <v>1777</v>
      </c>
      <c r="S145" s="42" t="str">
        <f>HYPERLINK("https://sklep.kobi.pl/produkt/led-sw-9w-e27-6000k-zb-premium")</f>
        <v>https://sklep.kobi.pl/produkt/led-sw-9w-e27-6000k-zb-premium</v>
      </c>
      <c r="T145" s="42" t="str">
        <f>HYPERLINK("https://eprel.ec.europa.eu/qr/660792         ")</f>
        <v xml:space="preserve">https://eprel.ec.europa.eu/qr/660792         </v>
      </c>
      <c r="U145">
        <v>0.05</v>
      </c>
      <c r="V145">
        <v>6.8000000000000005E-2</v>
      </c>
      <c r="W145">
        <v>50</v>
      </c>
      <c r="X145">
        <v>125</v>
      </c>
      <c r="Y145">
        <v>45</v>
      </c>
      <c r="Z145" t="s">
        <v>1778</v>
      </c>
      <c r="AA145"/>
    </row>
    <row r="146" spans="1:27" ht="15" x14ac:dyDescent="0.25">
      <c r="A146" t="s">
        <v>44</v>
      </c>
      <c r="B146" t="s">
        <v>45</v>
      </c>
      <c r="C146" t="s">
        <v>328</v>
      </c>
      <c r="D146" t="s">
        <v>69</v>
      </c>
      <c r="E146" t="s">
        <v>71</v>
      </c>
      <c r="F146" t="s">
        <v>329</v>
      </c>
      <c r="G146" t="s">
        <v>330</v>
      </c>
      <c r="H146" t="s">
        <v>49</v>
      </c>
      <c r="I146" s="41">
        <v>12.5</v>
      </c>
      <c r="J146" s="40">
        <f>I146*(1-IFERROR(VLOOKUP(H146,Rabat!$D$10:$E$41,2,FALSE),0))</f>
        <v>12.5</v>
      </c>
      <c r="K146">
        <v>0.02</v>
      </c>
      <c r="L146" t="s">
        <v>1773</v>
      </c>
      <c r="M146" t="s">
        <v>1925</v>
      </c>
      <c r="N146" t="s">
        <v>1775</v>
      </c>
      <c r="O146" t="s">
        <v>1776</v>
      </c>
      <c r="P146">
        <v>100</v>
      </c>
      <c r="Q146">
        <v>0</v>
      </c>
      <c r="R146" t="s">
        <v>1777</v>
      </c>
      <c r="S146" s="42" t="str">
        <f>HYPERLINK("https://sklep.kobi.pl/produkt/led-t-2w-e14-4000k-150lm-360st-nb")</f>
        <v>https://sklep.kobi.pl/produkt/led-t-2w-e14-4000k-150lm-360st-nb</v>
      </c>
      <c r="T146" s="42" t="str">
        <f>HYPERLINK("https://eprel.ec.europa.eu/qr/770526         ")</f>
        <v xml:space="preserve">https://eprel.ec.europa.eu/qr/770526         </v>
      </c>
      <c r="U146">
        <v>0.02</v>
      </c>
      <c r="V146">
        <v>0.03</v>
      </c>
      <c r="W146">
        <v>35</v>
      </c>
      <c r="X146">
        <v>25</v>
      </c>
      <c r="Y146">
        <v>25</v>
      </c>
      <c r="Z146" t="s">
        <v>1778</v>
      </c>
      <c r="AA146"/>
    </row>
    <row r="147" spans="1:27" ht="15" x14ac:dyDescent="0.25">
      <c r="A147" t="s">
        <v>44</v>
      </c>
      <c r="B147" t="s">
        <v>45</v>
      </c>
      <c r="C147" t="s">
        <v>328</v>
      </c>
      <c r="D147" t="s">
        <v>69</v>
      </c>
      <c r="E147" t="s">
        <v>71</v>
      </c>
      <c r="F147" t="s">
        <v>896</v>
      </c>
      <c r="G147" t="s">
        <v>897</v>
      </c>
      <c r="H147" t="s">
        <v>49</v>
      </c>
      <c r="I147" s="41">
        <v>18.010000000000002</v>
      </c>
      <c r="J147" s="40">
        <f>I147*(1-IFERROR(VLOOKUP(H147,Rabat!$D$10:$E$41,2,FALSE),0))</f>
        <v>18.010000000000002</v>
      </c>
      <c r="K147">
        <v>0.01</v>
      </c>
      <c r="L147" t="s">
        <v>1773</v>
      </c>
      <c r="M147" t="s">
        <v>1926</v>
      </c>
      <c r="N147" t="s">
        <v>1775</v>
      </c>
      <c r="O147" t="s">
        <v>1776</v>
      </c>
      <c r="P147">
        <v>100</v>
      </c>
      <c r="Q147">
        <v>0</v>
      </c>
      <c r="R147" t="s">
        <v>1777</v>
      </c>
      <c r="S147" s="42" t="str">
        <f>HYPERLINK("https://sklep.kobi.pl/produkt/led-t-42w-e14-4000k")</f>
        <v>https://sklep.kobi.pl/produkt/led-t-42w-e14-4000k</v>
      </c>
      <c r="T147" s="42" t="str">
        <f>HYPERLINK("https://eprel.ec.europa.eu/qr/660816         ")</f>
        <v xml:space="preserve">https://eprel.ec.europa.eu/qr/660816         </v>
      </c>
      <c r="U147">
        <v>1.4E-2</v>
      </c>
      <c r="V147">
        <v>0.18</v>
      </c>
      <c r="W147">
        <v>55</v>
      </c>
      <c r="X147">
        <v>25</v>
      </c>
      <c r="Y147">
        <v>25</v>
      </c>
      <c r="Z147" t="s">
        <v>1778</v>
      </c>
      <c r="AA147"/>
    </row>
    <row r="148" spans="1:27" ht="15" x14ac:dyDescent="0.25">
      <c r="A148" t="s">
        <v>44</v>
      </c>
      <c r="B148" t="s">
        <v>45</v>
      </c>
      <c r="C148" t="s">
        <v>654</v>
      </c>
      <c r="D148" t="s">
        <v>667</v>
      </c>
      <c r="E148" t="s">
        <v>149</v>
      </c>
      <c r="F148" t="s">
        <v>1626</v>
      </c>
      <c r="G148" t="s">
        <v>1627</v>
      </c>
      <c r="H148" t="s">
        <v>49</v>
      </c>
      <c r="I148" s="41">
        <v>15.47</v>
      </c>
      <c r="J148" s="40">
        <f>I148*(1-IFERROR(VLOOKUP(H148,Rabat!$D$10:$E$41,2,FALSE),0))</f>
        <v>15.47</v>
      </c>
      <c r="K148">
        <v>0.06</v>
      </c>
      <c r="L148" t="s">
        <v>1773</v>
      </c>
      <c r="M148" t="s">
        <v>1927</v>
      </c>
      <c r="N148" t="s">
        <v>1775</v>
      </c>
      <c r="O148" t="s">
        <v>1776</v>
      </c>
      <c r="P148">
        <v>25</v>
      </c>
      <c r="Q148">
        <v>1600</v>
      </c>
      <c r="R148" t="s">
        <v>1777</v>
      </c>
      <c r="S148"/>
      <c r="T148" s="42" t="str">
        <f>HYPERLINK("https://eprel.ec.europa.eu/qr/660629         ")</f>
        <v xml:space="preserve">https://eprel.ec.europa.eu/qr/660629         </v>
      </c>
      <c r="U148">
        <v>7.1999999999999995E-2</v>
      </c>
      <c r="V148">
        <v>9.8000000000000004E-2</v>
      </c>
      <c r="W148">
        <v>30</v>
      </c>
      <c r="X148">
        <v>600</v>
      </c>
      <c r="Y148">
        <v>30</v>
      </c>
      <c r="Z148" t="s">
        <v>1778</v>
      </c>
      <c r="AA148"/>
    </row>
    <row r="149" spans="1:27" ht="15" x14ac:dyDescent="0.25">
      <c r="A149" t="s">
        <v>44</v>
      </c>
      <c r="B149" t="s">
        <v>45</v>
      </c>
      <c r="C149" t="s">
        <v>654</v>
      </c>
      <c r="D149" t="s">
        <v>667</v>
      </c>
      <c r="E149" t="s">
        <v>71</v>
      </c>
      <c r="F149" t="s">
        <v>1218</v>
      </c>
      <c r="G149" t="s">
        <v>1219</v>
      </c>
      <c r="H149" t="s">
        <v>49</v>
      </c>
      <c r="I149" s="41">
        <v>14.72</v>
      </c>
      <c r="J149" s="40">
        <f>I149*(1-IFERROR(VLOOKUP(H149,Rabat!$D$10:$E$41,2,FALSE),0))</f>
        <v>14.72</v>
      </c>
      <c r="K149">
        <v>0.08</v>
      </c>
      <c r="L149" t="s">
        <v>1773</v>
      </c>
      <c r="M149" t="s">
        <v>1928</v>
      </c>
      <c r="N149" t="s">
        <v>1775</v>
      </c>
      <c r="O149" t="s">
        <v>1776</v>
      </c>
      <c r="P149">
        <v>25</v>
      </c>
      <c r="Q149">
        <v>0</v>
      </c>
      <c r="R149" t="s">
        <v>1777</v>
      </c>
      <c r="S149" s="42" t="str">
        <f>HYPERLINK("https://sklep.kobi.pl/produkt/swiet-led-t8-60cm-9w-4000k-led2b")</f>
        <v>https://sklep.kobi.pl/produkt/swiet-led-t8-60cm-9w-4000k-led2b</v>
      </c>
      <c r="T149" s="42" t="str">
        <f>HYPERLINK("https://eprel.ec.europa.eu/qr/821844         ")</f>
        <v xml:space="preserve">https://eprel.ec.europa.eu/qr/821844         </v>
      </c>
      <c r="U149">
        <v>0.1</v>
      </c>
      <c r="V149"/>
      <c r="W149"/>
      <c r="X149"/>
      <c r="Y149"/>
      <c r="Z149" t="s">
        <v>1778</v>
      </c>
      <c r="AA149"/>
    </row>
    <row r="150" spans="1:27" ht="15" x14ac:dyDescent="0.25">
      <c r="A150" t="s">
        <v>44</v>
      </c>
      <c r="B150" t="s">
        <v>45</v>
      </c>
      <c r="C150" t="s">
        <v>654</v>
      </c>
      <c r="D150" t="s">
        <v>667</v>
      </c>
      <c r="E150" t="s">
        <v>71</v>
      </c>
      <c r="F150" t="s">
        <v>1220</v>
      </c>
      <c r="G150" t="s">
        <v>1221</v>
      </c>
      <c r="H150" t="s">
        <v>49</v>
      </c>
      <c r="I150" s="41">
        <v>14.72</v>
      </c>
      <c r="J150" s="40">
        <f>I150*(1-IFERROR(VLOOKUP(H150,Rabat!$D$10:$E$41,2,FALSE),0))</f>
        <v>14.72</v>
      </c>
      <c r="K150">
        <v>0.08</v>
      </c>
      <c r="L150" t="s">
        <v>1773</v>
      </c>
      <c r="M150" t="s">
        <v>1929</v>
      </c>
      <c r="N150" t="s">
        <v>1775</v>
      </c>
      <c r="O150" t="s">
        <v>1776</v>
      </c>
      <c r="P150">
        <v>25</v>
      </c>
      <c r="Q150">
        <v>0</v>
      </c>
      <c r="R150" t="s">
        <v>1777</v>
      </c>
      <c r="S150" s="42" t="str">
        <f>HYPERLINK("https://sklep.kobi.pl/produkt/swiet-led-t8-60cm-9w-6000k-led2b")</f>
        <v>https://sklep.kobi.pl/produkt/swiet-led-t8-60cm-9w-6000k-led2b</v>
      </c>
      <c r="T150" s="42" t="str">
        <f>HYPERLINK("https://eprel.ec.europa.eu/qr/821851         ")</f>
        <v xml:space="preserve">https://eprel.ec.europa.eu/qr/821851         </v>
      </c>
      <c r="U150">
        <v>0.1</v>
      </c>
      <c r="V150"/>
      <c r="W150"/>
      <c r="X150"/>
      <c r="Y150"/>
      <c r="Z150" t="s">
        <v>1778</v>
      </c>
      <c r="AA150"/>
    </row>
    <row r="151" spans="1:27" ht="15" x14ac:dyDescent="0.25">
      <c r="A151" t="s">
        <v>44</v>
      </c>
      <c r="B151" t="s">
        <v>45</v>
      </c>
      <c r="C151" t="s">
        <v>654</v>
      </c>
      <c r="D151" t="s">
        <v>667</v>
      </c>
      <c r="E151" t="s">
        <v>1289</v>
      </c>
      <c r="F151" t="s">
        <v>1347</v>
      </c>
      <c r="G151" t="s">
        <v>1348</v>
      </c>
      <c r="H151" t="s">
        <v>49</v>
      </c>
      <c r="I151" s="41">
        <v>10.210000000000001</v>
      </c>
      <c r="J151" s="40">
        <f>I151*(1-IFERROR(VLOOKUP(H151,Rabat!$D$10:$E$41,2,FALSE),0))</f>
        <v>10.210000000000001</v>
      </c>
      <c r="K151">
        <v>0.08</v>
      </c>
      <c r="L151" t="s">
        <v>1773</v>
      </c>
      <c r="M151" t="s">
        <v>1930</v>
      </c>
      <c r="N151" t="s">
        <v>1775</v>
      </c>
      <c r="O151" t="s">
        <v>1776</v>
      </c>
      <c r="P151">
        <v>30</v>
      </c>
      <c r="Q151">
        <v>2160</v>
      </c>
      <c r="R151" t="s">
        <v>1777</v>
      </c>
      <c r="S151" s="42" t="str">
        <f>HYPERLINK("https://sklep.kobi.pl/produkt/led-t8-9w-60cm-4000k-led2b-red")</f>
        <v>https://sklep.kobi.pl/produkt/led-t8-9w-60cm-4000k-led2b-red</v>
      </c>
      <c r="T151" s="42" t="str">
        <f>HYPERLINK("https://eprel.ec.europa.eu/qr/1694474        ")</f>
        <v xml:space="preserve">https://eprel.ec.europa.eu/qr/1694474        </v>
      </c>
      <c r="U151">
        <v>0.09</v>
      </c>
      <c r="V151">
        <v>0</v>
      </c>
      <c r="W151">
        <v>0</v>
      </c>
      <c r="X151">
        <v>0</v>
      </c>
      <c r="Y151">
        <v>0</v>
      </c>
      <c r="Z151" t="s">
        <v>1778</v>
      </c>
      <c r="AA151"/>
    </row>
    <row r="152" spans="1:27" ht="15" x14ac:dyDescent="0.25">
      <c r="A152" t="s">
        <v>44</v>
      </c>
      <c r="B152" t="s">
        <v>45</v>
      </c>
      <c r="C152" t="s">
        <v>654</v>
      </c>
      <c r="D152" t="s">
        <v>667</v>
      </c>
      <c r="E152" t="s">
        <v>1289</v>
      </c>
      <c r="F152" t="s">
        <v>1349</v>
      </c>
      <c r="G152" t="s">
        <v>1350</v>
      </c>
      <c r="H152" t="s">
        <v>49</v>
      </c>
      <c r="I152" s="41">
        <v>10.210000000000001</v>
      </c>
      <c r="J152" s="40">
        <f>I152*(1-IFERROR(VLOOKUP(H152,Rabat!$D$10:$E$41,2,FALSE),0))</f>
        <v>10.210000000000001</v>
      </c>
      <c r="K152">
        <v>0.08</v>
      </c>
      <c r="L152" t="s">
        <v>1773</v>
      </c>
      <c r="M152" t="s">
        <v>1931</v>
      </c>
      <c r="N152" t="s">
        <v>1775</v>
      </c>
      <c r="O152" t="s">
        <v>1776</v>
      </c>
      <c r="P152">
        <v>30</v>
      </c>
      <c r="Q152">
        <v>2160</v>
      </c>
      <c r="R152" t="s">
        <v>1777</v>
      </c>
      <c r="S152" s="42" t="str">
        <f>HYPERLINK("https://sklep.kobi.pl/produkt/led-t8-9w-60cm-6500k-led2b-red")</f>
        <v>https://sklep.kobi.pl/produkt/led-t8-9w-60cm-6500k-led2b-red</v>
      </c>
      <c r="T152" s="42" t="str">
        <f>HYPERLINK("https://eprel.ec.europa.eu/qr/1694534        ")</f>
        <v xml:space="preserve">https://eprel.ec.europa.eu/qr/1694534        </v>
      </c>
      <c r="U152">
        <v>0.09</v>
      </c>
      <c r="V152">
        <v>0</v>
      </c>
      <c r="W152">
        <v>0</v>
      </c>
      <c r="X152">
        <v>0</v>
      </c>
      <c r="Y152">
        <v>0</v>
      </c>
      <c r="Z152" t="s">
        <v>1778</v>
      </c>
      <c r="AA152"/>
    </row>
    <row r="153" spans="1:27" ht="15" x14ac:dyDescent="0.25">
      <c r="A153" t="s">
        <v>44</v>
      </c>
      <c r="B153" t="s">
        <v>45</v>
      </c>
      <c r="C153" t="s">
        <v>654</v>
      </c>
      <c r="D153" t="s">
        <v>424</v>
      </c>
      <c r="E153" t="s">
        <v>71</v>
      </c>
      <c r="F153" t="s">
        <v>655</v>
      </c>
      <c r="G153" t="s">
        <v>656</v>
      </c>
      <c r="H153" t="s">
        <v>49</v>
      </c>
      <c r="I153" s="41">
        <v>21.13</v>
      </c>
      <c r="J153" s="40">
        <f>I153*(1-IFERROR(VLOOKUP(H153,Rabat!$D$10:$E$41,2,FALSE),0))</f>
        <v>21.13</v>
      </c>
      <c r="K153">
        <v>0.09</v>
      </c>
      <c r="L153" t="s">
        <v>1779</v>
      </c>
      <c r="M153" t="s">
        <v>1932</v>
      </c>
      <c r="N153" t="s">
        <v>1775</v>
      </c>
      <c r="O153" t="s">
        <v>1776</v>
      </c>
      <c r="P153">
        <v>25</v>
      </c>
      <c r="Q153">
        <v>1600</v>
      </c>
      <c r="R153" t="s">
        <v>1820</v>
      </c>
      <c r="S153" s="42" t="str">
        <f>HYPERLINK("https://sklep.kobi.pl/produkt/led-t8-9w-60cm-4000k-premium-")</f>
        <v>https://sklep.kobi.pl/produkt/led-t8-9w-60cm-4000k-premium-</v>
      </c>
      <c r="T153" s="42" t="str">
        <f>HYPERLINK("https://eprel.ec.europa.eu/qr/660798         ")</f>
        <v xml:space="preserve">https://eprel.ec.europa.eu/qr/660798         </v>
      </c>
      <c r="U153">
        <v>0.104</v>
      </c>
      <c r="V153">
        <v>0.15</v>
      </c>
      <c r="W153">
        <v>30</v>
      </c>
      <c r="X153">
        <v>600</v>
      </c>
      <c r="Y153">
        <v>30</v>
      </c>
      <c r="Z153" t="s">
        <v>1778</v>
      </c>
      <c r="AA153"/>
    </row>
    <row r="154" spans="1:27" ht="15" x14ac:dyDescent="0.25">
      <c r="A154" t="s">
        <v>44</v>
      </c>
      <c r="B154" t="s">
        <v>45</v>
      </c>
      <c r="C154" t="s">
        <v>654</v>
      </c>
      <c r="D154" t="s">
        <v>424</v>
      </c>
      <c r="E154" t="s">
        <v>71</v>
      </c>
      <c r="F154" t="s">
        <v>657</v>
      </c>
      <c r="G154" t="s">
        <v>658</v>
      </c>
      <c r="H154" t="s">
        <v>49</v>
      </c>
      <c r="I154" s="41">
        <v>21.13</v>
      </c>
      <c r="J154" s="40">
        <f>I154*(1-IFERROR(VLOOKUP(H154,Rabat!$D$10:$E$41,2,FALSE),0))</f>
        <v>21.13</v>
      </c>
      <c r="K154">
        <v>0.09</v>
      </c>
      <c r="L154" t="s">
        <v>1779</v>
      </c>
      <c r="M154" t="s">
        <v>1933</v>
      </c>
      <c r="N154" t="s">
        <v>1775</v>
      </c>
      <c r="O154" t="s">
        <v>1776</v>
      </c>
      <c r="P154">
        <v>25</v>
      </c>
      <c r="Q154">
        <v>1600</v>
      </c>
      <c r="R154" t="s">
        <v>1820</v>
      </c>
      <c r="S154" s="42" t="str">
        <f>HYPERLINK("https://sklep.kobi.pl/produkt/led-t8-9w-60cm-6500k-premium")</f>
        <v>https://sklep.kobi.pl/produkt/led-t8-9w-60cm-6500k-premium</v>
      </c>
      <c r="T154" s="42" t="str">
        <f>HYPERLINK("https://eprel.ec.europa.eu/qr/660799         ")</f>
        <v xml:space="preserve">https://eprel.ec.europa.eu/qr/660799         </v>
      </c>
      <c r="U154">
        <v>0.104</v>
      </c>
      <c r="V154">
        <v>0.15</v>
      </c>
      <c r="W154">
        <v>30</v>
      </c>
      <c r="X154">
        <v>600</v>
      </c>
      <c r="Y154">
        <v>30</v>
      </c>
      <c r="Z154" t="s">
        <v>1778</v>
      </c>
      <c r="AA154"/>
    </row>
    <row r="155" spans="1:27" ht="15" x14ac:dyDescent="0.25">
      <c r="A155" t="s">
        <v>44</v>
      </c>
      <c r="B155" t="s">
        <v>45</v>
      </c>
      <c r="C155" t="s">
        <v>654</v>
      </c>
      <c r="D155" t="s">
        <v>667</v>
      </c>
      <c r="E155" t="s">
        <v>71</v>
      </c>
      <c r="F155" t="s">
        <v>1097</v>
      </c>
      <c r="G155" t="s">
        <v>1098</v>
      </c>
      <c r="H155" t="s">
        <v>49</v>
      </c>
      <c r="I155" s="41">
        <v>19.75</v>
      </c>
      <c r="J155" s="40">
        <f>I155*(1-IFERROR(VLOOKUP(H155,Rabat!$D$10:$E$41,2,FALSE),0))</f>
        <v>19.75</v>
      </c>
      <c r="K155">
        <v>0.15</v>
      </c>
      <c r="L155" t="s">
        <v>1773</v>
      </c>
      <c r="M155" t="s">
        <v>1934</v>
      </c>
      <c r="N155" t="s">
        <v>1775</v>
      </c>
      <c r="O155" t="s">
        <v>1776</v>
      </c>
      <c r="P155">
        <v>25</v>
      </c>
      <c r="Q155">
        <v>900</v>
      </c>
      <c r="R155" t="s">
        <v>1777</v>
      </c>
      <c r="S155" s="42" t="str">
        <f>HYPERLINK("https://sklep.kobi.pl/produkt/led-t8-18w-120cm-6500k-led2b")</f>
        <v>https://sklep.kobi.pl/produkt/led-t8-18w-120cm-6500k-led2b</v>
      </c>
      <c r="T155" s="42" t="str">
        <f>HYPERLINK("https://eprel.ec.europa.eu/qr/821876         ")</f>
        <v xml:space="preserve">https://eprel.ec.europa.eu/qr/821876         </v>
      </c>
      <c r="U155">
        <v>0.17299999999999999</v>
      </c>
      <c r="V155">
        <v>0.191</v>
      </c>
      <c r="W155">
        <v>30</v>
      </c>
      <c r="X155">
        <v>1200</v>
      </c>
      <c r="Y155">
        <v>30</v>
      </c>
      <c r="Z155" t="s">
        <v>1778</v>
      </c>
      <c r="AA155"/>
    </row>
    <row r="156" spans="1:27" ht="15" x14ac:dyDescent="0.25">
      <c r="A156" t="s">
        <v>44</v>
      </c>
      <c r="B156" t="s">
        <v>45</v>
      </c>
      <c r="C156" t="s">
        <v>654</v>
      </c>
      <c r="D156" t="s">
        <v>667</v>
      </c>
      <c r="E156" t="s">
        <v>71</v>
      </c>
      <c r="F156" t="s">
        <v>1179</v>
      </c>
      <c r="G156" t="s">
        <v>1180</v>
      </c>
      <c r="H156" t="s">
        <v>49</v>
      </c>
      <c r="I156" s="41">
        <v>19.75</v>
      </c>
      <c r="J156" s="40">
        <f>I156*(1-IFERROR(VLOOKUP(H156,Rabat!$D$10:$E$41,2,FALSE),0))</f>
        <v>19.75</v>
      </c>
      <c r="K156">
        <v>0.15</v>
      </c>
      <c r="L156" t="s">
        <v>1773</v>
      </c>
      <c r="M156" t="s">
        <v>1935</v>
      </c>
      <c r="N156" t="s">
        <v>1775</v>
      </c>
      <c r="O156" t="s">
        <v>1776</v>
      </c>
      <c r="P156">
        <v>25</v>
      </c>
      <c r="Q156">
        <v>900</v>
      </c>
      <c r="R156" t="s">
        <v>1777</v>
      </c>
      <c r="S156" s="42" t="str">
        <f>HYPERLINK("https://sklep.kobi.pl/produkt/led-t8-18w-120cm-4000k-led2b")</f>
        <v>https://sklep.kobi.pl/produkt/led-t8-18w-120cm-4000k-led2b</v>
      </c>
      <c r="T156" s="42" t="str">
        <f>HYPERLINK("https://eprel.ec.europa.eu/qr/821866         ")</f>
        <v xml:space="preserve">https://eprel.ec.europa.eu/qr/821866         </v>
      </c>
      <c r="U156">
        <v>0.17299999999999999</v>
      </c>
      <c r="V156">
        <v>0.191</v>
      </c>
      <c r="W156">
        <v>30</v>
      </c>
      <c r="X156">
        <v>1200</v>
      </c>
      <c r="Y156">
        <v>30</v>
      </c>
      <c r="Z156" t="s">
        <v>1778</v>
      </c>
      <c r="AA156"/>
    </row>
    <row r="157" spans="1:27" ht="15" x14ac:dyDescent="0.25">
      <c r="A157" t="s">
        <v>44</v>
      </c>
      <c r="B157" t="s">
        <v>45</v>
      </c>
      <c r="C157" t="s">
        <v>654</v>
      </c>
      <c r="D157" t="s">
        <v>667</v>
      </c>
      <c r="E157" t="s">
        <v>71</v>
      </c>
      <c r="F157" t="s">
        <v>1353</v>
      </c>
      <c r="G157" t="s">
        <v>1354</v>
      </c>
      <c r="H157" t="s">
        <v>49</v>
      </c>
      <c r="I157" s="41">
        <v>13.38</v>
      </c>
      <c r="J157" s="40">
        <f>I157*(1-IFERROR(VLOOKUP(H157,Rabat!$D$10:$E$41,2,FALSE),0))</f>
        <v>13.38</v>
      </c>
      <c r="K157">
        <v>0.15</v>
      </c>
      <c r="L157" t="s">
        <v>1773</v>
      </c>
      <c r="M157" t="s">
        <v>1936</v>
      </c>
      <c r="N157" t="s">
        <v>1775</v>
      </c>
      <c r="O157" t="s">
        <v>1776</v>
      </c>
      <c r="P157">
        <v>30</v>
      </c>
      <c r="Q157">
        <v>1080</v>
      </c>
      <c r="R157" t="s">
        <v>1777</v>
      </c>
      <c r="S157" s="42" t="str">
        <f>HYPERLINK("https://sklep.kobi.pl/produkt/led-t8-18w-120cm-4000k-led2b-red")</f>
        <v>https://sklep.kobi.pl/produkt/led-t8-18w-120cm-4000k-led2b-red</v>
      </c>
      <c r="T157" s="42" t="str">
        <f>HYPERLINK("https://eprel.ec.europa.eu/qr/1694581        ")</f>
        <v xml:space="preserve">https://eprel.ec.europa.eu/qr/1694581        </v>
      </c>
      <c r="U157">
        <v>0.18</v>
      </c>
      <c r="V157">
        <v>0</v>
      </c>
      <c r="W157">
        <v>0</v>
      </c>
      <c r="X157">
        <v>0</v>
      </c>
      <c r="Y157">
        <v>0</v>
      </c>
      <c r="Z157" t="s">
        <v>1778</v>
      </c>
      <c r="AA157"/>
    </row>
    <row r="158" spans="1:27" ht="15" x14ac:dyDescent="0.25">
      <c r="A158" t="s">
        <v>44</v>
      </c>
      <c r="B158" t="s">
        <v>45</v>
      </c>
      <c r="C158" t="s">
        <v>654</v>
      </c>
      <c r="D158" t="s">
        <v>667</v>
      </c>
      <c r="E158" t="s">
        <v>1289</v>
      </c>
      <c r="F158" t="s">
        <v>1351</v>
      </c>
      <c r="G158" t="s">
        <v>1352</v>
      </c>
      <c r="H158" t="s">
        <v>49</v>
      </c>
      <c r="I158" s="41">
        <v>13.38</v>
      </c>
      <c r="J158" s="40">
        <f>I158*(1-IFERROR(VLOOKUP(H158,Rabat!$D$10:$E$41,2,FALSE),0))</f>
        <v>13.38</v>
      </c>
      <c r="K158">
        <v>0.15</v>
      </c>
      <c r="L158" t="s">
        <v>1773</v>
      </c>
      <c r="M158" t="s">
        <v>1937</v>
      </c>
      <c r="N158" t="s">
        <v>1775</v>
      </c>
      <c r="O158" t="s">
        <v>1776</v>
      </c>
      <c r="P158">
        <v>30</v>
      </c>
      <c r="Q158">
        <v>1080</v>
      </c>
      <c r="R158" t="s">
        <v>1777</v>
      </c>
      <c r="S158" s="42" t="str">
        <f>HYPERLINK("https://sklep.kobi.pl/produkt/led-t8-18w-120cm-6500k-led2b-red")</f>
        <v>https://sklep.kobi.pl/produkt/led-t8-18w-120cm-6500k-led2b-red</v>
      </c>
      <c r="T158" s="42" t="str">
        <f>HYPERLINK("https://eprel.ec.europa.eu/qr/1694744        ")</f>
        <v xml:space="preserve">https://eprel.ec.europa.eu/qr/1694744        </v>
      </c>
      <c r="U158">
        <v>0.18</v>
      </c>
      <c r="V158">
        <v>0</v>
      </c>
      <c r="W158">
        <v>0</v>
      </c>
      <c r="X158">
        <v>0</v>
      </c>
      <c r="Y158">
        <v>0</v>
      </c>
      <c r="Z158" t="s">
        <v>1778</v>
      </c>
      <c r="AA158"/>
    </row>
    <row r="159" spans="1:27" ht="15" x14ac:dyDescent="0.25">
      <c r="A159" t="s">
        <v>44</v>
      </c>
      <c r="B159" t="s">
        <v>45</v>
      </c>
      <c r="C159" t="s">
        <v>654</v>
      </c>
      <c r="D159" t="s">
        <v>424</v>
      </c>
      <c r="E159" t="s">
        <v>149</v>
      </c>
      <c r="F159" t="s">
        <v>1287</v>
      </c>
      <c r="G159" t="s">
        <v>1288</v>
      </c>
      <c r="H159" t="s">
        <v>49</v>
      </c>
      <c r="I159" s="41">
        <v>29.81</v>
      </c>
      <c r="J159" s="40">
        <f>I159*(1-IFERROR(VLOOKUP(H159,Rabat!$D$10:$E$41,2,FALSE),0))</f>
        <v>29.81</v>
      </c>
      <c r="K159">
        <v>0.15</v>
      </c>
      <c r="L159" t="s">
        <v>1779</v>
      </c>
      <c r="M159" t="s">
        <v>1938</v>
      </c>
      <c r="N159" t="s">
        <v>1775</v>
      </c>
      <c r="O159" t="s">
        <v>1776</v>
      </c>
      <c r="P159">
        <v>25</v>
      </c>
      <c r="Q159">
        <v>900</v>
      </c>
      <c r="R159" t="s">
        <v>1820</v>
      </c>
      <c r="S159" s="42" t="str">
        <f>HYPERLINK("https://sklep.kobi.pl/produkt/led-t8-18w-120cm-3000k-premium")</f>
        <v>https://sklep.kobi.pl/produkt/led-t8-18w-120cm-3000k-premium</v>
      </c>
      <c r="T159" s="42" t="str">
        <f>HYPERLINK("https://eprel.ec.europa.eu/qr/1420718        ")</f>
        <v xml:space="preserve">https://eprel.ec.europa.eu/qr/1420718        </v>
      </c>
      <c r="U159">
        <v>0.22</v>
      </c>
      <c r="V159">
        <v>0</v>
      </c>
      <c r="W159">
        <v>0</v>
      </c>
      <c r="X159">
        <v>0</v>
      </c>
      <c r="Y159">
        <v>0</v>
      </c>
      <c r="Z159" t="s">
        <v>1778</v>
      </c>
      <c r="AA159"/>
    </row>
    <row r="160" spans="1:27" ht="15" x14ac:dyDescent="0.25">
      <c r="A160" t="s">
        <v>44</v>
      </c>
      <c r="B160" t="s">
        <v>45</v>
      </c>
      <c r="C160" t="s">
        <v>654</v>
      </c>
      <c r="D160" t="s">
        <v>424</v>
      </c>
      <c r="E160" t="s">
        <v>71</v>
      </c>
      <c r="F160" t="s">
        <v>659</v>
      </c>
      <c r="G160" t="s">
        <v>660</v>
      </c>
      <c r="H160" t="s">
        <v>49</v>
      </c>
      <c r="I160" s="41">
        <v>29.81</v>
      </c>
      <c r="J160" s="40">
        <f>I160*(1-IFERROR(VLOOKUP(H160,Rabat!$D$10:$E$41,2,FALSE),0))</f>
        <v>29.81</v>
      </c>
      <c r="K160">
        <v>0.15</v>
      </c>
      <c r="L160" t="s">
        <v>1779</v>
      </c>
      <c r="M160" t="s">
        <v>1939</v>
      </c>
      <c r="N160" t="s">
        <v>1775</v>
      </c>
      <c r="O160" t="s">
        <v>1776</v>
      </c>
      <c r="P160">
        <v>25</v>
      </c>
      <c r="Q160">
        <v>900</v>
      </c>
      <c r="R160" t="s">
        <v>1820</v>
      </c>
      <c r="S160" s="42" t="str">
        <f>HYPERLINK("https://sklep.kobi.pl/produkt/led-t8-18w-120cm-4000k-premium-")</f>
        <v>https://sklep.kobi.pl/produkt/led-t8-18w-120cm-4000k-premium-</v>
      </c>
      <c r="T160" s="42" t="str">
        <f>HYPERLINK("https://eprel.ec.europa.eu/qr/792298         ")</f>
        <v xml:space="preserve">https://eprel.ec.europa.eu/qr/792298         </v>
      </c>
      <c r="U160">
        <v>0.183</v>
      </c>
      <c r="V160">
        <v>0.27200000000000002</v>
      </c>
      <c r="W160">
        <v>30</v>
      </c>
      <c r="X160">
        <v>1200</v>
      </c>
      <c r="Y160">
        <v>30</v>
      </c>
      <c r="Z160" t="s">
        <v>1778</v>
      </c>
      <c r="AA160"/>
    </row>
    <row r="161" spans="1:27" ht="15" x14ac:dyDescent="0.25">
      <c r="A161" t="s">
        <v>44</v>
      </c>
      <c r="B161" t="s">
        <v>45</v>
      </c>
      <c r="C161" t="s">
        <v>654</v>
      </c>
      <c r="D161" t="s">
        <v>424</v>
      </c>
      <c r="E161" t="s">
        <v>71</v>
      </c>
      <c r="F161" t="s">
        <v>661</v>
      </c>
      <c r="G161" t="s">
        <v>662</v>
      </c>
      <c r="H161" t="s">
        <v>49</v>
      </c>
      <c r="I161" s="41">
        <v>29.81</v>
      </c>
      <c r="J161" s="40">
        <f>I161*(1-IFERROR(VLOOKUP(H161,Rabat!$D$10:$E$41,2,FALSE),0))</f>
        <v>29.81</v>
      </c>
      <c r="K161">
        <v>0.15</v>
      </c>
      <c r="L161" t="s">
        <v>1779</v>
      </c>
      <c r="M161" t="s">
        <v>1940</v>
      </c>
      <c r="N161" t="s">
        <v>1775</v>
      </c>
      <c r="O161" t="s">
        <v>1776</v>
      </c>
      <c r="P161">
        <v>25</v>
      </c>
      <c r="Q161">
        <v>900</v>
      </c>
      <c r="R161" t="s">
        <v>1820</v>
      </c>
      <c r="S161" s="42" t="str">
        <f>HYPERLINK("https://sklep.kobi.pl/produkt/led-t8-18w-120cm-6500k-premium")</f>
        <v>https://sklep.kobi.pl/produkt/led-t8-18w-120cm-6500k-premium</v>
      </c>
      <c r="T161" s="42" t="str">
        <f>HYPERLINK("https://eprel.ec.europa.eu/qr/660793         ")</f>
        <v xml:space="preserve">https://eprel.ec.europa.eu/qr/660793         </v>
      </c>
      <c r="U161">
        <v>0.183</v>
      </c>
      <c r="V161">
        <v>0.27200000000000002</v>
      </c>
      <c r="W161">
        <v>30</v>
      </c>
      <c r="X161">
        <v>1200</v>
      </c>
      <c r="Y161">
        <v>30</v>
      </c>
      <c r="Z161" t="s">
        <v>1778</v>
      </c>
      <c r="AA161"/>
    </row>
    <row r="162" spans="1:27" ht="15" x14ac:dyDescent="0.25">
      <c r="A162" t="s">
        <v>44</v>
      </c>
      <c r="B162" t="s">
        <v>45</v>
      </c>
      <c r="C162" t="s">
        <v>654</v>
      </c>
      <c r="D162" t="s">
        <v>667</v>
      </c>
      <c r="E162" t="s">
        <v>71</v>
      </c>
      <c r="F162" t="s">
        <v>668</v>
      </c>
      <c r="G162" t="s">
        <v>669</v>
      </c>
      <c r="H162" t="s">
        <v>49</v>
      </c>
      <c r="I162" s="41">
        <v>24.78</v>
      </c>
      <c r="J162" s="40">
        <f>I162*(1-IFERROR(VLOOKUP(H162,Rabat!$D$10:$E$41,2,FALSE),0))</f>
        <v>24.78</v>
      </c>
      <c r="K162">
        <v>0.18</v>
      </c>
      <c r="L162" t="s">
        <v>1773</v>
      </c>
      <c r="M162" t="s">
        <v>1941</v>
      </c>
      <c r="N162" t="s">
        <v>1775</v>
      </c>
      <c r="O162" t="s">
        <v>1776</v>
      </c>
      <c r="P162">
        <v>25</v>
      </c>
      <c r="Q162">
        <v>700</v>
      </c>
      <c r="R162" t="s">
        <v>1777</v>
      </c>
      <c r="S162" s="42" t="str">
        <f>HYPERLINK("https://sklep.kobi.pl/produkt/led-t8-22w-150cm-4000k-led2b")</f>
        <v>https://sklep.kobi.pl/produkt/led-t8-22w-150cm-4000k-led2b</v>
      </c>
      <c r="T162" s="42" t="str">
        <f>HYPERLINK("https://eprel.ec.europa.eu/qr/914694         ")</f>
        <v xml:space="preserve">https://eprel.ec.europa.eu/qr/914694         </v>
      </c>
      <c r="U162">
        <v>0.20799999999999999</v>
      </c>
      <c r="V162">
        <v>0.222</v>
      </c>
      <c r="W162">
        <v>30</v>
      </c>
      <c r="X162">
        <v>1500</v>
      </c>
      <c r="Y162">
        <v>30</v>
      </c>
      <c r="Z162" t="s">
        <v>1778</v>
      </c>
      <c r="AA162"/>
    </row>
    <row r="163" spans="1:27" ht="15" x14ac:dyDescent="0.25">
      <c r="A163" t="s">
        <v>44</v>
      </c>
      <c r="B163" t="s">
        <v>45</v>
      </c>
      <c r="C163" t="s">
        <v>654</v>
      </c>
      <c r="D163" t="s">
        <v>667</v>
      </c>
      <c r="E163" t="s">
        <v>71</v>
      </c>
      <c r="F163" t="s">
        <v>670</v>
      </c>
      <c r="G163" t="s">
        <v>671</v>
      </c>
      <c r="H163" t="s">
        <v>49</v>
      </c>
      <c r="I163" s="41">
        <v>24.78</v>
      </c>
      <c r="J163" s="40">
        <f>I163*(1-IFERROR(VLOOKUP(H163,Rabat!$D$10:$E$41,2,FALSE),0))</f>
        <v>24.78</v>
      </c>
      <c r="K163">
        <v>0.18</v>
      </c>
      <c r="L163" t="s">
        <v>1773</v>
      </c>
      <c r="M163" t="s">
        <v>1942</v>
      </c>
      <c r="N163" t="s">
        <v>1775</v>
      </c>
      <c r="O163" t="s">
        <v>1776</v>
      </c>
      <c r="P163">
        <v>25</v>
      </c>
      <c r="Q163">
        <v>700</v>
      </c>
      <c r="R163" t="s">
        <v>1777</v>
      </c>
      <c r="S163" s="42" t="str">
        <f>HYPERLINK("https://sklep.kobi.pl/produkt/led-t8-22w-150cm-6500k-led2b")</f>
        <v>https://sklep.kobi.pl/produkt/led-t8-22w-150cm-6500k-led2b</v>
      </c>
      <c r="T163" s="42" t="str">
        <f>HYPERLINK("https://eprel.ec.europa.eu/qr/914714         ")</f>
        <v xml:space="preserve">https://eprel.ec.europa.eu/qr/914714         </v>
      </c>
      <c r="U163">
        <v>0.20799999999999999</v>
      </c>
      <c r="V163">
        <v>0.222</v>
      </c>
      <c r="W163">
        <v>30</v>
      </c>
      <c r="X163">
        <v>1500</v>
      </c>
      <c r="Y163">
        <v>30</v>
      </c>
      <c r="Z163" t="s">
        <v>1778</v>
      </c>
      <c r="AA163"/>
    </row>
    <row r="164" spans="1:27" ht="15" x14ac:dyDescent="0.25">
      <c r="A164" t="s">
        <v>44</v>
      </c>
      <c r="B164" t="s">
        <v>45</v>
      </c>
      <c r="C164" t="s">
        <v>654</v>
      </c>
      <c r="D164" t="s">
        <v>667</v>
      </c>
      <c r="E164" t="s">
        <v>1289</v>
      </c>
      <c r="F164" t="s">
        <v>1355</v>
      </c>
      <c r="G164" t="s">
        <v>1356</v>
      </c>
      <c r="H164" t="s">
        <v>49</v>
      </c>
      <c r="I164" s="41">
        <v>17.21</v>
      </c>
      <c r="J164" s="40">
        <f>I164*(1-IFERROR(VLOOKUP(H164,Rabat!$D$10:$E$41,2,FALSE),0))</f>
        <v>17.21</v>
      </c>
      <c r="K164">
        <v>0.19</v>
      </c>
      <c r="L164" t="s">
        <v>1773</v>
      </c>
      <c r="M164" t="s">
        <v>1943</v>
      </c>
      <c r="N164" t="s">
        <v>1775</v>
      </c>
      <c r="O164" t="s">
        <v>1776</v>
      </c>
      <c r="P164">
        <v>30</v>
      </c>
      <c r="Q164">
        <v>840</v>
      </c>
      <c r="R164" t="s">
        <v>1777</v>
      </c>
      <c r="S164" s="42" t="str">
        <f>HYPERLINK("https://sklep.kobi.pl/produkt/led-t8-22w-150cm-4000k-led2b-red")</f>
        <v>https://sklep.kobi.pl/produkt/led-t8-22w-150cm-4000k-led2b-red</v>
      </c>
      <c r="T164" s="42" t="str">
        <f>HYPERLINK("https://eprel.ec.europa.eu/qr/1694757        ")</f>
        <v xml:space="preserve">https://eprel.ec.europa.eu/qr/1694757        </v>
      </c>
      <c r="U164">
        <v>0.23</v>
      </c>
      <c r="V164">
        <v>0</v>
      </c>
      <c r="W164">
        <v>0</v>
      </c>
      <c r="X164">
        <v>0</v>
      </c>
      <c r="Y164">
        <v>0</v>
      </c>
      <c r="Z164" t="s">
        <v>1778</v>
      </c>
      <c r="AA164"/>
    </row>
    <row r="165" spans="1:27" ht="15" x14ac:dyDescent="0.25">
      <c r="A165" t="s">
        <v>44</v>
      </c>
      <c r="B165" t="s">
        <v>45</v>
      </c>
      <c r="C165" t="s">
        <v>654</v>
      </c>
      <c r="D165" t="s">
        <v>667</v>
      </c>
      <c r="E165" t="s">
        <v>71</v>
      </c>
      <c r="F165" t="s">
        <v>1357</v>
      </c>
      <c r="G165" t="s">
        <v>1358</v>
      </c>
      <c r="H165" t="s">
        <v>49</v>
      </c>
      <c r="I165" s="41">
        <v>17.21</v>
      </c>
      <c r="J165" s="40">
        <f>I165*(1-IFERROR(VLOOKUP(H165,Rabat!$D$10:$E$41,2,FALSE),0))</f>
        <v>17.21</v>
      </c>
      <c r="K165">
        <v>0.19</v>
      </c>
      <c r="L165" t="s">
        <v>1773</v>
      </c>
      <c r="M165" t="s">
        <v>1944</v>
      </c>
      <c r="N165" t="s">
        <v>1775</v>
      </c>
      <c r="O165" t="s">
        <v>1776</v>
      </c>
      <c r="P165">
        <v>30</v>
      </c>
      <c r="Q165">
        <v>840</v>
      </c>
      <c r="R165" t="s">
        <v>1777</v>
      </c>
      <c r="S165" s="42" t="str">
        <f>HYPERLINK("https://sklep.kobi.pl/produkt/led-t8-22w-150cm-6500k-led2b-red")</f>
        <v>https://sklep.kobi.pl/produkt/led-t8-22w-150cm-6500k-led2b-red</v>
      </c>
      <c r="T165" s="42" t="str">
        <f>HYPERLINK("https://eprel.ec.europa.eu/qr/1694771        ")</f>
        <v xml:space="preserve">https://eprel.ec.europa.eu/qr/1694771        </v>
      </c>
      <c r="U165">
        <v>0.23</v>
      </c>
      <c r="V165">
        <v>0</v>
      </c>
      <c r="W165">
        <v>0</v>
      </c>
      <c r="X165">
        <v>0</v>
      </c>
      <c r="Y165">
        <v>0</v>
      </c>
      <c r="Z165" t="s">
        <v>1778</v>
      </c>
      <c r="AA165"/>
    </row>
    <row r="166" spans="1:27" ht="15" x14ac:dyDescent="0.25">
      <c r="A166" t="s">
        <v>44</v>
      </c>
      <c r="B166" t="s">
        <v>45</v>
      </c>
      <c r="C166" t="s">
        <v>654</v>
      </c>
      <c r="D166" t="s">
        <v>424</v>
      </c>
      <c r="E166" t="s">
        <v>71</v>
      </c>
      <c r="F166" t="s">
        <v>663</v>
      </c>
      <c r="G166" t="s">
        <v>664</v>
      </c>
      <c r="H166" t="s">
        <v>49</v>
      </c>
      <c r="I166" s="41">
        <v>36.86</v>
      </c>
      <c r="J166" s="40">
        <f>I166*(1-IFERROR(VLOOKUP(H166,Rabat!$D$10:$E$41,2,FALSE),0))</f>
        <v>36.86</v>
      </c>
      <c r="K166">
        <v>0.2</v>
      </c>
      <c r="L166" t="s">
        <v>1779</v>
      </c>
      <c r="M166" t="s">
        <v>1945</v>
      </c>
      <c r="N166" t="s">
        <v>1775</v>
      </c>
      <c r="O166" t="s">
        <v>1776</v>
      </c>
      <c r="P166">
        <v>25</v>
      </c>
      <c r="Q166">
        <v>700</v>
      </c>
      <c r="R166" t="s">
        <v>1820</v>
      </c>
      <c r="S166" s="42" t="str">
        <f>HYPERLINK("https://sklep.kobi.pl/produkt/led-t8-22w-150cm-4000k-premium")</f>
        <v>https://sklep.kobi.pl/produkt/led-t8-22w-150cm-4000k-premium</v>
      </c>
      <c r="T166" s="42" t="str">
        <f>HYPERLINK("https://eprel.ec.europa.eu/qr/660795         ")</f>
        <v xml:space="preserve">https://eprel.ec.europa.eu/qr/660795         </v>
      </c>
      <c r="U166">
        <v>0.23499999999999999</v>
      </c>
      <c r="V166">
        <v>0.33600000000000002</v>
      </c>
      <c r="W166">
        <v>30</v>
      </c>
      <c r="X166">
        <v>1500</v>
      </c>
      <c r="Y166">
        <v>30</v>
      </c>
      <c r="Z166" t="s">
        <v>1778</v>
      </c>
      <c r="AA166"/>
    </row>
    <row r="167" spans="1:27" ht="15" x14ac:dyDescent="0.25">
      <c r="A167" t="s">
        <v>44</v>
      </c>
      <c r="B167" t="s">
        <v>45</v>
      </c>
      <c r="C167" t="s">
        <v>654</v>
      </c>
      <c r="D167" t="s">
        <v>424</v>
      </c>
      <c r="E167" t="s">
        <v>71</v>
      </c>
      <c r="F167" t="s">
        <v>665</v>
      </c>
      <c r="G167" t="s">
        <v>666</v>
      </c>
      <c r="H167" t="s">
        <v>49</v>
      </c>
      <c r="I167" s="41">
        <v>36.86</v>
      </c>
      <c r="J167" s="40">
        <f>I167*(1-IFERROR(VLOOKUP(H167,Rabat!$D$10:$E$41,2,FALSE),0))</f>
        <v>36.86</v>
      </c>
      <c r="K167">
        <v>0.2</v>
      </c>
      <c r="L167" t="s">
        <v>1779</v>
      </c>
      <c r="M167" t="s">
        <v>1946</v>
      </c>
      <c r="N167" t="s">
        <v>1775</v>
      </c>
      <c r="O167" t="s">
        <v>1776</v>
      </c>
      <c r="P167">
        <v>25</v>
      </c>
      <c r="Q167">
        <v>700</v>
      </c>
      <c r="R167" t="s">
        <v>1820</v>
      </c>
      <c r="S167" s="42" t="str">
        <f>HYPERLINK("https://sklep.kobi.pl/produkt/led-t8-22w-150cm-6500k-premium")</f>
        <v>https://sklep.kobi.pl/produkt/led-t8-22w-150cm-6500k-premium</v>
      </c>
      <c r="T167" s="42" t="str">
        <f>HYPERLINK("https://eprel.ec.europa.eu/qr/660796         ")</f>
        <v xml:space="preserve">https://eprel.ec.europa.eu/qr/660796         </v>
      </c>
      <c r="U167">
        <v>0.23499999999999999</v>
      </c>
      <c r="V167">
        <v>0.33600000000000002</v>
      </c>
      <c r="W167">
        <v>30</v>
      </c>
      <c r="X167">
        <v>1500</v>
      </c>
      <c r="Y167">
        <v>30</v>
      </c>
      <c r="Z167" t="s">
        <v>1778</v>
      </c>
      <c r="AA167"/>
    </row>
    <row r="168" spans="1:27" ht="15" x14ac:dyDescent="0.25">
      <c r="A168" t="s">
        <v>44</v>
      </c>
      <c r="B168" t="s">
        <v>45</v>
      </c>
      <c r="C168" t="s">
        <v>436</v>
      </c>
      <c r="D168" t="s">
        <v>69</v>
      </c>
      <c r="E168" t="s">
        <v>71</v>
      </c>
      <c r="F168" t="s">
        <v>437</v>
      </c>
      <c r="G168" t="s">
        <v>438</v>
      </c>
      <c r="H168" t="s">
        <v>49</v>
      </c>
      <c r="I168" s="41">
        <v>23.06</v>
      </c>
      <c r="J168" s="40">
        <f>I168*(1-IFERROR(VLOOKUP(H168,Rabat!$D$10:$E$41,2,FALSE),0))</f>
        <v>23.06</v>
      </c>
      <c r="K168">
        <v>0.04</v>
      </c>
      <c r="L168" t="s">
        <v>1773</v>
      </c>
      <c r="M168" t="s">
        <v>1947</v>
      </c>
      <c r="N168" t="s">
        <v>1775</v>
      </c>
      <c r="O168" t="s">
        <v>1776</v>
      </c>
      <c r="P168">
        <v>100</v>
      </c>
      <c r="Q168">
        <v>6000</v>
      </c>
      <c r="R168" t="s">
        <v>1777</v>
      </c>
      <c r="S168" s="42" t="str">
        <f>HYPERLINK("https://sklep.kobi.pl/produkt/led-insert-standard-5w-milky-cb")</f>
        <v>https://sklep.kobi.pl/produkt/led-insert-standard-5w-milky-cb</v>
      </c>
      <c r="T168" s="42" t="str">
        <f>HYPERLINK("https://eprel.ec.europa.eu/qr/660155         ")</f>
        <v xml:space="preserve">https://eprel.ec.europa.eu/qr/660155         </v>
      </c>
      <c r="U168">
        <v>5.1999999999999998E-2</v>
      </c>
      <c r="V168">
        <v>5.8999999999999997E-2</v>
      </c>
      <c r="W168">
        <v>52</v>
      </c>
      <c r="X168">
        <v>51</v>
      </c>
      <c r="Y168">
        <v>57</v>
      </c>
      <c r="Z168" t="s">
        <v>1778</v>
      </c>
      <c r="AA168"/>
    </row>
    <row r="169" spans="1:27" ht="15" x14ac:dyDescent="0.25">
      <c r="A169" t="s">
        <v>44</v>
      </c>
      <c r="B169" t="s">
        <v>45</v>
      </c>
      <c r="C169" t="s">
        <v>436</v>
      </c>
      <c r="D169" t="s">
        <v>69</v>
      </c>
      <c r="E169" t="s">
        <v>71</v>
      </c>
      <c r="F169" t="s">
        <v>542</v>
      </c>
      <c r="G169" t="s">
        <v>543</v>
      </c>
      <c r="H169" t="s">
        <v>49</v>
      </c>
      <c r="I169" s="41">
        <v>23.06</v>
      </c>
      <c r="J169" s="40">
        <f>I169*(1-IFERROR(VLOOKUP(H169,Rabat!$D$10:$E$41,2,FALSE),0))</f>
        <v>23.06</v>
      </c>
      <c r="K169">
        <v>0.04</v>
      </c>
      <c r="L169" t="s">
        <v>1773</v>
      </c>
      <c r="M169" t="s">
        <v>1948</v>
      </c>
      <c r="N169" t="s">
        <v>1775</v>
      </c>
      <c r="O169" t="s">
        <v>1776</v>
      </c>
      <c r="P169">
        <v>100</v>
      </c>
      <c r="Q169">
        <v>6000</v>
      </c>
      <c r="R169" t="s">
        <v>1777</v>
      </c>
      <c r="S169" s="42" t="str">
        <f>HYPERLINK("https://sklep.kobi.pl/produkt/led-insert-5w-4000k-milky")</f>
        <v>https://sklep.kobi.pl/produkt/led-insert-5w-4000k-milky</v>
      </c>
      <c r="T169" s="42" t="str">
        <f>HYPERLINK("https://eprel.ec.europa.eu/qr/660157         ")</f>
        <v xml:space="preserve">https://eprel.ec.europa.eu/qr/660157         </v>
      </c>
      <c r="U169">
        <v>5.1999999999999998E-2</v>
      </c>
      <c r="V169">
        <v>5.8999999999999997E-2</v>
      </c>
      <c r="W169">
        <v>50</v>
      </c>
      <c r="X169">
        <v>65</v>
      </c>
      <c r="Y169">
        <v>50</v>
      </c>
      <c r="Z169" t="s">
        <v>1778</v>
      </c>
      <c r="AA169"/>
    </row>
    <row r="170" spans="1:27" ht="15" x14ac:dyDescent="0.25">
      <c r="A170" t="s">
        <v>44</v>
      </c>
      <c r="B170" t="s">
        <v>45</v>
      </c>
      <c r="C170" t="s">
        <v>436</v>
      </c>
      <c r="D170" t="s">
        <v>69</v>
      </c>
      <c r="E170" t="s">
        <v>71</v>
      </c>
      <c r="F170" t="s">
        <v>544</v>
      </c>
      <c r="G170" t="s">
        <v>545</v>
      </c>
      <c r="H170" t="s">
        <v>49</v>
      </c>
      <c r="I170" s="41">
        <v>23.06</v>
      </c>
      <c r="J170" s="40">
        <f>I170*(1-IFERROR(VLOOKUP(H170,Rabat!$D$10:$E$41,2,FALSE),0))</f>
        <v>23.06</v>
      </c>
      <c r="K170">
        <v>0.04</v>
      </c>
      <c r="L170" t="s">
        <v>1773</v>
      </c>
      <c r="M170" t="s">
        <v>1949</v>
      </c>
      <c r="N170" t="s">
        <v>1775</v>
      </c>
      <c r="O170" t="s">
        <v>1776</v>
      </c>
      <c r="P170">
        <v>100</v>
      </c>
      <c r="Q170">
        <v>6000</v>
      </c>
      <c r="R170" t="s">
        <v>1777</v>
      </c>
      <c r="S170" s="42" t="str">
        <f>HYPERLINK("https://sklep.kobi.pl/produkt/led-insert-5w-6000k-milky")</f>
        <v>https://sklep.kobi.pl/produkt/led-insert-5w-6000k-milky</v>
      </c>
      <c r="T170" s="42" t="str">
        <f>HYPERLINK("https://eprel.ec.europa.eu/qr/660159         ")</f>
        <v xml:space="preserve">https://eprel.ec.europa.eu/qr/660159         </v>
      </c>
      <c r="U170">
        <v>5.1999999999999998E-2</v>
      </c>
      <c r="V170">
        <v>5.8999999999999997E-2</v>
      </c>
      <c r="W170">
        <v>50</v>
      </c>
      <c r="X170">
        <v>65</v>
      </c>
      <c r="Y170">
        <v>50</v>
      </c>
      <c r="Z170" t="s">
        <v>1778</v>
      </c>
      <c r="AA170"/>
    </row>
    <row r="171" spans="1:27" ht="15" x14ac:dyDescent="0.25">
      <c r="A171" t="s">
        <v>44</v>
      </c>
      <c r="B171" t="s">
        <v>45</v>
      </c>
      <c r="C171" t="s">
        <v>436</v>
      </c>
      <c r="D171" t="s">
        <v>69</v>
      </c>
      <c r="E171" t="s">
        <v>71</v>
      </c>
      <c r="F171" t="s">
        <v>672</v>
      </c>
      <c r="G171" t="s">
        <v>673</v>
      </c>
      <c r="H171" t="s">
        <v>49</v>
      </c>
      <c r="I171" s="41">
        <v>24.12</v>
      </c>
      <c r="J171" s="40">
        <f>I171*(1-IFERROR(VLOOKUP(H171,Rabat!$D$10:$E$41,2,FALSE),0))</f>
        <v>24.12</v>
      </c>
      <c r="K171">
        <v>0.04</v>
      </c>
      <c r="L171" t="s">
        <v>1773</v>
      </c>
      <c r="M171" t="s">
        <v>1950</v>
      </c>
      <c r="N171" t="s">
        <v>1775</v>
      </c>
      <c r="O171" t="s">
        <v>1776</v>
      </c>
      <c r="P171">
        <v>100</v>
      </c>
      <c r="Q171">
        <v>6000</v>
      </c>
      <c r="R171" t="s">
        <v>1777</v>
      </c>
      <c r="S171" s="42" t="str">
        <f>HYPERLINK("https://sklep.kobi.pl/produkt/led-insert-65w-3000k-milky")</f>
        <v>https://sklep.kobi.pl/produkt/led-insert-65w-3000k-milky</v>
      </c>
      <c r="T171" s="42" t="str">
        <f>HYPERLINK("https://eprel.ec.europa.eu/qr/660163         ")</f>
        <v xml:space="preserve">https://eprel.ec.europa.eu/qr/660163         </v>
      </c>
      <c r="U171">
        <v>5.1999999999999998E-2</v>
      </c>
      <c r="V171">
        <v>5.8999999999999997E-2</v>
      </c>
      <c r="W171">
        <v>50</v>
      </c>
      <c r="X171">
        <v>65</v>
      </c>
      <c r="Y171">
        <v>50</v>
      </c>
      <c r="Z171" t="s">
        <v>1778</v>
      </c>
      <c r="AA171"/>
    </row>
    <row r="172" spans="1:27" ht="15" x14ac:dyDescent="0.25">
      <c r="A172" t="s">
        <v>44</v>
      </c>
      <c r="B172" t="s">
        <v>45</v>
      </c>
      <c r="C172" t="s">
        <v>436</v>
      </c>
      <c r="D172" t="s">
        <v>69</v>
      </c>
      <c r="E172" t="s">
        <v>71</v>
      </c>
      <c r="F172" t="s">
        <v>674</v>
      </c>
      <c r="G172" t="s">
        <v>675</v>
      </c>
      <c r="H172" t="s">
        <v>49</v>
      </c>
      <c r="I172" s="41">
        <v>24.12</v>
      </c>
      <c r="J172" s="40">
        <f>I172*(1-IFERROR(VLOOKUP(H172,Rabat!$D$10:$E$41,2,FALSE),0))</f>
        <v>24.12</v>
      </c>
      <c r="K172">
        <v>0.04</v>
      </c>
      <c r="L172" t="s">
        <v>1773</v>
      </c>
      <c r="M172" t="s">
        <v>1951</v>
      </c>
      <c r="N172" t="s">
        <v>1775</v>
      </c>
      <c r="O172" t="s">
        <v>1776</v>
      </c>
      <c r="P172">
        <v>100</v>
      </c>
      <c r="Q172">
        <v>6000</v>
      </c>
      <c r="R172" t="s">
        <v>1777</v>
      </c>
      <c r="S172" s="42" t="str">
        <f>HYPERLINK("https://sklep.kobi.pl/produkt/led-insert-65w-4000k-milky")</f>
        <v>https://sklep.kobi.pl/produkt/led-insert-65w-4000k-milky</v>
      </c>
      <c r="T172" s="42" t="str">
        <f>HYPERLINK("https://eprel.ec.europa.eu/qr/660165         ")</f>
        <v xml:space="preserve">https://eprel.ec.europa.eu/qr/660165         </v>
      </c>
      <c r="U172">
        <v>5.1999999999999998E-2</v>
      </c>
      <c r="V172">
        <v>5.8999999999999997E-2</v>
      </c>
      <c r="W172">
        <v>50</v>
      </c>
      <c r="X172">
        <v>65</v>
      </c>
      <c r="Y172">
        <v>50</v>
      </c>
      <c r="Z172" t="s">
        <v>1778</v>
      </c>
      <c r="AA172"/>
    </row>
    <row r="173" spans="1:27" ht="15" x14ac:dyDescent="0.25">
      <c r="A173" t="s">
        <v>44</v>
      </c>
      <c r="B173" t="s">
        <v>45</v>
      </c>
      <c r="C173" t="s">
        <v>436</v>
      </c>
      <c r="D173" t="s">
        <v>69</v>
      </c>
      <c r="E173" t="s">
        <v>71</v>
      </c>
      <c r="F173" t="s">
        <v>676</v>
      </c>
      <c r="G173" t="s">
        <v>677</v>
      </c>
      <c r="H173" t="s">
        <v>49</v>
      </c>
      <c r="I173" s="41">
        <v>24.12</v>
      </c>
      <c r="J173" s="40">
        <f>I173*(1-IFERROR(VLOOKUP(H173,Rabat!$D$10:$E$41,2,FALSE),0))</f>
        <v>24.12</v>
      </c>
      <c r="K173">
        <v>0.04</v>
      </c>
      <c r="L173" t="s">
        <v>1773</v>
      </c>
      <c r="M173" t="s">
        <v>1952</v>
      </c>
      <c r="N173" t="s">
        <v>1775</v>
      </c>
      <c r="O173" t="s">
        <v>1776</v>
      </c>
      <c r="P173">
        <v>100</v>
      </c>
      <c r="Q173">
        <v>6000</v>
      </c>
      <c r="R173" t="s">
        <v>1777</v>
      </c>
      <c r="S173" s="42" t="str">
        <f>HYPERLINK("https://sklep.kobi.pl/produkt/led-insert-65w-6000k-milky")</f>
        <v>https://sklep.kobi.pl/produkt/led-insert-65w-6000k-milky</v>
      </c>
      <c r="T173" s="42" t="str">
        <f>HYPERLINK("https://eprel.ec.europa.eu/qr/660168         ")</f>
        <v xml:space="preserve">https://eprel.ec.europa.eu/qr/660168         </v>
      </c>
      <c r="U173">
        <v>5.1999999999999998E-2</v>
      </c>
      <c r="V173">
        <v>5.8999999999999997E-2</v>
      </c>
      <c r="W173">
        <v>50</v>
      </c>
      <c r="X173">
        <v>65</v>
      </c>
      <c r="Y173">
        <v>50</v>
      </c>
      <c r="Z173" t="s">
        <v>1778</v>
      </c>
      <c r="AA173"/>
    </row>
    <row r="174" spans="1:27" ht="15" x14ac:dyDescent="0.25">
      <c r="A174" t="s">
        <v>44</v>
      </c>
      <c r="B174" t="s">
        <v>294</v>
      </c>
      <c r="C174"/>
      <c r="D174" t="s">
        <v>69</v>
      </c>
      <c r="E174" t="s">
        <v>149</v>
      </c>
      <c r="F174" t="s">
        <v>295</v>
      </c>
      <c r="G174" t="s">
        <v>296</v>
      </c>
      <c r="H174" t="s">
        <v>4</v>
      </c>
      <c r="I174" s="41">
        <v>54.55</v>
      </c>
      <c r="J174" s="40">
        <f>I174*(1-IFERROR(VLOOKUP(H174,Rabat!$D$10:$E$41,2,FALSE),0))</f>
        <v>54.55</v>
      </c>
      <c r="K174">
        <v>0.03</v>
      </c>
      <c r="L174" t="s">
        <v>1773</v>
      </c>
      <c r="M174" t="s">
        <v>1953</v>
      </c>
      <c r="N174" t="s">
        <v>1954</v>
      </c>
      <c r="O174" t="s">
        <v>1776</v>
      </c>
      <c r="P174">
        <v>50</v>
      </c>
      <c r="Q174">
        <v>0</v>
      </c>
      <c r="R174" t="s">
        <v>1777</v>
      </c>
      <c r="S174"/>
      <c r="T174" s="42" t="str">
        <f>HYPERLINK("https://eprel.ec.europa.eu/qr/660827         ")</f>
        <v xml:space="preserve">https://eprel.ec.europa.eu/qr/660827         </v>
      </c>
      <c r="U174">
        <v>3.5999999999999997E-2</v>
      </c>
      <c r="V174">
        <v>0.14399999999999999</v>
      </c>
      <c r="W174">
        <v>10</v>
      </c>
      <c r="X174">
        <v>160</v>
      </c>
      <c r="Y174">
        <v>170</v>
      </c>
      <c r="Z174" t="s">
        <v>1778</v>
      </c>
      <c r="AA174"/>
    </row>
    <row r="175" spans="1:27" ht="15" x14ac:dyDescent="0.25">
      <c r="A175" t="s">
        <v>44</v>
      </c>
      <c r="B175" t="s">
        <v>294</v>
      </c>
      <c r="C175"/>
      <c r="D175" t="s">
        <v>69</v>
      </c>
      <c r="E175" t="s">
        <v>149</v>
      </c>
      <c r="F175" t="s">
        <v>297</v>
      </c>
      <c r="G175" t="s">
        <v>298</v>
      </c>
      <c r="H175" t="s">
        <v>4</v>
      </c>
      <c r="I175" s="41">
        <v>54.55</v>
      </c>
      <c r="J175" s="40">
        <f>I175*(1-IFERROR(VLOOKUP(H175,Rabat!$D$10:$E$41,2,FALSE),0))</f>
        <v>54.55</v>
      </c>
      <c r="K175">
        <v>0.03</v>
      </c>
      <c r="L175" t="s">
        <v>1773</v>
      </c>
      <c r="M175" t="s">
        <v>1956</v>
      </c>
      <c r="N175" t="s">
        <v>1954</v>
      </c>
      <c r="O175" t="s">
        <v>1776</v>
      </c>
      <c r="P175">
        <v>50</v>
      </c>
      <c r="Q175">
        <v>0</v>
      </c>
      <c r="R175" t="s">
        <v>1777</v>
      </c>
      <c r="S175" s="42" t="str">
        <f>HYPERLINK("https://sklep.kobi.pl/produkt/tasma-led-300-2835-ip20-nb-5m-bia")</f>
        <v>https://sklep.kobi.pl/produkt/tasma-led-300-2835-ip20-nb-5m-bia</v>
      </c>
      <c r="T175" s="42" t="str">
        <f>HYPERLINK("https://eprel.ec.europa.eu/qr/663751         ")</f>
        <v xml:space="preserve">https://eprel.ec.europa.eu/qr/663751         </v>
      </c>
      <c r="U175">
        <v>3.5999999999999997E-2</v>
      </c>
      <c r="V175">
        <v>0.14399999999999999</v>
      </c>
      <c r="W175">
        <v>120</v>
      </c>
      <c r="X175">
        <v>190</v>
      </c>
      <c r="Y175">
        <v>15</v>
      </c>
      <c r="Z175" t="s">
        <v>1778</v>
      </c>
      <c r="AA175"/>
    </row>
    <row r="176" spans="1:27" ht="15" x14ac:dyDescent="0.25">
      <c r="A176" t="s">
        <v>44</v>
      </c>
      <c r="B176" t="s">
        <v>294</v>
      </c>
      <c r="C176"/>
      <c r="D176" t="s">
        <v>69</v>
      </c>
      <c r="E176" t="s">
        <v>149</v>
      </c>
      <c r="F176" t="s">
        <v>299</v>
      </c>
      <c r="G176" t="s">
        <v>300</v>
      </c>
      <c r="H176" t="s">
        <v>4</v>
      </c>
      <c r="I176" s="41">
        <v>54.55</v>
      </c>
      <c r="J176" s="40">
        <f>I176*(1-IFERROR(VLOOKUP(H176,Rabat!$D$10:$E$41,2,FALSE),0))</f>
        <v>54.55</v>
      </c>
      <c r="K176">
        <v>0.03</v>
      </c>
      <c r="L176" t="s">
        <v>1773</v>
      </c>
      <c r="M176" t="s">
        <v>1957</v>
      </c>
      <c r="N176" t="s">
        <v>1954</v>
      </c>
      <c r="O176" t="s">
        <v>1776</v>
      </c>
      <c r="P176">
        <v>50</v>
      </c>
      <c r="Q176">
        <v>0</v>
      </c>
      <c r="R176" t="s">
        <v>1777</v>
      </c>
      <c r="S176" s="42" t="str">
        <f>HYPERLINK("https://sklep.kobi.pl/produkt/tasma-led-300-2835-ip20-zb-5m-bia")</f>
        <v>https://sklep.kobi.pl/produkt/tasma-led-300-2835-ip20-zb-5m-bia</v>
      </c>
      <c r="T176" s="42" t="str">
        <f>HYPERLINK("https://eprel.ec.europa.eu/qr/664247         ")</f>
        <v xml:space="preserve">https://eprel.ec.europa.eu/qr/664247         </v>
      </c>
      <c r="U176">
        <v>3.5999999999999997E-2</v>
      </c>
      <c r="V176">
        <v>0.14399999999999999</v>
      </c>
      <c r="W176">
        <v>160</v>
      </c>
      <c r="X176">
        <v>190</v>
      </c>
      <c r="Y176">
        <v>15</v>
      </c>
      <c r="Z176" t="s">
        <v>1778</v>
      </c>
      <c r="AA176"/>
    </row>
    <row r="177" spans="1:27" ht="15" x14ac:dyDescent="0.25">
      <c r="A177" t="s">
        <v>44</v>
      </c>
      <c r="B177" t="s">
        <v>294</v>
      </c>
      <c r="C177" t="s">
        <v>289</v>
      </c>
      <c r="D177" t="s">
        <v>424</v>
      </c>
      <c r="E177" t="s">
        <v>149</v>
      </c>
      <c r="F177" t="s">
        <v>425</v>
      </c>
      <c r="G177" t="s">
        <v>426</v>
      </c>
      <c r="H177" t="s">
        <v>4</v>
      </c>
      <c r="I177" s="41">
        <v>217.65</v>
      </c>
      <c r="J177" s="40">
        <f>I177*(1-IFERROR(VLOOKUP(H177,Rabat!$D$10:$E$41,2,FALSE),0))</f>
        <v>217.65</v>
      </c>
      <c r="K177">
        <v>0.12</v>
      </c>
      <c r="L177" t="s">
        <v>1773</v>
      </c>
      <c r="M177" t="s">
        <v>1958</v>
      </c>
      <c r="N177" t="s">
        <v>1954</v>
      </c>
      <c r="O177" t="s">
        <v>1776</v>
      </c>
      <c r="P177">
        <v>50</v>
      </c>
      <c r="Q177">
        <v>0</v>
      </c>
      <c r="R177" t="s">
        <v>1955</v>
      </c>
      <c r="S177" s="42" t="str">
        <f>HYPERLINK("https://sklep.kobi.pl/produkt/tasma-led-300-2835-ip65-cb-5m-premium")</f>
        <v>https://sklep.kobi.pl/produkt/tasma-led-300-2835-ip65-cb-5m-premium</v>
      </c>
      <c r="T177" s="42" t="str">
        <f>HYPERLINK("https://eprel.ec.europa.eu/qr/660841         ")</f>
        <v xml:space="preserve">https://eprel.ec.europa.eu/qr/660841         </v>
      </c>
      <c r="U177">
        <v>0.13900000000000001</v>
      </c>
      <c r="V177">
        <v>0.154</v>
      </c>
      <c r="W177">
        <v>16</v>
      </c>
      <c r="X177">
        <v>181</v>
      </c>
      <c r="Y177">
        <v>180</v>
      </c>
      <c r="Z177" t="s">
        <v>1778</v>
      </c>
      <c r="AA177"/>
    </row>
    <row r="178" spans="1:27" ht="15" x14ac:dyDescent="0.25">
      <c r="A178" t="s">
        <v>44</v>
      </c>
      <c r="B178" t="s">
        <v>294</v>
      </c>
      <c r="C178" t="s">
        <v>753</v>
      </c>
      <c r="D178" t="s">
        <v>69</v>
      </c>
      <c r="E178" t="s">
        <v>149</v>
      </c>
      <c r="F178" t="s">
        <v>882</v>
      </c>
      <c r="G178" t="s">
        <v>883</v>
      </c>
      <c r="H178" t="s">
        <v>4</v>
      </c>
      <c r="I178" s="41">
        <v>72.790000000000006</v>
      </c>
      <c r="J178" s="40">
        <f>I178*(1-IFERROR(VLOOKUP(H178,Rabat!$D$10:$E$41,2,FALSE),0))</f>
        <v>72.790000000000006</v>
      </c>
      <c r="K178">
        <v>0.06</v>
      </c>
      <c r="L178" t="s">
        <v>1789</v>
      </c>
      <c r="M178" t="s">
        <v>1959</v>
      </c>
      <c r="N178" t="s">
        <v>1954</v>
      </c>
      <c r="O178" t="s">
        <v>1776</v>
      </c>
      <c r="P178">
        <v>50</v>
      </c>
      <c r="Q178">
        <v>0</v>
      </c>
      <c r="R178" t="s">
        <v>1777</v>
      </c>
      <c r="S178" s="42" t="str">
        <f>HYPERLINK("https://sklep.kobi.pl/produkt/led-tramo-300-2835-ip65-green-5m")</f>
        <v>https://sklep.kobi.pl/produkt/led-tramo-300-2835-ip65-green-5m</v>
      </c>
      <c r="T178" t="s">
        <v>71</v>
      </c>
      <c r="U178">
        <v>7.0000000000000007E-2</v>
      </c>
      <c r="V178">
        <v>0.154</v>
      </c>
      <c r="W178">
        <v>160</v>
      </c>
      <c r="X178">
        <v>190</v>
      </c>
      <c r="Y178">
        <v>15</v>
      </c>
      <c r="Z178" t="s">
        <v>1778</v>
      </c>
      <c r="AA178"/>
    </row>
    <row r="179" spans="1:27" ht="15" x14ac:dyDescent="0.25">
      <c r="A179" t="s">
        <v>44</v>
      </c>
      <c r="B179" t="s">
        <v>294</v>
      </c>
      <c r="C179" t="s">
        <v>753</v>
      </c>
      <c r="D179" t="s">
        <v>69</v>
      </c>
      <c r="E179" t="s">
        <v>149</v>
      </c>
      <c r="F179" t="s">
        <v>754</v>
      </c>
      <c r="G179" t="s">
        <v>755</v>
      </c>
      <c r="H179" t="s">
        <v>4</v>
      </c>
      <c r="I179" s="41">
        <v>72.790000000000006</v>
      </c>
      <c r="J179" s="40">
        <f>I179*(1-IFERROR(VLOOKUP(H179,Rabat!$D$10:$E$41,2,FALSE),0))</f>
        <v>72.790000000000006</v>
      </c>
      <c r="K179">
        <v>0.06</v>
      </c>
      <c r="L179" t="s">
        <v>1789</v>
      </c>
      <c r="M179" t="s">
        <v>1960</v>
      </c>
      <c r="N179" t="s">
        <v>1954</v>
      </c>
      <c r="O179" t="s">
        <v>1776</v>
      </c>
      <c r="P179">
        <v>50</v>
      </c>
      <c r="Q179">
        <v>0</v>
      </c>
      <c r="R179" t="s">
        <v>1777</v>
      </c>
      <c r="S179" s="42" t="str">
        <f>HYPERLINK("https://sklep.kobi.pl/produkt/led-tramo-300-2835-ip65-red-5m")</f>
        <v>https://sklep.kobi.pl/produkt/led-tramo-300-2835-ip65-red-5m</v>
      </c>
      <c r="T179" t="s">
        <v>71</v>
      </c>
      <c r="U179">
        <v>7.0000000000000007E-2</v>
      </c>
      <c r="V179">
        <v>0.154</v>
      </c>
      <c r="W179">
        <v>160</v>
      </c>
      <c r="X179">
        <v>190</v>
      </c>
      <c r="Y179">
        <v>15</v>
      </c>
      <c r="Z179" t="s">
        <v>1778</v>
      </c>
      <c r="AA179"/>
    </row>
    <row r="180" spans="1:27" ht="15" x14ac:dyDescent="0.25">
      <c r="A180" t="s">
        <v>44</v>
      </c>
      <c r="B180" t="s">
        <v>294</v>
      </c>
      <c r="C180" t="s">
        <v>753</v>
      </c>
      <c r="D180" t="s">
        <v>69</v>
      </c>
      <c r="E180" t="s">
        <v>149</v>
      </c>
      <c r="F180" t="s">
        <v>857</v>
      </c>
      <c r="G180" t="s">
        <v>858</v>
      </c>
      <c r="H180" t="s">
        <v>4</v>
      </c>
      <c r="I180" s="41">
        <v>72.790000000000006</v>
      </c>
      <c r="J180" s="40">
        <f>I180*(1-IFERROR(VLOOKUP(H180,Rabat!$D$10:$E$41,2,FALSE),0))</f>
        <v>72.790000000000006</v>
      </c>
      <c r="K180">
        <v>0.06</v>
      </c>
      <c r="L180" t="s">
        <v>1789</v>
      </c>
      <c r="M180" t="s">
        <v>1961</v>
      </c>
      <c r="N180" t="s">
        <v>1954</v>
      </c>
      <c r="O180" t="s">
        <v>1776</v>
      </c>
      <c r="P180">
        <v>50</v>
      </c>
      <c r="Q180">
        <v>0</v>
      </c>
      <c r="R180" t="s">
        <v>1777</v>
      </c>
      <c r="S180" s="42" t="str">
        <f>HYPERLINK("https://sklep.kobi.pl/produkt/led-tramo-300-2835-ip65-yellow-5m")</f>
        <v>https://sklep.kobi.pl/produkt/led-tramo-300-2835-ip65-yellow-5m</v>
      </c>
      <c r="T180" t="s">
        <v>71</v>
      </c>
      <c r="U180">
        <v>7.0000000000000007E-2</v>
      </c>
      <c r="V180">
        <v>0.154</v>
      </c>
      <c r="W180">
        <v>160</v>
      </c>
      <c r="X180">
        <v>190</v>
      </c>
      <c r="Y180">
        <v>15</v>
      </c>
      <c r="Z180" t="s">
        <v>1778</v>
      </c>
      <c r="AA180"/>
    </row>
    <row r="181" spans="1:27" ht="15" x14ac:dyDescent="0.25">
      <c r="A181" t="s">
        <v>44</v>
      </c>
      <c r="B181" t="s">
        <v>294</v>
      </c>
      <c r="C181" t="s">
        <v>496</v>
      </c>
      <c r="D181" t="s">
        <v>69</v>
      </c>
      <c r="E181" t="s">
        <v>149</v>
      </c>
      <c r="F181" t="s">
        <v>833</v>
      </c>
      <c r="G181" t="s">
        <v>834</v>
      </c>
      <c r="H181" t="s">
        <v>4</v>
      </c>
      <c r="I181" s="41">
        <v>102.85</v>
      </c>
      <c r="J181" s="40">
        <f>I181*(1-IFERROR(VLOOKUP(H181,Rabat!$D$10:$E$41,2,FALSE),0))</f>
        <v>102.85</v>
      </c>
      <c r="K181">
        <v>0.09</v>
      </c>
      <c r="L181" t="s">
        <v>1789</v>
      </c>
      <c r="M181" t="s">
        <v>1962</v>
      </c>
      <c r="N181" t="s">
        <v>1954</v>
      </c>
      <c r="O181" t="s">
        <v>1776</v>
      </c>
      <c r="P181">
        <v>70</v>
      </c>
      <c r="Q181">
        <v>0</v>
      </c>
      <c r="R181" t="s">
        <v>1777</v>
      </c>
      <c r="S181" s="42" t="str">
        <f>HYPERLINK("https://sklep.kobi.pl/produkt/led-tramo-150-5050-ip65-rgb-5m")</f>
        <v>https://sklep.kobi.pl/produkt/led-tramo-150-5050-ip65-rgb-5m</v>
      </c>
      <c r="T181" t="s">
        <v>71</v>
      </c>
      <c r="U181">
        <v>0.104</v>
      </c>
      <c r="V181">
        <v>0.154</v>
      </c>
      <c r="W181">
        <v>160</v>
      </c>
      <c r="X181">
        <v>190</v>
      </c>
      <c r="Y181">
        <v>15</v>
      </c>
      <c r="Z181" t="s">
        <v>1778</v>
      </c>
      <c r="AA181"/>
    </row>
    <row r="182" spans="1:27" ht="15" x14ac:dyDescent="0.25">
      <c r="A182" t="s">
        <v>44</v>
      </c>
      <c r="B182" t="s">
        <v>294</v>
      </c>
      <c r="C182" t="s">
        <v>496</v>
      </c>
      <c r="D182" t="s">
        <v>69</v>
      </c>
      <c r="E182" t="s">
        <v>149</v>
      </c>
      <c r="F182" t="s">
        <v>497</v>
      </c>
      <c r="G182" t="s">
        <v>498</v>
      </c>
      <c r="H182" t="s">
        <v>4</v>
      </c>
      <c r="I182" s="41">
        <v>125.24</v>
      </c>
      <c r="J182" s="40">
        <f>I182*(1-IFERROR(VLOOKUP(H182,Rabat!$D$10:$E$41,2,FALSE),0))</f>
        <v>125.24</v>
      </c>
      <c r="K182">
        <v>0.1</v>
      </c>
      <c r="L182" t="s">
        <v>1789</v>
      </c>
      <c r="M182" t="s">
        <v>1963</v>
      </c>
      <c r="N182" t="s">
        <v>1954</v>
      </c>
      <c r="O182" t="s">
        <v>1776</v>
      </c>
      <c r="P182">
        <v>70</v>
      </c>
      <c r="Q182">
        <v>0</v>
      </c>
      <c r="R182" t="s">
        <v>1777</v>
      </c>
      <c r="S182" s="42" t="str">
        <f>HYPERLINK("https://sklep.kobi.pl/produkt/led-tramo-300-5050-ip65-rgb-5m")</f>
        <v>https://sklep.kobi.pl/produkt/led-tramo-300-5050-ip65-rgb-5m</v>
      </c>
      <c r="T182" t="s">
        <v>71</v>
      </c>
      <c r="U182">
        <v>0.12</v>
      </c>
      <c r="V182">
        <v>0.154</v>
      </c>
      <c r="W182">
        <v>160</v>
      </c>
      <c r="X182">
        <v>190</v>
      </c>
      <c r="Y182">
        <v>15</v>
      </c>
      <c r="Z182" t="s">
        <v>1778</v>
      </c>
      <c r="AA182"/>
    </row>
    <row r="183" spans="1:27" ht="15" x14ac:dyDescent="0.25">
      <c r="A183" t="s">
        <v>44</v>
      </c>
      <c r="B183" t="s">
        <v>294</v>
      </c>
      <c r="C183" t="s">
        <v>859</v>
      </c>
      <c r="D183" t="s">
        <v>69</v>
      </c>
      <c r="E183" t="s">
        <v>149</v>
      </c>
      <c r="F183" t="s">
        <v>1327</v>
      </c>
      <c r="G183" t="s">
        <v>1328</v>
      </c>
      <c r="H183" t="s">
        <v>4</v>
      </c>
      <c r="I183" s="41">
        <v>49.81</v>
      </c>
      <c r="J183" s="40">
        <f>I183*(1-IFERROR(VLOOKUP(H183,Rabat!$D$10:$E$41,2,FALSE),0))</f>
        <v>49.81</v>
      </c>
      <c r="K183">
        <v>0.03</v>
      </c>
      <c r="L183" t="s">
        <v>1789</v>
      </c>
      <c r="M183" t="s">
        <v>1964</v>
      </c>
      <c r="N183" t="s">
        <v>1954</v>
      </c>
      <c r="O183" t="s">
        <v>1776</v>
      </c>
      <c r="P183">
        <v>50</v>
      </c>
      <c r="Q183">
        <v>0</v>
      </c>
      <c r="R183" t="s">
        <v>1777</v>
      </c>
      <c r="S183" s="42" t="str">
        <f>HYPERLINK("https://sklep.kobi.pl/produkt/led-tramo-300-2835-ip20-blue-5m")</f>
        <v>https://sklep.kobi.pl/produkt/led-tramo-300-2835-ip20-blue-5m</v>
      </c>
      <c r="T183" t="s">
        <v>71</v>
      </c>
      <c r="U183">
        <v>3.5999999999999997E-2</v>
      </c>
      <c r="V183">
        <v>0.14399999999999999</v>
      </c>
      <c r="W183">
        <v>160</v>
      </c>
      <c r="X183">
        <v>190</v>
      </c>
      <c r="Y183">
        <v>15</v>
      </c>
      <c r="Z183" t="s">
        <v>1778</v>
      </c>
      <c r="AA183"/>
    </row>
    <row r="184" spans="1:27" ht="15" x14ac:dyDescent="0.25">
      <c r="A184" t="s">
        <v>44</v>
      </c>
      <c r="B184" t="s">
        <v>294</v>
      </c>
      <c r="C184" t="s">
        <v>859</v>
      </c>
      <c r="D184" t="s">
        <v>69</v>
      </c>
      <c r="E184" t="s">
        <v>149</v>
      </c>
      <c r="F184" t="s">
        <v>886</v>
      </c>
      <c r="G184" t="s">
        <v>887</v>
      </c>
      <c r="H184" t="s">
        <v>4</v>
      </c>
      <c r="I184" s="41">
        <v>49.81</v>
      </c>
      <c r="J184" s="40">
        <f>I184*(1-IFERROR(VLOOKUP(H184,Rabat!$D$10:$E$41,2,FALSE),0))</f>
        <v>49.81</v>
      </c>
      <c r="K184">
        <v>0.03</v>
      </c>
      <c r="L184" t="s">
        <v>1789</v>
      </c>
      <c r="M184" t="s">
        <v>1965</v>
      </c>
      <c r="N184" t="s">
        <v>1954</v>
      </c>
      <c r="O184" t="s">
        <v>1776</v>
      </c>
      <c r="P184">
        <v>50</v>
      </c>
      <c r="Q184">
        <v>0</v>
      </c>
      <c r="R184" t="s">
        <v>1777</v>
      </c>
      <c r="S184" s="42" t="str">
        <f>HYPERLINK("https://sklep.kobi.pl/produkt/led-tramo-300-2835-ip20-green-5m")</f>
        <v>https://sklep.kobi.pl/produkt/led-tramo-300-2835-ip20-green-5m</v>
      </c>
      <c r="T184" t="s">
        <v>71</v>
      </c>
      <c r="U184">
        <v>3.5999999999999997E-2</v>
      </c>
      <c r="V184">
        <v>0.14399999999999999</v>
      </c>
      <c r="W184">
        <v>160</v>
      </c>
      <c r="X184">
        <v>190</v>
      </c>
      <c r="Y184">
        <v>15</v>
      </c>
      <c r="Z184" t="s">
        <v>1778</v>
      </c>
      <c r="AA184"/>
    </row>
    <row r="185" spans="1:27" ht="15" x14ac:dyDescent="0.25">
      <c r="A185" t="s">
        <v>44</v>
      </c>
      <c r="B185" t="s">
        <v>294</v>
      </c>
      <c r="C185" t="s">
        <v>859</v>
      </c>
      <c r="D185" t="s">
        <v>69</v>
      </c>
      <c r="E185" t="s">
        <v>149</v>
      </c>
      <c r="F185" t="s">
        <v>884</v>
      </c>
      <c r="G185" t="s">
        <v>885</v>
      </c>
      <c r="H185" t="s">
        <v>4</v>
      </c>
      <c r="I185" s="41">
        <v>49.81</v>
      </c>
      <c r="J185" s="40">
        <f>I185*(1-IFERROR(VLOOKUP(H185,Rabat!$D$10:$E$41,2,FALSE),0))</f>
        <v>49.81</v>
      </c>
      <c r="K185">
        <v>0.03</v>
      </c>
      <c r="L185" t="s">
        <v>1789</v>
      </c>
      <c r="M185" t="s">
        <v>1966</v>
      </c>
      <c r="N185" t="s">
        <v>1954</v>
      </c>
      <c r="O185" t="s">
        <v>1776</v>
      </c>
      <c r="P185">
        <v>50</v>
      </c>
      <c r="Q185">
        <v>0</v>
      </c>
      <c r="R185" t="s">
        <v>1777</v>
      </c>
      <c r="S185" s="42" t="str">
        <f>HYPERLINK("https://sklep.kobi.pl/produkt/led-tramo-300-2835-ip20-red-5m")</f>
        <v>https://sklep.kobi.pl/produkt/led-tramo-300-2835-ip20-red-5m</v>
      </c>
      <c r="T185" t="s">
        <v>71</v>
      </c>
      <c r="U185">
        <v>3.5999999999999997E-2</v>
      </c>
      <c r="V185">
        <v>0.14399999999999999</v>
      </c>
      <c r="W185">
        <v>160</v>
      </c>
      <c r="X185">
        <v>190</v>
      </c>
      <c r="Y185">
        <v>15</v>
      </c>
      <c r="Z185" t="s">
        <v>1778</v>
      </c>
      <c r="AA185"/>
    </row>
    <row r="186" spans="1:27" ht="15" x14ac:dyDescent="0.25">
      <c r="A186" t="s">
        <v>44</v>
      </c>
      <c r="B186" t="s">
        <v>294</v>
      </c>
      <c r="C186" t="s">
        <v>859</v>
      </c>
      <c r="D186" t="s">
        <v>69</v>
      </c>
      <c r="E186" t="s">
        <v>149</v>
      </c>
      <c r="F186" t="s">
        <v>860</v>
      </c>
      <c r="G186" t="s">
        <v>861</v>
      </c>
      <c r="H186" t="s">
        <v>4</v>
      </c>
      <c r="I186" s="41">
        <v>49.81</v>
      </c>
      <c r="J186" s="40">
        <f>I186*(1-IFERROR(VLOOKUP(H186,Rabat!$D$10:$E$41,2,FALSE),0))</f>
        <v>49.81</v>
      </c>
      <c r="K186">
        <v>0.03</v>
      </c>
      <c r="L186" t="s">
        <v>1789</v>
      </c>
      <c r="M186" t="s">
        <v>1967</v>
      </c>
      <c r="N186" t="s">
        <v>1954</v>
      </c>
      <c r="O186" t="s">
        <v>1776</v>
      </c>
      <c r="P186">
        <v>50</v>
      </c>
      <c r="Q186">
        <v>0</v>
      </c>
      <c r="R186" t="s">
        <v>1777</v>
      </c>
      <c r="S186" s="42" t="str">
        <f>HYPERLINK("https://sklep.kobi.pl/produkt/led-tramo-300-2835-ip20-yellow-5m")</f>
        <v>https://sklep.kobi.pl/produkt/led-tramo-300-2835-ip20-yellow-5m</v>
      </c>
      <c r="T186" t="s">
        <v>71</v>
      </c>
      <c r="U186">
        <v>3.5999999999999997E-2</v>
      </c>
      <c r="V186">
        <v>0.14399999999999999</v>
      </c>
      <c r="W186">
        <v>160</v>
      </c>
      <c r="X186">
        <v>190</v>
      </c>
      <c r="Y186">
        <v>15</v>
      </c>
      <c r="Z186" t="s">
        <v>1778</v>
      </c>
      <c r="AA186"/>
    </row>
    <row r="187" spans="1:27" ht="15" x14ac:dyDescent="0.25">
      <c r="A187" t="s">
        <v>44</v>
      </c>
      <c r="B187" t="s">
        <v>294</v>
      </c>
      <c r="C187"/>
      <c r="D187" t="s">
        <v>69</v>
      </c>
      <c r="E187" t="s">
        <v>1289</v>
      </c>
      <c r="F187" t="s">
        <v>1424</v>
      </c>
      <c r="G187" t="s">
        <v>1425</v>
      </c>
      <c r="H187" t="s">
        <v>4</v>
      </c>
      <c r="I187" s="41">
        <v>62</v>
      </c>
      <c r="J187" s="40">
        <f>I187*(1-IFERROR(VLOOKUP(H187,Rabat!$D$10:$E$41,2,FALSE),0))</f>
        <v>62</v>
      </c>
      <c r="K187">
        <v>7.0000000000000007E-2</v>
      </c>
      <c r="L187" t="s">
        <v>1773</v>
      </c>
      <c r="M187" t="s">
        <v>1968</v>
      </c>
      <c r="N187" t="s">
        <v>1954</v>
      </c>
      <c r="O187" t="s">
        <v>1776</v>
      </c>
      <c r="P187">
        <v>50</v>
      </c>
      <c r="Q187">
        <v>0</v>
      </c>
      <c r="R187" t="s">
        <v>1820</v>
      </c>
      <c r="S187" s="42" t="str">
        <f>HYPERLINK("https://sklep.kobi.pl/produkt/led-tramo-320-cob-ip20-3000k-5m")</f>
        <v>https://sklep.kobi.pl/produkt/led-tramo-320-cob-ip20-3000k-5m</v>
      </c>
      <c r="T187" s="42" t="str">
        <f>HYPERLINK("https://eprel.ec.europa.eu/qr/1817900        ")</f>
        <v xml:space="preserve">https://eprel.ec.europa.eu/qr/1817900        </v>
      </c>
      <c r="U187">
        <v>0.08</v>
      </c>
      <c r="V187">
        <v>0</v>
      </c>
      <c r="W187">
        <v>0</v>
      </c>
      <c r="X187">
        <v>0</v>
      </c>
      <c r="Y187">
        <v>0</v>
      </c>
      <c r="Z187" t="s">
        <v>1778</v>
      </c>
      <c r="AA187"/>
    </row>
    <row r="188" spans="1:27" ht="15" x14ac:dyDescent="0.25">
      <c r="A188" t="s">
        <v>44</v>
      </c>
      <c r="B188" t="s">
        <v>294</v>
      </c>
      <c r="C188"/>
      <c r="D188" t="s">
        <v>69</v>
      </c>
      <c r="E188" t="s">
        <v>1289</v>
      </c>
      <c r="F188" t="s">
        <v>1422</v>
      </c>
      <c r="G188" t="s">
        <v>1423</v>
      </c>
      <c r="H188" t="s">
        <v>4</v>
      </c>
      <c r="I188" s="41">
        <v>62</v>
      </c>
      <c r="J188" s="40">
        <f>I188*(1-IFERROR(VLOOKUP(H188,Rabat!$D$10:$E$41,2,FALSE),0))</f>
        <v>62</v>
      </c>
      <c r="K188">
        <v>7.0000000000000007E-2</v>
      </c>
      <c r="L188" t="s">
        <v>1773</v>
      </c>
      <c r="M188" t="s">
        <v>1969</v>
      </c>
      <c r="N188" t="s">
        <v>1954</v>
      </c>
      <c r="O188" t="s">
        <v>1776</v>
      </c>
      <c r="P188">
        <v>50</v>
      </c>
      <c r="Q188">
        <v>0</v>
      </c>
      <c r="R188" t="s">
        <v>1820</v>
      </c>
      <c r="S188" s="42" t="str">
        <f>HYPERLINK("https://sklep.kobi.pl/produkt/led-tramo-320-cob-ip20-4000k-5m")</f>
        <v>https://sklep.kobi.pl/produkt/led-tramo-320-cob-ip20-4000k-5m</v>
      </c>
      <c r="T188" s="42" t="str">
        <f>HYPERLINK("https://eprel.ec.europa.eu/qr/1817939        ")</f>
        <v xml:space="preserve">https://eprel.ec.europa.eu/qr/1817939        </v>
      </c>
      <c r="U188">
        <v>0.08</v>
      </c>
      <c r="V188">
        <v>0</v>
      </c>
      <c r="W188">
        <v>0</v>
      </c>
      <c r="X188">
        <v>0</v>
      </c>
      <c r="Y188">
        <v>0</v>
      </c>
      <c r="Z188" t="s">
        <v>1778</v>
      </c>
      <c r="AA188"/>
    </row>
    <row r="189" spans="1:27" ht="15" x14ac:dyDescent="0.25">
      <c r="A189" t="s">
        <v>44</v>
      </c>
      <c r="B189" t="s">
        <v>294</v>
      </c>
      <c r="C189"/>
      <c r="D189" t="s">
        <v>69</v>
      </c>
      <c r="E189" t="s">
        <v>1289</v>
      </c>
      <c r="F189" t="s">
        <v>1426</v>
      </c>
      <c r="G189" t="s">
        <v>1427</v>
      </c>
      <c r="H189" t="s">
        <v>4</v>
      </c>
      <c r="I189" s="41">
        <v>62</v>
      </c>
      <c r="J189" s="40">
        <f>I189*(1-IFERROR(VLOOKUP(H189,Rabat!$D$10:$E$41,2,FALSE),0))</f>
        <v>62</v>
      </c>
      <c r="K189">
        <v>7.0000000000000007E-2</v>
      </c>
      <c r="L189" t="s">
        <v>1773</v>
      </c>
      <c r="M189" t="s">
        <v>1970</v>
      </c>
      <c r="N189" t="s">
        <v>1954</v>
      </c>
      <c r="O189" t="s">
        <v>1776</v>
      </c>
      <c r="P189">
        <v>50</v>
      </c>
      <c r="Q189">
        <v>0</v>
      </c>
      <c r="R189" t="s">
        <v>1820</v>
      </c>
      <c r="S189" s="42" t="str">
        <f>HYPERLINK("https://sklep.kobi.pl/produkt/led-tramo-320-cob-ip20-6500k-5m")</f>
        <v>https://sklep.kobi.pl/produkt/led-tramo-320-cob-ip20-6500k-5m</v>
      </c>
      <c r="T189" s="42" t="str">
        <f>HYPERLINK("https://eprel.ec.europa.eu/qr/1818051        ")</f>
        <v xml:space="preserve">https://eprel.ec.europa.eu/qr/1818051        </v>
      </c>
      <c r="U189">
        <v>0.08</v>
      </c>
      <c r="V189">
        <v>0</v>
      </c>
      <c r="W189">
        <v>0</v>
      </c>
      <c r="X189">
        <v>0</v>
      </c>
      <c r="Y189">
        <v>0</v>
      </c>
      <c r="Z189" t="s">
        <v>1778</v>
      </c>
      <c r="AA189"/>
    </row>
    <row r="190" spans="1:27" ht="15" x14ac:dyDescent="0.25">
      <c r="A190" t="s">
        <v>44</v>
      </c>
      <c r="B190" t="s">
        <v>294</v>
      </c>
      <c r="C190"/>
      <c r="D190" t="s">
        <v>69</v>
      </c>
      <c r="E190" t="s">
        <v>1289</v>
      </c>
      <c r="F190" t="s">
        <v>1432</v>
      </c>
      <c r="G190" t="s">
        <v>1433</v>
      </c>
      <c r="H190" t="s">
        <v>4</v>
      </c>
      <c r="I190" s="41">
        <v>87.48</v>
      </c>
      <c r="J190" s="40">
        <f>I190*(1-IFERROR(VLOOKUP(H190,Rabat!$D$10:$E$41,2,FALSE),0))</f>
        <v>87.48</v>
      </c>
      <c r="K190">
        <v>0.09</v>
      </c>
      <c r="L190" t="s">
        <v>1818</v>
      </c>
      <c r="M190" t="s">
        <v>1971</v>
      </c>
      <c r="N190" t="s">
        <v>1954</v>
      </c>
      <c r="O190" t="s">
        <v>1776</v>
      </c>
      <c r="P190">
        <v>50</v>
      </c>
      <c r="Q190">
        <v>0</v>
      </c>
      <c r="R190" t="s">
        <v>1820</v>
      </c>
      <c r="S190" s="42" t="str">
        <f>HYPERLINK("https://sklep.kobi.pl/produkt/led-tramo-320-cob-ip65-3000k-5m")</f>
        <v>https://sklep.kobi.pl/produkt/led-tramo-320-cob-ip65-3000k-5m</v>
      </c>
      <c r="T190" s="42" t="str">
        <f>HYPERLINK("https://eprel.ec.europa.eu/qr/1817916        ")</f>
        <v xml:space="preserve">https://eprel.ec.europa.eu/qr/1817916        </v>
      </c>
      <c r="U190">
        <v>0.11</v>
      </c>
      <c r="V190">
        <v>0</v>
      </c>
      <c r="W190">
        <v>0</v>
      </c>
      <c r="X190">
        <v>0</v>
      </c>
      <c r="Y190">
        <v>0</v>
      </c>
      <c r="Z190" t="s">
        <v>1778</v>
      </c>
      <c r="AA190"/>
    </row>
    <row r="191" spans="1:27" ht="15" x14ac:dyDescent="0.25">
      <c r="A191" t="s">
        <v>44</v>
      </c>
      <c r="B191" t="s">
        <v>294</v>
      </c>
      <c r="C191"/>
      <c r="D191" t="s">
        <v>69</v>
      </c>
      <c r="E191" t="s">
        <v>1289</v>
      </c>
      <c r="F191" t="s">
        <v>1430</v>
      </c>
      <c r="G191" t="s">
        <v>1431</v>
      </c>
      <c r="H191" t="s">
        <v>4</v>
      </c>
      <c r="I191" s="41">
        <v>87.48</v>
      </c>
      <c r="J191" s="40">
        <f>I191*(1-IFERROR(VLOOKUP(H191,Rabat!$D$10:$E$41,2,FALSE),0))</f>
        <v>87.48</v>
      </c>
      <c r="K191">
        <v>0.09</v>
      </c>
      <c r="L191" t="s">
        <v>1773</v>
      </c>
      <c r="M191" t="s">
        <v>1972</v>
      </c>
      <c r="N191" t="s">
        <v>1954</v>
      </c>
      <c r="O191" t="s">
        <v>1776</v>
      </c>
      <c r="P191">
        <v>50</v>
      </c>
      <c r="Q191">
        <v>0</v>
      </c>
      <c r="R191" t="s">
        <v>1820</v>
      </c>
      <c r="S191" s="42" t="str">
        <f>HYPERLINK("https://sklep.kobi.pl/produkt/led-tramo-320-cob-ip65-4000k-5m")</f>
        <v>https://sklep.kobi.pl/produkt/led-tramo-320-cob-ip65-4000k-5m</v>
      </c>
      <c r="T191" s="42" t="str">
        <f>HYPERLINK("https://eprel.ec.europa.eu/qr/1817987        ")</f>
        <v xml:space="preserve">https://eprel.ec.europa.eu/qr/1817987        </v>
      </c>
      <c r="U191">
        <v>0.11</v>
      </c>
      <c r="V191">
        <v>0</v>
      </c>
      <c r="W191">
        <v>0</v>
      </c>
      <c r="X191">
        <v>0</v>
      </c>
      <c r="Y191">
        <v>0</v>
      </c>
      <c r="Z191" t="s">
        <v>1778</v>
      </c>
      <c r="AA191"/>
    </row>
    <row r="192" spans="1:27" ht="15" x14ac:dyDescent="0.25">
      <c r="A192" t="s">
        <v>44</v>
      </c>
      <c r="B192" t="s">
        <v>294</v>
      </c>
      <c r="C192"/>
      <c r="D192" t="s">
        <v>69</v>
      </c>
      <c r="E192" t="s">
        <v>1289</v>
      </c>
      <c r="F192" t="s">
        <v>1428</v>
      </c>
      <c r="G192" t="s">
        <v>1429</v>
      </c>
      <c r="H192" t="s">
        <v>4</v>
      </c>
      <c r="I192" s="41">
        <v>87.48</v>
      </c>
      <c r="J192" s="40">
        <f>I192*(1-IFERROR(VLOOKUP(H192,Rabat!$D$10:$E$41,2,FALSE),0))</f>
        <v>87.48</v>
      </c>
      <c r="K192">
        <v>0.09</v>
      </c>
      <c r="L192" t="s">
        <v>1773</v>
      </c>
      <c r="M192" t="s">
        <v>1973</v>
      </c>
      <c r="N192" t="s">
        <v>1954</v>
      </c>
      <c r="O192" t="s">
        <v>1776</v>
      </c>
      <c r="P192">
        <v>50</v>
      </c>
      <c r="Q192">
        <v>0</v>
      </c>
      <c r="R192" t="s">
        <v>1820</v>
      </c>
      <c r="S192" s="42" t="str">
        <f>HYPERLINK("https://sklep.kobi.pl/produkt/led-tramo-320-cob-ip65-6500k-5m")</f>
        <v>https://sklep.kobi.pl/produkt/led-tramo-320-cob-ip65-6500k-5m</v>
      </c>
      <c r="T192" s="42" t="str">
        <f>HYPERLINK("https://eprel.ec.europa.eu/qr/1818059        ")</f>
        <v xml:space="preserve">https://eprel.ec.europa.eu/qr/1818059        </v>
      </c>
      <c r="U192">
        <v>0.11</v>
      </c>
      <c r="V192">
        <v>0</v>
      </c>
      <c r="W192">
        <v>0</v>
      </c>
      <c r="X192">
        <v>0</v>
      </c>
      <c r="Y192">
        <v>0</v>
      </c>
      <c r="Z192" t="s">
        <v>1778</v>
      </c>
      <c r="AA192"/>
    </row>
    <row r="193" spans="1:27" ht="15" x14ac:dyDescent="0.25">
      <c r="A193" t="s">
        <v>44</v>
      </c>
      <c r="B193" t="s">
        <v>294</v>
      </c>
      <c r="C193" t="s">
        <v>1310</v>
      </c>
      <c r="D193" t="s">
        <v>69</v>
      </c>
      <c r="E193" t="s">
        <v>71</v>
      </c>
      <c r="F193" t="s">
        <v>1311</v>
      </c>
      <c r="G193" t="s">
        <v>1312</v>
      </c>
      <c r="H193" t="s">
        <v>4</v>
      </c>
      <c r="I193" s="41">
        <v>126.61</v>
      </c>
      <c r="J193" s="40">
        <f>I193*(1-IFERROR(VLOOKUP(H193,Rabat!$D$10:$E$41,2,FALSE),0))</f>
        <v>126.61</v>
      </c>
      <c r="K193">
        <v>0.15</v>
      </c>
      <c r="L193" t="s">
        <v>1789</v>
      </c>
      <c r="M193" t="s">
        <v>1974</v>
      </c>
      <c r="N193" t="s">
        <v>1954</v>
      </c>
      <c r="O193" t="s">
        <v>1776</v>
      </c>
      <c r="P193">
        <v>20</v>
      </c>
      <c r="Q193">
        <v>0</v>
      </c>
      <c r="R193" t="s">
        <v>1777</v>
      </c>
      <c r="S193" s="42" t="str">
        <f>HYPERLINK("https://sklep.kobi.pl/produkt/lumos-led-set-3000k-ip20-3m")</f>
        <v>https://sklep.kobi.pl/produkt/lumos-led-set-3000k-ip20-3m</v>
      </c>
      <c r="T193" t="s">
        <v>71</v>
      </c>
      <c r="U193">
        <v>0.18</v>
      </c>
      <c r="V193">
        <v>0</v>
      </c>
      <c r="W193">
        <v>0</v>
      </c>
      <c r="X193">
        <v>0</v>
      </c>
      <c r="Y193">
        <v>0</v>
      </c>
      <c r="Z193" t="s">
        <v>1778</v>
      </c>
      <c r="AA193"/>
    </row>
    <row r="194" spans="1:27" ht="15" x14ac:dyDescent="0.25">
      <c r="A194" t="s">
        <v>44</v>
      </c>
      <c r="B194" t="s">
        <v>294</v>
      </c>
      <c r="C194" t="s">
        <v>1310</v>
      </c>
      <c r="D194" t="s">
        <v>69</v>
      </c>
      <c r="E194" t="s">
        <v>71</v>
      </c>
      <c r="F194" t="s">
        <v>1313</v>
      </c>
      <c r="G194" t="s">
        <v>1314</v>
      </c>
      <c r="H194" t="s">
        <v>4</v>
      </c>
      <c r="I194" s="41">
        <v>126.61</v>
      </c>
      <c r="J194" s="40">
        <f>I194*(1-IFERROR(VLOOKUP(H194,Rabat!$D$10:$E$41,2,FALSE),0))</f>
        <v>126.61</v>
      </c>
      <c r="K194">
        <v>0.15</v>
      </c>
      <c r="L194" t="s">
        <v>1789</v>
      </c>
      <c r="M194" t="s">
        <v>1975</v>
      </c>
      <c r="N194" t="s">
        <v>1954</v>
      </c>
      <c r="O194" t="s">
        <v>1776</v>
      </c>
      <c r="P194">
        <v>20</v>
      </c>
      <c r="Q194">
        <v>0</v>
      </c>
      <c r="R194" t="s">
        <v>1777</v>
      </c>
      <c r="S194" s="42" t="str">
        <f>HYPERLINK("https://sklep.kobi.pl/produkt/lumos-led-set-4000k-ip20-3m")</f>
        <v>https://sklep.kobi.pl/produkt/lumos-led-set-4000k-ip20-3m</v>
      </c>
      <c r="T194" t="s">
        <v>71</v>
      </c>
      <c r="U194">
        <v>0.18</v>
      </c>
      <c r="V194">
        <v>0</v>
      </c>
      <c r="W194">
        <v>0</v>
      </c>
      <c r="X194">
        <v>0</v>
      </c>
      <c r="Y194">
        <v>0</v>
      </c>
      <c r="Z194" t="s">
        <v>1778</v>
      </c>
      <c r="AA194"/>
    </row>
    <row r="195" spans="1:27" ht="15" x14ac:dyDescent="0.25">
      <c r="A195" t="s">
        <v>44</v>
      </c>
      <c r="B195" t="s">
        <v>294</v>
      </c>
      <c r="C195" t="s">
        <v>493</v>
      </c>
      <c r="D195" t="s">
        <v>69</v>
      </c>
      <c r="E195" t="s">
        <v>149</v>
      </c>
      <c r="F195" t="s">
        <v>831</v>
      </c>
      <c r="G195" t="s">
        <v>832</v>
      </c>
      <c r="H195" t="s">
        <v>4</v>
      </c>
      <c r="I195" s="41">
        <v>75.010000000000005</v>
      </c>
      <c r="J195" s="40">
        <f>I195*(1-IFERROR(VLOOKUP(H195,Rabat!$D$10:$E$41,2,FALSE),0))</f>
        <v>75.010000000000005</v>
      </c>
      <c r="K195">
        <v>0.04</v>
      </c>
      <c r="L195" t="s">
        <v>1789</v>
      </c>
      <c r="M195" t="s">
        <v>1976</v>
      </c>
      <c r="N195" t="s">
        <v>1954</v>
      </c>
      <c r="O195" t="s">
        <v>1776</v>
      </c>
      <c r="P195">
        <v>100</v>
      </c>
      <c r="Q195">
        <v>0</v>
      </c>
      <c r="R195" t="s">
        <v>1777</v>
      </c>
      <c r="S195" s="42" t="str">
        <f>HYPERLINK("https://sklep.kobi.pl/produkt/led-tramo-150-5050-ip20-rgb-5m")</f>
        <v>https://sklep.kobi.pl/produkt/led-tramo-150-5050-ip20-rgb-5m</v>
      </c>
      <c r="T195" t="s">
        <v>71</v>
      </c>
      <c r="U195">
        <v>4.9000000000000002E-2</v>
      </c>
      <c r="V195">
        <v>0.154</v>
      </c>
      <c r="W195">
        <v>160</v>
      </c>
      <c r="X195">
        <v>190</v>
      </c>
      <c r="Y195">
        <v>15</v>
      </c>
      <c r="Z195" t="s">
        <v>1778</v>
      </c>
      <c r="AA195"/>
    </row>
    <row r="196" spans="1:27" ht="15" x14ac:dyDescent="0.25">
      <c r="A196" t="s">
        <v>44</v>
      </c>
      <c r="B196" t="s">
        <v>294</v>
      </c>
      <c r="C196" t="s">
        <v>493</v>
      </c>
      <c r="D196" t="s">
        <v>69</v>
      </c>
      <c r="E196" t="s">
        <v>149</v>
      </c>
      <c r="F196" t="s">
        <v>494</v>
      </c>
      <c r="G196" t="s">
        <v>495</v>
      </c>
      <c r="H196" t="s">
        <v>4</v>
      </c>
      <c r="I196" s="41">
        <v>122.26</v>
      </c>
      <c r="J196" s="40">
        <f>I196*(1-IFERROR(VLOOKUP(H196,Rabat!$D$10:$E$41,2,FALSE),0))</f>
        <v>122.26</v>
      </c>
      <c r="K196">
        <v>0.08</v>
      </c>
      <c r="L196" t="s">
        <v>1789</v>
      </c>
      <c r="M196" t="s">
        <v>1977</v>
      </c>
      <c r="N196" t="s">
        <v>1954</v>
      </c>
      <c r="O196" t="s">
        <v>1776</v>
      </c>
      <c r="P196">
        <v>100</v>
      </c>
      <c r="Q196">
        <v>0</v>
      </c>
      <c r="R196" t="s">
        <v>1777</v>
      </c>
      <c r="S196" s="42" t="str">
        <f>HYPERLINK("https://sklep.kobi.pl/produkt/led-tramo-300-5050-ip20-rgb-5m")</f>
        <v>https://sklep.kobi.pl/produkt/led-tramo-300-5050-ip20-rgb-5m</v>
      </c>
      <c r="T196" t="s">
        <v>71</v>
      </c>
      <c r="U196">
        <v>0.1</v>
      </c>
      <c r="V196">
        <v>0.154</v>
      </c>
      <c r="W196">
        <v>160</v>
      </c>
      <c r="X196">
        <v>190</v>
      </c>
      <c r="Y196">
        <v>15</v>
      </c>
      <c r="Z196" t="s">
        <v>1778</v>
      </c>
      <c r="AA196"/>
    </row>
    <row r="197" spans="1:27" ht="15" x14ac:dyDescent="0.25">
      <c r="A197" t="s">
        <v>44</v>
      </c>
      <c r="B197" t="s">
        <v>45</v>
      </c>
      <c r="C197" t="s">
        <v>654</v>
      </c>
      <c r="D197" t="s">
        <v>741</v>
      </c>
      <c r="E197" t="s">
        <v>149</v>
      </c>
      <c r="F197" t="s">
        <v>1013</v>
      </c>
      <c r="G197" t="s">
        <v>1014</v>
      </c>
      <c r="H197" t="s">
        <v>49</v>
      </c>
      <c r="I197" s="41">
        <v>63.92</v>
      </c>
      <c r="J197" s="40">
        <f>I197*(1-IFERROR(VLOOKUP(H197,Rabat!$D$10:$E$41,2,FALSE),0))</f>
        <v>63.92</v>
      </c>
      <c r="K197">
        <v>7.0000000000000007E-2</v>
      </c>
      <c r="L197" t="s">
        <v>1978</v>
      </c>
      <c r="M197" t="s">
        <v>1979</v>
      </c>
      <c r="N197" t="s">
        <v>1775</v>
      </c>
      <c r="O197" t="s">
        <v>1776</v>
      </c>
      <c r="P197">
        <v>25</v>
      </c>
      <c r="Q197">
        <v>1000</v>
      </c>
      <c r="R197" t="s">
        <v>1955</v>
      </c>
      <c r="S197" s="42" t="str">
        <f>HYPERLINK("https://sklep.kobi.pl/produkt/led-nextube-t8-18w-120cm-4000k")</f>
        <v>https://sklep.kobi.pl/produkt/led-nextube-t8-18w-120cm-4000k</v>
      </c>
      <c r="T197" s="42" t="str">
        <f>HYPERLINK("https://eprel.ec.europa.eu/qr/730564         ")</f>
        <v xml:space="preserve">https://eprel.ec.europa.eu/qr/730564         </v>
      </c>
      <c r="U197">
        <v>8.1000000000000003E-2</v>
      </c>
      <c r="V197"/>
      <c r="W197">
        <v>1200</v>
      </c>
      <c r="X197">
        <v>40</v>
      </c>
      <c r="Y197">
        <v>40</v>
      </c>
      <c r="Z197" t="s">
        <v>1778</v>
      </c>
      <c r="AA197"/>
    </row>
    <row r="198" spans="1:27" ht="15" x14ac:dyDescent="0.25">
      <c r="A198" t="s">
        <v>44</v>
      </c>
      <c r="B198" t="s">
        <v>45</v>
      </c>
      <c r="C198" t="s">
        <v>654</v>
      </c>
      <c r="D198" t="s">
        <v>741</v>
      </c>
      <c r="E198" t="s">
        <v>149</v>
      </c>
      <c r="F198" t="s">
        <v>1015</v>
      </c>
      <c r="G198" t="s">
        <v>1016</v>
      </c>
      <c r="H198" t="s">
        <v>49</v>
      </c>
      <c r="I198" s="41">
        <v>83</v>
      </c>
      <c r="J198" s="40">
        <f>I198*(1-IFERROR(VLOOKUP(H198,Rabat!$D$10:$E$41,2,FALSE),0))</f>
        <v>83</v>
      </c>
      <c r="K198">
        <v>0.13</v>
      </c>
      <c r="L198" t="s">
        <v>1978</v>
      </c>
      <c r="M198" t="s">
        <v>1980</v>
      </c>
      <c r="N198" t="s">
        <v>1775</v>
      </c>
      <c r="O198" t="s">
        <v>1776</v>
      </c>
      <c r="P198">
        <v>25</v>
      </c>
      <c r="Q198">
        <v>700</v>
      </c>
      <c r="R198" t="s">
        <v>1955</v>
      </c>
      <c r="S198" s="42" t="str">
        <f>HYPERLINK("https://sklep.kobi.pl/produkt/led-nextube-t8-24w-150cm-4000k")</f>
        <v>https://sklep.kobi.pl/produkt/led-nextube-t8-24w-150cm-4000k</v>
      </c>
      <c r="T198" s="42" t="str">
        <f>HYPERLINK("https://eprel.ec.europa.eu/qr/730570         ")</f>
        <v xml:space="preserve">https://eprel.ec.europa.eu/qr/730570         </v>
      </c>
      <c r="U198">
        <v>0.151</v>
      </c>
      <c r="V198"/>
      <c r="W198"/>
      <c r="X198"/>
      <c r="Y198"/>
      <c r="Z198" t="s">
        <v>1778</v>
      </c>
      <c r="AA198"/>
    </row>
    <row r="199" spans="1:27" ht="15" x14ac:dyDescent="0.25">
      <c r="A199" t="s">
        <v>17</v>
      </c>
      <c r="B199" t="s">
        <v>1254</v>
      </c>
      <c r="C199"/>
      <c r="D199" t="s">
        <v>424</v>
      </c>
      <c r="E199" t="s">
        <v>71</v>
      </c>
      <c r="F199" t="s">
        <v>1257</v>
      </c>
      <c r="G199" t="s">
        <v>1258</v>
      </c>
      <c r="H199" t="s">
        <v>65</v>
      </c>
      <c r="I199" s="41">
        <v>6707.33</v>
      </c>
      <c r="J199" s="40">
        <f>I199*(1-IFERROR(VLOOKUP(H199,Rabat!$D$10:$E$41,2,FALSE),0))</f>
        <v>6707.33</v>
      </c>
      <c r="K199">
        <v>4.1900000000000004</v>
      </c>
      <c r="L199" t="s">
        <v>1789</v>
      </c>
      <c r="M199" t="s">
        <v>1981</v>
      </c>
      <c r="N199" t="s">
        <v>1982</v>
      </c>
      <c r="O199" t="s">
        <v>1776</v>
      </c>
      <c r="P199">
        <v>1</v>
      </c>
      <c r="Q199">
        <v>0</v>
      </c>
      <c r="R199" t="s">
        <v>1777</v>
      </c>
      <c r="S199" s="42" t="str">
        <f>HYPERLINK("https://sklep.kobi.pl/produkt/kobi-power-box-1000w")</f>
        <v>https://sklep.kobi.pl/produkt/kobi-power-box-1000w</v>
      </c>
      <c r="T199" t="s">
        <v>71</v>
      </c>
      <c r="U199">
        <v>9.1999999999999993</v>
      </c>
      <c r="V199">
        <v>10.7</v>
      </c>
      <c r="W199">
        <v>420</v>
      </c>
      <c r="X199">
        <v>300</v>
      </c>
      <c r="Y199">
        <v>290</v>
      </c>
      <c r="Z199" t="s">
        <v>1983</v>
      </c>
      <c r="AA199"/>
    </row>
    <row r="200" spans="1:27" ht="15" x14ac:dyDescent="0.25">
      <c r="A200" t="s">
        <v>17</v>
      </c>
      <c r="B200" t="s">
        <v>1254</v>
      </c>
      <c r="C200"/>
      <c r="D200" t="s">
        <v>424</v>
      </c>
      <c r="E200" t="s">
        <v>71</v>
      </c>
      <c r="F200" t="s">
        <v>1259</v>
      </c>
      <c r="G200" t="s">
        <v>1260</v>
      </c>
      <c r="H200" t="s">
        <v>65</v>
      </c>
      <c r="I200" s="41">
        <v>9959.3700000000008</v>
      </c>
      <c r="J200" s="40">
        <f>I200*(1-IFERROR(VLOOKUP(H200,Rabat!$D$10:$E$41,2,FALSE),0))</f>
        <v>9959.3700000000008</v>
      </c>
      <c r="K200">
        <v>4.55</v>
      </c>
      <c r="L200" t="s">
        <v>1789</v>
      </c>
      <c r="M200" t="s">
        <v>1984</v>
      </c>
      <c r="N200" t="s">
        <v>1982</v>
      </c>
      <c r="O200" t="s">
        <v>1776</v>
      </c>
      <c r="P200">
        <v>1</v>
      </c>
      <c r="Q200">
        <v>0</v>
      </c>
      <c r="R200" t="s">
        <v>1777</v>
      </c>
      <c r="S200" s="42" t="str">
        <f>HYPERLINK("https://sklep.kobi.pl/produkt/kobi-power-box-1800w")</f>
        <v>https://sklep.kobi.pl/produkt/kobi-power-box-1800w</v>
      </c>
      <c r="T200" t="s">
        <v>71</v>
      </c>
      <c r="U200">
        <v>10</v>
      </c>
      <c r="V200">
        <v>13.8</v>
      </c>
      <c r="W200">
        <v>430</v>
      </c>
      <c r="X200">
        <v>310</v>
      </c>
      <c r="Y200">
        <v>310</v>
      </c>
      <c r="Z200" t="s">
        <v>1983</v>
      </c>
      <c r="AA200"/>
    </row>
    <row r="201" spans="1:27" ht="15" x14ac:dyDescent="0.25">
      <c r="A201" t="s">
        <v>17</v>
      </c>
      <c r="B201" t="s">
        <v>1254</v>
      </c>
      <c r="C201"/>
      <c r="D201" t="s">
        <v>424</v>
      </c>
      <c r="E201" t="s">
        <v>71</v>
      </c>
      <c r="F201" t="s">
        <v>1255</v>
      </c>
      <c r="G201" t="s">
        <v>1256</v>
      </c>
      <c r="H201" t="s">
        <v>65</v>
      </c>
      <c r="I201" s="41">
        <v>3638.2</v>
      </c>
      <c r="J201" s="40">
        <f>I201*(1-IFERROR(VLOOKUP(H201,Rabat!$D$10:$E$41,2,FALSE),0))</f>
        <v>3638.2</v>
      </c>
      <c r="K201">
        <v>2.59</v>
      </c>
      <c r="L201" t="s">
        <v>1789</v>
      </c>
      <c r="M201" t="s">
        <v>1985</v>
      </c>
      <c r="N201" t="s">
        <v>1982</v>
      </c>
      <c r="O201" t="s">
        <v>1776</v>
      </c>
      <c r="P201">
        <v>2</v>
      </c>
      <c r="Q201">
        <v>0</v>
      </c>
      <c r="R201" t="s">
        <v>1777</v>
      </c>
      <c r="S201" s="42" t="str">
        <f>HYPERLINK("https://sklep.kobi.pl/produkt/kobi-power-box-600w")</f>
        <v>https://sklep.kobi.pl/produkt/kobi-power-box-600w</v>
      </c>
      <c r="T201" t="s">
        <v>71</v>
      </c>
      <c r="U201">
        <v>5.7</v>
      </c>
      <c r="V201">
        <v>7.5</v>
      </c>
      <c r="W201">
        <v>330</v>
      </c>
      <c r="X201">
        <v>300</v>
      </c>
      <c r="Y201">
        <v>230</v>
      </c>
      <c r="Z201" t="s">
        <v>1983</v>
      </c>
      <c r="AA201"/>
    </row>
    <row r="202" spans="1:27" ht="15" x14ac:dyDescent="0.25">
      <c r="A202" t="s">
        <v>17</v>
      </c>
      <c r="B202" t="s">
        <v>1254</v>
      </c>
      <c r="C202"/>
      <c r="D202" t="s">
        <v>424</v>
      </c>
      <c r="E202" t="s">
        <v>71</v>
      </c>
      <c r="F202" t="s">
        <v>1261</v>
      </c>
      <c r="G202" t="s">
        <v>1262</v>
      </c>
      <c r="H202" t="s">
        <v>65</v>
      </c>
      <c r="I202" s="41">
        <v>2437</v>
      </c>
      <c r="J202" s="40">
        <f>I202*(1-IFERROR(VLOOKUP(H202,Rabat!$D$10:$E$41,2,FALSE),0))</f>
        <v>2437</v>
      </c>
      <c r="K202">
        <v>1.32</v>
      </c>
      <c r="L202" t="s">
        <v>1789</v>
      </c>
      <c r="M202" t="s">
        <v>1986</v>
      </c>
      <c r="N202" t="s">
        <v>1987</v>
      </c>
      <c r="O202" t="s">
        <v>1776</v>
      </c>
      <c r="P202">
        <v>2</v>
      </c>
      <c r="Q202">
        <v>0</v>
      </c>
      <c r="R202" t="s">
        <v>1777</v>
      </c>
      <c r="S202" s="42" t="str">
        <f>HYPERLINK("https://sklep.kobi.pl/produkt/kobi-sunflash-100w")</f>
        <v>https://sklep.kobi.pl/produkt/kobi-sunflash-100w</v>
      </c>
      <c r="T202" t="s">
        <v>71</v>
      </c>
      <c r="U202">
        <v>2.9</v>
      </c>
      <c r="V202">
        <v>0</v>
      </c>
      <c r="W202">
        <v>0</v>
      </c>
      <c r="X202">
        <v>0</v>
      </c>
      <c r="Y202">
        <v>0</v>
      </c>
      <c r="Z202" t="s">
        <v>1778</v>
      </c>
      <c r="AA202"/>
    </row>
    <row r="203" spans="1:27" ht="15" x14ac:dyDescent="0.25">
      <c r="A203" t="s">
        <v>17</v>
      </c>
      <c r="B203" t="s">
        <v>1254</v>
      </c>
      <c r="C203"/>
      <c r="D203" t="s">
        <v>424</v>
      </c>
      <c r="E203" t="s">
        <v>71</v>
      </c>
      <c r="F203" t="s">
        <v>1263</v>
      </c>
      <c r="G203" t="s">
        <v>1264</v>
      </c>
      <c r="H203" t="s">
        <v>65</v>
      </c>
      <c r="I203" s="41">
        <v>5589.43</v>
      </c>
      <c r="J203" s="40">
        <f>I203*(1-IFERROR(VLOOKUP(H203,Rabat!$D$10:$E$41,2,FALSE),0))</f>
        <v>5589.43</v>
      </c>
      <c r="K203">
        <v>2.89</v>
      </c>
      <c r="L203" t="s">
        <v>1789</v>
      </c>
      <c r="M203" t="s">
        <v>1988</v>
      </c>
      <c r="N203" t="s">
        <v>1987</v>
      </c>
      <c r="O203" t="s">
        <v>1776</v>
      </c>
      <c r="P203">
        <v>2</v>
      </c>
      <c r="Q203">
        <v>0</v>
      </c>
      <c r="R203" t="s">
        <v>1777</v>
      </c>
      <c r="S203" s="42" t="str">
        <f>HYPERLINK("https://sklep.kobi.pl/produkt/kobi-sunflash-300w")</f>
        <v>https://sklep.kobi.pl/produkt/kobi-sunflash-300w</v>
      </c>
      <c r="T203" t="s">
        <v>71</v>
      </c>
      <c r="U203">
        <v>6.35</v>
      </c>
      <c r="V203">
        <v>0</v>
      </c>
      <c r="W203">
        <v>0</v>
      </c>
      <c r="X203">
        <v>0</v>
      </c>
      <c r="Y203">
        <v>0</v>
      </c>
      <c r="Z203" t="s">
        <v>1778</v>
      </c>
      <c r="AA203"/>
    </row>
    <row r="204" spans="1:27" ht="15" x14ac:dyDescent="0.25">
      <c r="A204" t="s">
        <v>17</v>
      </c>
      <c r="B204" t="s">
        <v>984</v>
      </c>
      <c r="C204"/>
      <c r="D204" t="s">
        <v>69</v>
      </c>
      <c r="E204" t="s">
        <v>71</v>
      </c>
      <c r="F204" t="s">
        <v>1105</v>
      </c>
      <c r="G204" t="s">
        <v>1106</v>
      </c>
      <c r="H204" t="s">
        <v>51</v>
      </c>
      <c r="I204" s="41">
        <v>200</v>
      </c>
      <c r="J204" s="40">
        <f>I204*(1-IFERROR(VLOOKUP(H204,Rabat!$D$10:$E$41,2,FALSE),0))</f>
        <v>200</v>
      </c>
      <c r="K204">
        <v>1.31</v>
      </c>
      <c r="L204" t="s">
        <v>1789</v>
      </c>
      <c r="M204" t="s">
        <v>1989</v>
      </c>
      <c r="N204" t="s">
        <v>1990</v>
      </c>
      <c r="O204" t="s">
        <v>1776</v>
      </c>
      <c r="P204">
        <v>1</v>
      </c>
      <c r="Q204">
        <v>40</v>
      </c>
      <c r="R204" t="s">
        <v>1777</v>
      </c>
      <c r="S204" s="42" t="str">
        <f>HYPERLINK("https://sklep.kobi.pl/produkt/grzejnik-konwektorowy-sondo-2000w-turbo")</f>
        <v>https://sklep.kobi.pl/produkt/grzejnik-konwektorowy-sondo-2000w-turbo</v>
      </c>
      <c r="T204" t="s">
        <v>71</v>
      </c>
      <c r="U204">
        <v>2.88</v>
      </c>
      <c r="V204">
        <v>0</v>
      </c>
      <c r="W204">
        <v>390</v>
      </c>
      <c r="X204">
        <v>570</v>
      </c>
      <c r="Y204">
        <v>130</v>
      </c>
      <c r="Z204" t="s">
        <v>1778</v>
      </c>
      <c r="AA204"/>
    </row>
    <row r="205" spans="1:27" ht="15" x14ac:dyDescent="0.25">
      <c r="A205" t="s">
        <v>17</v>
      </c>
      <c r="B205" t="s">
        <v>984</v>
      </c>
      <c r="C205"/>
      <c r="D205" t="s">
        <v>934</v>
      </c>
      <c r="E205" t="s">
        <v>71</v>
      </c>
      <c r="F205" t="s">
        <v>985</v>
      </c>
      <c r="G205" t="s">
        <v>986</v>
      </c>
      <c r="H205" t="s">
        <v>51</v>
      </c>
      <c r="I205" s="41">
        <v>386.41</v>
      </c>
      <c r="J205" s="40">
        <f>I205*(1-IFERROR(VLOOKUP(H205,Rabat!$D$10:$E$41,2,FALSE),0))</f>
        <v>386.41</v>
      </c>
      <c r="K205">
        <v>4.99</v>
      </c>
      <c r="L205" t="s">
        <v>1789</v>
      </c>
      <c r="M205" t="s">
        <v>1991</v>
      </c>
      <c r="N205" t="s">
        <v>1992</v>
      </c>
      <c r="O205" t="s">
        <v>1776</v>
      </c>
      <c r="P205">
        <v>1</v>
      </c>
      <c r="Q205">
        <v>39</v>
      </c>
      <c r="R205" t="s">
        <v>1777</v>
      </c>
      <c r="S205" s="42" t="str">
        <f>HYPERLINK("https://sklep.kobi.pl/produkt/grzejnik-olejowy-yugo-11-2500w")</f>
        <v>https://sklep.kobi.pl/produkt/grzejnik-olejowy-yugo-11-2500w</v>
      </c>
      <c r="T205" t="s">
        <v>71</v>
      </c>
      <c r="U205">
        <v>8.82</v>
      </c>
      <c r="V205">
        <v>8.7959999999999994</v>
      </c>
      <c r="W205">
        <v>520</v>
      </c>
      <c r="X205">
        <v>580</v>
      </c>
      <c r="Y205">
        <v>130</v>
      </c>
      <c r="Z205" t="s">
        <v>1778</v>
      </c>
      <c r="AA205"/>
    </row>
    <row r="206" spans="1:27" ht="15" x14ac:dyDescent="0.25">
      <c r="A206" t="s">
        <v>17</v>
      </c>
      <c r="B206" t="s">
        <v>933</v>
      </c>
      <c r="C206"/>
      <c r="D206" t="s">
        <v>934</v>
      </c>
      <c r="E206" t="s">
        <v>71</v>
      </c>
      <c r="F206" t="s">
        <v>935</v>
      </c>
      <c r="G206" t="s">
        <v>936</v>
      </c>
      <c r="H206" t="s">
        <v>51</v>
      </c>
      <c r="I206" s="41">
        <v>150</v>
      </c>
      <c r="J206" s="40">
        <f>I206*(1-IFERROR(VLOOKUP(H206,Rabat!$D$10:$E$41,2,FALSE),0))</f>
        <v>150</v>
      </c>
      <c r="K206">
        <v>1.1000000000000001</v>
      </c>
      <c r="L206" t="s">
        <v>1789</v>
      </c>
      <c r="M206" t="s">
        <v>1993</v>
      </c>
      <c r="N206" t="s">
        <v>1994</v>
      </c>
      <c r="O206" t="s">
        <v>1776</v>
      </c>
      <c r="P206">
        <v>1</v>
      </c>
      <c r="Q206">
        <v>52</v>
      </c>
      <c r="R206" t="s">
        <v>1995</v>
      </c>
      <c r="S206" s="42" t="str">
        <f>HYPERLINK("https://sklep.kobi.pl/produkt/wentylator-podlogowy-viento-45w-bialy")</f>
        <v>https://sklep.kobi.pl/produkt/wentylator-podlogowy-viento-45w-bialy</v>
      </c>
      <c r="T206" t="s">
        <v>71</v>
      </c>
      <c r="U206">
        <v>2.423</v>
      </c>
      <c r="V206">
        <v>2.8330000000000002</v>
      </c>
      <c r="W206">
        <v>440</v>
      </c>
      <c r="X206">
        <v>520</v>
      </c>
      <c r="Y206">
        <v>120</v>
      </c>
      <c r="Z206" t="s">
        <v>1778</v>
      </c>
      <c r="AA206"/>
    </row>
    <row r="207" spans="1:27" ht="15" x14ac:dyDescent="0.25">
      <c r="A207" t="s">
        <v>17</v>
      </c>
      <c r="B207" t="s">
        <v>933</v>
      </c>
      <c r="C207"/>
      <c r="D207" t="s">
        <v>934</v>
      </c>
      <c r="E207" t="s">
        <v>71</v>
      </c>
      <c r="F207" t="s">
        <v>937</v>
      </c>
      <c r="G207" t="s">
        <v>938</v>
      </c>
      <c r="H207" t="s">
        <v>51</v>
      </c>
      <c r="I207" s="41">
        <v>150</v>
      </c>
      <c r="J207" s="40">
        <f>I207*(1-IFERROR(VLOOKUP(H207,Rabat!$D$10:$E$41,2,FALSE),0))</f>
        <v>150</v>
      </c>
      <c r="K207">
        <v>1.1000000000000001</v>
      </c>
      <c r="L207" t="s">
        <v>1789</v>
      </c>
      <c r="M207" t="s">
        <v>1996</v>
      </c>
      <c r="N207" t="s">
        <v>1994</v>
      </c>
      <c r="O207" t="s">
        <v>1776</v>
      </c>
      <c r="P207">
        <v>1</v>
      </c>
      <c r="Q207">
        <v>52</v>
      </c>
      <c r="R207" t="s">
        <v>1995</v>
      </c>
      <c r="S207" s="42" t="str">
        <f>HYPERLINK("https://sklep.kobi.pl/produkt/wentylator-podlogowy-viento-45w-czarny")</f>
        <v>https://sklep.kobi.pl/produkt/wentylator-podlogowy-viento-45w-czarny</v>
      </c>
      <c r="T207" t="s">
        <v>71</v>
      </c>
      <c r="U207">
        <v>2.423</v>
      </c>
      <c r="V207">
        <v>2.8330000000000002</v>
      </c>
      <c r="W207">
        <v>440</v>
      </c>
      <c r="X207">
        <v>520</v>
      </c>
      <c r="Y207">
        <v>120</v>
      </c>
      <c r="Z207" t="s">
        <v>1778</v>
      </c>
      <c r="AA207"/>
    </row>
    <row r="208" spans="1:27" ht="15" x14ac:dyDescent="0.25">
      <c r="A208" t="s">
        <v>17</v>
      </c>
      <c r="B208" t="s">
        <v>933</v>
      </c>
      <c r="C208"/>
      <c r="D208" t="s">
        <v>934</v>
      </c>
      <c r="E208" t="s">
        <v>71</v>
      </c>
      <c r="F208" t="s">
        <v>972</v>
      </c>
      <c r="G208" t="s">
        <v>973</v>
      </c>
      <c r="H208" t="s">
        <v>51</v>
      </c>
      <c r="I208" s="41">
        <v>333.17</v>
      </c>
      <c r="J208" s="40">
        <f>I208*(1-IFERROR(VLOOKUP(H208,Rabat!$D$10:$E$41,2,FALSE),0))</f>
        <v>333.17</v>
      </c>
      <c r="K208">
        <v>1.1100000000000001</v>
      </c>
      <c r="L208" t="s">
        <v>1789</v>
      </c>
      <c r="M208" t="s">
        <v>1997</v>
      </c>
      <c r="N208" t="s">
        <v>1994</v>
      </c>
      <c r="O208" t="s">
        <v>1776</v>
      </c>
      <c r="P208">
        <v>1</v>
      </c>
      <c r="Q208">
        <v>52</v>
      </c>
      <c r="R208" t="s">
        <v>1995</v>
      </c>
      <c r="S208" s="42" t="str">
        <f>HYPERLINK("https://sklep.kobi.pl/produkt/wentylator-podlogowy-viento-r-45w-czarny")</f>
        <v>https://sklep.kobi.pl/produkt/wentylator-podlogowy-viento-r-45w-czarny</v>
      </c>
      <c r="T208" t="s">
        <v>71</v>
      </c>
      <c r="U208">
        <v>2.4300000000000002</v>
      </c>
      <c r="V208">
        <v>2.8660000000000001</v>
      </c>
      <c r="W208">
        <v>440</v>
      </c>
      <c r="X208">
        <v>520</v>
      </c>
      <c r="Y208">
        <v>120</v>
      </c>
      <c r="Z208" t="s">
        <v>1778</v>
      </c>
      <c r="AA208"/>
    </row>
    <row r="209" spans="1:27" ht="15" x14ac:dyDescent="0.25">
      <c r="A209" t="s">
        <v>17</v>
      </c>
      <c r="B209" t="s">
        <v>933</v>
      </c>
      <c r="C209"/>
      <c r="D209" t="s">
        <v>934</v>
      </c>
      <c r="E209" t="s">
        <v>71</v>
      </c>
      <c r="F209" t="s">
        <v>974</v>
      </c>
      <c r="G209" t="s">
        <v>975</v>
      </c>
      <c r="H209" t="s">
        <v>51</v>
      </c>
      <c r="I209" s="41">
        <v>581.09</v>
      </c>
      <c r="J209" s="40">
        <f>I209*(1-IFERROR(VLOOKUP(H209,Rabat!$D$10:$E$41,2,FALSE),0))</f>
        <v>581.09</v>
      </c>
      <c r="K209">
        <v>1.93</v>
      </c>
      <c r="L209" t="s">
        <v>1789</v>
      </c>
      <c r="M209" t="s">
        <v>1998</v>
      </c>
      <c r="N209" t="s">
        <v>1994</v>
      </c>
      <c r="O209" t="s">
        <v>1776</v>
      </c>
      <c r="P209">
        <v>1</v>
      </c>
      <c r="Q209">
        <v>20</v>
      </c>
      <c r="R209" t="s">
        <v>1995</v>
      </c>
      <c r="S209" s="42" t="str">
        <f>HYPERLINK("https://sklep.kobi.pl/produkt/wentylator-podlogowy-viento-100w")</f>
        <v>https://sklep.kobi.pl/produkt/wentylator-podlogowy-viento-100w</v>
      </c>
      <c r="T209" t="s">
        <v>71</v>
      </c>
      <c r="U209">
        <v>4.2489999999999997</v>
      </c>
      <c r="V209">
        <v>6.0460000000000003</v>
      </c>
      <c r="W209">
        <v>600</v>
      </c>
      <c r="X209">
        <v>610</v>
      </c>
      <c r="Y209">
        <v>220</v>
      </c>
      <c r="Z209" t="s">
        <v>1778</v>
      </c>
      <c r="AA209"/>
    </row>
    <row r="210" spans="1:27" ht="15" x14ac:dyDescent="0.25">
      <c r="A210" t="s">
        <v>5</v>
      </c>
      <c r="B210" t="s">
        <v>61</v>
      </c>
      <c r="C210"/>
      <c r="D210" t="s">
        <v>59</v>
      </c>
      <c r="E210" t="s">
        <v>71</v>
      </c>
      <c r="F210" t="s">
        <v>1023</v>
      </c>
      <c r="G210" t="s">
        <v>1024</v>
      </c>
      <c r="H210" t="s">
        <v>59</v>
      </c>
      <c r="I210" s="41">
        <v>428.9</v>
      </c>
      <c r="J210" s="40">
        <f>I210*(1-IFERROR(VLOOKUP(H210,Rabat!$D$10:$E$41,2,FALSE),0))</f>
        <v>428.9</v>
      </c>
      <c r="K210">
        <v>1.26</v>
      </c>
      <c r="L210" t="s">
        <v>1978</v>
      </c>
      <c r="M210" t="s">
        <v>1999</v>
      </c>
      <c r="N210" t="s">
        <v>2000</v>
      </c>
      <c r="O210" t="s">
        <v>1776</v>
      </c>
      <c r="P210">
        <v>5</v>
      </c>
      <c r="Q210">
        <v>0</v>
      </c>
      <c r="R210" t="s">
        <v>1955</v>
      </c>
      <c r="S210" s="42" t="str">
        <f>HYPERLINK("https://sklep.kobi.pl/produkt/led-orio-60x60-18w")</f>
        <v>https://sklep.kobi.pl/produkt/led-orio-60x60-18w</v>
      </c>
      <c r="T210" s="42" t="str">
        <f>HYPERLINK("https://eprel.ec.europa.eu/qr/1078059        ")</f>
        <v xml:space="preserve">https://eprel.ec.europa.eu/qr/1078059        </v>
      </c>
      <c r="U210">
        <v>1.49</v>
      </c>
      <c r="V210">
        <v>0</v>
      </c>
      <c r="W210">
        <v>0</v>
      </c>
      <c r="X210">
        <v>0</v>
      </c>
      <c r="Y210">
        <v>0</v>
      </c>
      <c r="Z210" t="s">
        <v>1778</v>
      </c>
      <c r="AA210"/>
    </row>
    <row r="211" spans="1:27" ht="15" x14ac:dyDescent="0.25">
      <c r="A211" t="s">
        <v>5</v>
      </c>
      <c r="B211" t="s">
        <v>61</v>
      </c>
      <c r="C211"/>
      <c r="D211" t="s">
        <v>59</v>
      </c>
      <c r="E211" t="s">
        <v>71</v>
      </c>
      <c r="F211" t="s">
        <v>1025</v>
      </c>
      <c r="G211" t="s">
        <v>1026</v>
      </c>
      <c r="H211" t="s">
        <v>59</v>
      </c>
      <c r="I211" s="41">
        <v>428.9</v>
      </c>
      <c r="J211" s="40">
        <f>I211*(1-IFERROR(VLOOKUP(H211,Rabat!$D$10:$E$41,2,FALSE),0))</f>
        <v>428.9</v>
      </c>
      <c r="K211">
        <v>1.26</v>
      </c>
      <c r="L211" t="s">
        <v>1978</v>
      </c>
      <c r="M211" t="s">
        <v>2001</v>
      </c>
      <c r="N211" t="s">
        <v>2000</v>
      </c>
      <c r="O211" t="s">
        <v>1776</v>
      </c>
      <c r="P211">
        <v>5</v>
      </c>
      <c r="Q211">
        <v>0</v>
      </c>
      <c r="R211" t="s">
        <v>1955</v>
      </c>
      <c r="S211" s="42" t="str">
        <f>HYPERLINK("https://sklep.kobi.pl/produkt/led-orio-60x60-20w")</f>
        <v>https://sklep.kobi.pl/produkt/led-orio-60x60-20w</v>
      </c>
      <c r="T211" s="42" t="str">
        <f>HYPERLINK("https://eprel.ec.europa.eu/qr/1078069        ")</f>
        <v xml:space="preserve">https://eprel.ec.europa.eu/qr/1078069        </v>
      </c>
      <c r="U211">
        <v>1.49</v>
      </c>
      <c r="V211">
        <v>0</v>
      </c>
      <c r="W211"/>
      <c r="X211"/>
      <c r="Y211"/>
      <c r="Z211" t="s">
        <v>1778</v>
      </c>
      <c r="AA211"/>
    </row>
    <row r="212" spans="1:27" ht="15" x14ac:dyDescent="0.25">
      <c r="A212" t="s">
        <v>5</v>
      </c>
      <c r="B212" t="s">
        <v>61</v>
      </c>
      <c r="C212"/>
      <c r="D212" t="s">
        <v>59</v>
      </c>
      <c r="E212" t="s">
        <v>71</v>
      </c>
      <c r="F212" t="s">
        <v>1027</v>
      </c>
      <c r="G212" t="s">
        <v>1028</v>
      </c>
      <c r="H212" t="s">
        <v>59</v>
      </c>
      <c r="I212" s="41">
        <v>428.9</v>
      </c>
      <c r="J212" s="40">
        <f>I212*(1-IFERROR(VLOOKUP(H212,Rabat!$D$10:$E$41,2,FALSE),0))</f>
        <v>428.9</v>
      </c>
      <c r="K212">
        <v>1.26</v>
      </c>
      <c r="L212" t="s">
        <v>1978</v>
      </c>
      <c r="M212" t="s">
        <v>2002</v>
      </c>
      <c r="N212" t="s">
        <v>2000</v>
      </c>
      <c r="O212" t="s">
        <v>1776</v>
      </c>
      <c r="P212">
        <v>5</v>
      </c>
      <c r="Q212">
        <v>0</v>
      </c>
      <c r="R212" t="s">
        <v>1955</v>
      </c>
      <c r="S212" s="42" t="str">
        <f>HYPERLINK("https://sklep.kobi.pl/produkt/led-orio-60x60-22w")</f>
        <v>https://sklep.kobi.pl/produkt/led-orio-60x60-22w</v>
      </c>
      <c r="T212" s="42" t="str">
        <f>HYPERLINK("https://eprel.ec.europa.eu/qr/1078202        ")</f>
        <v xml:space="preserve">https://eprel.ec.europa.eu/qr/1078202        </v>
      </c>
      <c r="U212">
        <v>1.49</v>
      </c>
      <c r="V212">
        <v>0</v>
      </c>
      <c r="W212"/>
      <c r="X212"/>
      <c r="Y212"/>
      <c r="Z212" t="s">
        <v>1778</v>
      </c>
      <c r="AA212"/>
    </row>
    <row r="213" spans="1:27" ht="15" x14ac:dyDescent="0.25">
      <c r="A213" t="s">
        <v>5</v>
      </c>
      <c r="B213" t="s">
        <v>61</v>
      </c>
      <c r="C213"/>
      <c r="D213" t="s">
        <v>59</v>
      </c>
      <c r="E213" t="s">
        <v>71</v>
      </c>
      <c r="F213" t="s">
        <v>1029</v>
      </c>
      <c r="G213" t="s">
        <v>1030</v>
      </c>
      <c r="H213" t="s">
        <v>59</v>
      </c>
      <c r="I213" s="41">
        <v>428.9</v>
      </c>
      <c r="J213" s="40">
        <f>I213*(1-IFERROR(VLOOKUP(H213,Rabat!$D$10:$E$41,2,FALSE),0))</f>
        <v>428.9</v>
      </c>
      <c r="K213">
        <v>1.26</v>
      </c>
      <c r="L213" t="s">
        <v>1978</v>
      </c>
      <c r="M213" t="s">
        <v>2003</v>
      </c>
      <c r="N213" t="s">
        <v>2000</v>
      </c>
      <c r="O213" t="s">
        <v>1776</v>
      </c>
      <c r="P213">
        <v>5</v>
      </c>
      <c r="Q213">
        <v>0</v>
      </c>
      <c r="R213" t="s">
        <v>1955</v>
      </c>
      <c r="S213" s="42" t="str">
        <f>HYPERLINK("https://sklep.kobi.pl/produkt/led-orio-60x60-24w")</f>
        <v>https://sklep.kobi.pl/produkt/led-orio-60x60-24w</v>
      </c>
      <c r="T213" s="42" t="str">
        <f>HYPERLINK("https://eprel.ec.europa.eu/qr/1078212        ")</f>
        <v xml:space="preserve">https://eprel.ec.europa.eu/qr/1078212        </v>
      </c>
      <c r="U213">
        <v>1.49</v>
      </c>
      <c r="V213">
        <v>0</v>
      </c>
      <c r="W213"/>
      <c r="X213"/>
      <c r="Y213"/>
      <c r="Z213" t="s">
        <v>1778</v>
      </c>
      <c r="AA213"/>
    </row>
    <row r="214" spans="1:27" ht="15" x14ac:dyDescent="0.25">
      <c r="A214" t="s">
        <v>5</v>
      </c>
      <c r="B214" t="s">
        <v>61</v>
      </c>
      <c r="C214"/>
      <c r="D214" t="s">
        <v>59</v>
      </c>
      <c r="E214" t="s">
        <v>71</v>
      </c>
      <c r="F214" t="s">
        <v>1031</v>
      </c>
      <c r="G214" t="s">
        <v>1032</v>
      </c>
      <c r="H214" t="s">
        <v>59</v>
      </c>
      <c r="I214" s="41">
        <v>446.7</v>
      </c>
      <c r="J214" s="40">
        <f>I214*(1-IFERROR(VLOOKUP(H214,Rabat!$D$10:$E$41,2,FALSE),0))</f>
        <v>446.7</v>
      </c>
      <c r="K214">
        <v>1.28</v>
      </c>
      <c r="L214" t="s">
        <v>1978</v>
      </c>
      <c r="M214" t="s">
        <v>2004</v>
      </c>
      <c r="N214" t="s">
        <v>2000</v>
      </c>
      <c r="O214" t="s">
        <v>1776</v>
      </c>
      <c r="P214">
        <v>5</v>
      </c>
      <c r="Q214">
        <v>0</v>
      </c>
      <c r="R214" t="s">
        <v>1955</v>
      </c>
      <c r="S214" s="42" t="str">
        <f>HYPERLINK("https://sklep.kobi.pl/produkt/led-orio-60x60-26w")</f>
        <v>https://sklep.kobi.pl/produkt/led-orio-60x60-26w</v>
      </c>
      <c r="T214" s="42" t="str">
        <f>HYPERLINK("https://eprel.ec.europa.eu/qr/1078216        ")</f>
        <v xml:space="preserve">https://eprel.ec.europa.eu/qr/1078216        </v>
      </c>
      <c r="U214">
        <v>1.52</v>
      </c>
      <c r="V214">
        <v>0</v>
      </c>
      <c r="W214"/>
      <c r="X214"/>
      <c r="Y214"/>
      <c r="Z214" t="s">
        <v>1778</v>
      </c>
      <c r="AA214"/>
    </row>
    <row r="215" spans="1:27" ht="15" x14ac:dyDescent="0.25">
      <c r="A215" t="s">
        <v>5</v>
      </c>
      <c r="B215" t="s">
        <v>61</v>
      </c>
      <c r="C215"/>
      <c r="D215" t="s">
        <v>59</v>
      </c>
      <c r="E215" t="s">
        <v>71</v>
      </c>
      <c r="F215" t="s">
        <v>1033</v>
      </c>
      <c r="G215" t="s">
        <v>1034</v>
      </c>
      <c r="H215" t="s">
        <v>59</v>
      </c>
      <c r="I215" s="41">
        <v>446.7</v>
      </c>
      <c r="J215" s="40">
        <f>I215*(1-IFERROR(VLOOKUP(H215,Rabat!$D$10:$E$41,2,FALSE),0))</f>
        <v>446.7</v>
      </c>
      <c r="K215">
        <v>1.28</v>
      </c>
      <c r="L215" t="s">
        <v>1978</v>
      </c>
      <c r="M215" t="s">
        <v>2005</v>
      </c>
      <c r="N215" t="s">
        <v>2000</v>
      </c>
      <c r="O215" t="s">
        <v>1776</v>
      </c>
      <c r="P215">
        <v>5</v>
      </c>
      <c r="Q215">
        <v>0</v>
      </c>
      <c r="R215" t="s">
        <v>1955</v>
      </c>
      <c r="S215" s="42" t="str">
        <f>HYPERLINK("https://sklep.kobi.pl/produkt/led-orio-60x60-28w")</f>
        <v>https://sklep.kobi.pl/produkt/led-orio-60x60-28w</v>
      </c>
      <c r="T215" s="42" t="str">
        <f>HYPERLINK("https://eprel.ec.europa.eu/qr/1078224        ")</f>
        <v xml:space="preserve">https://eprel.ec.europa.eu/qr/1078224        </v>
      </c>
      <c r="U215">
        <v>1.52</v>
      </c>
      <c r="V215">
        <v>0</v>
      </c>
      <c r="W215"/>
      <c r="X215"/>
      <c r="Y215"/>
      <c r="Z215" t="s">
        <v>1778</v>
      </c>
      <c r="AA215"/>
    </row>
    <row r="216" spans="1:27" ht="15" x14ac:dyDescent="0.25">
      <c r="A216" t="s">
        <v>5</v>
      </c>
      <c r="B216" t="s">
        <v>61</v>
      </c>
      <c r="C216"/>
      <c r="D216" t="s">
        <v>59</v>
      </c>
      <c r="E216" t="s">
        <v>71</v>
      </c>
      <c r="F216" t="s">
        <v>1035</v>
      </c>
      <c r="G216" t="s">
        <v>1036</v>
      </c>
      <c r="H216" t="s">
        <v>59</v>
      </c>
      <c r="I216" s="41">
        <v>446.7</v>
      </c>
      <c r="J216" s="40">
        <f>I216*(1-IFERROR(VLOOKUP(H216,Rabat!$D$10:$E$41,2,FALSE),0))</f>
        <v>446.7</v>
      </c>
      <c r="K216">
        <v>1.28</v>
      </c>
      <c r="L216" t="s">
        <v>1978</v>
      </c>
      <c r="M216" t="s">
        <v>2006</v>
      </c>
      <c r="N216" t="s">
        <v>2000</v>
      </c>
      <c r="O216" t="s">
        <v>1776</v>
      </c>
      <c r="P216">
        <v>5</v>
      </c>
      <c r="Q216">
        <v>0</v>
      </c>
      <c r="R216" t="s">
        <v>1955</v>
      </c>
      <c r="S216" s="42" t="str">
        <f>HYPERLINK("https://sklep.kobi.pl/produkt/led-orio-60x60-30w")</f>
        <v>https://sklep.kobi.pl/produkt/led-orio-60x60-30w</v>
      </c>
      <c r="T216" s="42" t="str">
        <f>HYPERLINK("https://eprel.ec.europa.eu/qr/1078251        ")</f>
        <v xml:space="preserve">https://eprel.ec.europa.eu/qr/1078251        </v>
      </c>
      <c r="U216">
        <v>1.52</v>
      </c>
      <c r="V216">
        <v>0</v>
      </c>
      <c r="W216"/>
      <c r="X216"/>
      <c r="Y216"/>
      <c r="Z216" t="s">
        <v>1778</v>
      </c>
      <c r="AA216"/>
    </row>
    <row r="217" spans="1:27" ht="15" x14ac:dyDescent="0.25">
      <c r="A217" t="s">
        <v>5</v>
      </c>
      <c r="B217" t="s">
        <v>61</v>
      </c>
      <c r="C217"/>
      <c r="D217" t="s">
        <v>59</v>
      </c>
      <c r="E217" t="s">
        <v>71</v>
      </c>
      <c r="F217" t="s">
        <v>1037</v>
      </c>
      <c r="G217" t="s">
        <v>1038</v>
      </c>
      <c r="H217" t="s">
        <v>59</v>
      </c>
      <c r="I217" s="41">
        <v>446.7</v>
      </c>
      <c r="J217" s="40">
        <f>I217*(1-IFERROR(VLOOKUP(H217,Rabat!$D$10:$E$41,2,FALSE),0))</f>
        <v>446.7</v>
      </c>
      <c r="K217">
        <v>1.28</v>
      </c>
      <c r="L217" t="s">
        <v>1978</v>
      </c>
      <c r="M217" t="s">
        <v>2007</v>
      </c>
      <c r="N217" t="s">
        <v>2000</v>
      </c>
      <c r="O217" t="s">
        <v>1776</v>
      </c>
      <c r="P217">
        <v>5</v>
      </c>
      <c r="Q217">
        <v>0</v>
      </c>
      <c r="R217" t="s">
        <v>1955</v>
      </c>
      <c r="S217" s="42" t="str">
        <f>HYPERLINK("https://sklep.kobi.pl/produkt/led-orio-60x60-32w")</f>
        <v>https://sklep.kobi.pl/produkt/led-orio-60x60-32w</v>
      </c>
      <c r="T217" s="42" t="str">
        <f>HYPERLINK("https://eprel.ec.europa.eu/qr/1078259        ")</f>
        <v xml:space="preserve">https://eprel.ec.europa.eu/qr/1078259        </v>
      </c>
      <c r="U217">
        <v>1.52</v>
      </c>
      <c r="V217">
        <v>0</v>
      </c>
      <c r="W217"/>
      <c r="X217"/>
      <c r="Y217"/>
      <c r="Z217" t="s">
        <v>1778</v>
      </c>
      <c r="AA217"/>
    </row>
    <row r="218" spans="1:27" ht="15" x14ac:dyDescent="0.25">
      <c r="A218" t="s">
        <v>5</v>
      </c>
      <c r="B218" t="s">
        <v>61</v>
      </c>
      <c r="C218"/>
      <c r="D218" t="s">
        <v>59</v>
      </c>
      <c r="E218" t="s">
        <v>71</v>
      </c>
      <c r="F218" t="s">
        <v>1039</v>
      </c>
      <c r="G218" t="s">
        <v>1040</v>
      </c>
      <c r="H218" t="s">
        <v>59</v>
      </c>
      <c r="I218" s="41">
        <v>473.3</v>
      </c>
      <c r="J218" s="40">
        <f>I218*(1-IFERROR(VLOOKUP(H218,Rabat!$D$10:$E$41,2,FALSE),0))</f>
        <v>473.3</v>
      </c>
      <c r="K218">
        <v>1.29</v>
      </c>
      <c r="L218" t="s">
        <v>1978</v>
      </c>
      <c r="M218" t="s">
        <v>2008</v>
      </c>
      <c r="N218" t="s">
        <v>2000</v>
      </c>
      <c r="O218" t="s">
        <v>1776</v>
      </c>
      <c r="P218">
        <v>5</v>
      </c>
      <c r="Q218">
        <v>0</v>
      </c>
      <c r="R218" t="s">
        <v>1955</v>
      </c>
      <c r="S218" s="42" t="str">
        <f>HYPERLINK("https://sklep.kobi.pl/produkt/led-orio-60x60-34w")</f>
        <v>https://sklep.kobi.pl/produkt/led-orio-60x60-34w</v>
      </c>
      <c r="T218" s="42" t="str">
        <f>HYPERLINK("https://eprel.ec.europa.eu/qr/1078263        ")</f>
        <v xml:space="preserve">https://eprel.ec.europa.eu/qr/1078263        </v>
      </c>
      <c r="U218">
        <v>1.53</v>
      </c>
      <c r="V218">
        <v>0</v>
      </c>
      <c r="W218"/>
      <c r="X218"/>
      <c r="Y218"/>
      <c r="Z218" t="s">
        <v>1778</v>
      </c>
      <c r="AA218"/>
    </row>
    <row r="219" spans="1:27" ht="15" x14ac:dyDescent="0.25">
      <c r="A219" t="s">
        <v>5</v>
      </c>
      <c r="B219" t="s">
        <v>61</v>
      </c>
      <c r="C219"/>
      <c r="D219" t="s">
        <v>59</v>
      </c>
      <c r="E219" t="s">
        <v>71</v>
      </c>
      <c r="F219" t="s">
        <v>1041</v>
      </c>
      <c r="G219" t="s">
        <v>1042</v>
      </c>
      <c r="H219" t="s">
        <v>59</v>
      </c>
      <c r="I219" s="41">
        <v>473.3</v>
      </c>
      <c r="J219" s="40">
        <f>I219*(1-IFERROR(VLOOKUP(H219,Rabat!$D$10:$E$41,2,FALSE),0))</f>
        <v>473.3</v>
      </c>
      <c r="K219">
        <v>1.29</v>
      </c>
      <c r="L219" t="s">
        <v>1978</v>
      </c>
      <c r="M219" t="s">
        <v>2009</v>
      </c>
      <c r="N219" t="s">
        <v>2000</v>
      </c>
      <c r="O219" t="s">
        <v>1776</v>
      </c>
      <c r="P219">
        <v>5</v>
      </c>
      <c r="Q219">
        <v>0</v>
      </c>
      <c r="R219" t="s">
        <v>1955</v>
      </c>
      <c r="S219" s="42" t="str">
        <f>HYPERLINK("https://sklep.kobi.pl/produkt/led-orio-60x60-36w")</f>
        <v>https://sklep.kobi.pl/produkt/led-orio-60x60-36w</v>
      </c>
      <c r="T219" s="42" t="str">
        <f>HYPERLINK("https://eprel.ec.europa.eu/qr/1078268        ")</f>
        <v xml:space="preserve">https://eprel.ec.europa.eu/qr/1078268        </v>
      </c>
      <c r="U219">
        <v>1.53</v>
      </c>
      <c r="V219">
        <v>0</v>
      </c>
      <c r="W219"/>
      <c r="X219"/>
      <c r="Y219"/>
      <c r="Z219" t="s">
        <v>1778</v>
      </c>
      <c r="AA219"/>
    </row>
    <row r="220" spans="1:27" ht="15" x14ac:dyDescent="0.25">
      <c r="A220" t="s">
        <v>5</v>
      </c>
      <c r="B220" t="s">
        <v>61</v>
      </c>
      <c r="C220"/>
      <c r="D220" t="s">
        <v>59</v>
      </c>
      <c r="E220" t="s">
        <v>71</v>
      </c>
      <c r="F220" t="s">
        <v>1043</v>
      </c>
      <c r="G220" t="s">
        <v>1044</v>
      </c>
      <c r="H220" t="s">
        <v>59</v>
      </c>
      <c r="I220" s="41">
        <v>473.3</v>
      </c>
      <c r="J220" s="40">
        <f>I220*(1-IFERROR(VLOOKUP(H220,Rabat!$D$10:$E$41,2,FALSE),0))</f>
        <v>473.3</v>
      </c>
      <c r="K220">
        <v>1.29</v>
      </c>
      <c r="L220" t="s">
        <v>1978</v>
      </c>
      <c r="M220" t="s">
        <v>2010</v>
      </c>
      <c r="N220" t="s">
        <v>2000</v>
      </c>
      <c r="O220" t="s">
        <v>1776</v>
      </c>
      <c r="P220">
        <v>5</v>
      </c>
      <c r="Q220">
        <v>0</v>
      </c>
      <c r="R220" t="s">
        <v>1955</v>
      </c>
      <c r="S220" s="42" t="str">
        <f>HYPERLINK("https://sklep.kobi.pl/produkt/led-orio-60x60-38w")</f>
        <v>https://sklep.kobi.pl/produkt/led-orio-60x60-38w</v>
      </c>
      <c r="T220" s="42" t="str">
        <f>HYPERLINK("https://eprel.ec.europa.eu/qr/1078276        ")</f>
        <v xml:space="preserve">https://eprel.ec.europa.eu/qr/1078276        </v>
      </c>
      <c r="U220">
        <v>1.53</v>
      </c>
      <c r="V220">
        <v>0</v>
      </c>
      <c r="W220"/>
      <c r="X220"/>
      <c r="Y220"/>
      <c r="Z220" t="s">
        <v>1778</v>
      </c>
      <c r="AA220"/>
    </row>
    <row r="221" spans="1:27" ht="15" x14ac:dyDescent="0.25">
      <c r="A221" t="s">
        <v>5</v>
      </c>
      <c r="B221" t="s">
        <v>61</v>
      </c>
      <c r="C221"/>
      <c r="D221" t="s">
        <v>59</v>
      </c>
      <c r="E221" t="s">
        <v>71</v>
      </c>
      <c r="F221" t="s">
        <v>1045</v>
      </c>
      <c r="G221" t="s">
        <v>1046</v>
      </c>
      <c r="H221" t="s">
        <v>59</v>
      </c>
      <c r="I221" s="41">
        <v>473.3</v>
      </c>
      <c r="J221" s="40">
        <f>I221*(1-IFERROR(VLOOKUP(H221,Rabat!$D$10:$E$41,2,FALSE),0))</f>
        <v>473.3</v>
      </c>
      <c r="K221">
        <v>1.29</v>
      </c>
      <c r="L221" t="s">
        <v>1978</v>
      </c>
      <c r="M221" t="s">
        <v>2011</v>
      </c>
      <c r="N221" t="s">
        <v>2000</v>
      </c>
      <c r="O221" t="s">
        <v>1776</v>
      </c>
      <c r="P221">
        <v>5</v>
      </c>
      <c r="Q221">
        <v>0</v>
      </c>
      <c r="R221" t="s">
        <v>1955</v>
      </c>
      <c r="S221" s="42" t="str">
        <f>HYPERLINK("https://sklep.kobi.pl/produkt/led-orio-60x60-40w")</f>
        <v>https://sklep.kobi.pl/produkt/led-orio-60x60-40w</v>
      </c>
      <c r="T221" s="42" t="str">
        <f>HYPERLINK("https://eprel.ec.europa.eu/qr/1078302        ")</f>
        <v xml:space="preserve">https://eprel.ec.europa.eu/qr/1078302        </v>
      </c>
      <c r="U221">
        <v>1.53</v>
      </c>
      <c r="V221">
        <v>0</v>
      </c>
      <c r="W221"/>
      <c r="X221"/>
      <c r="Y221"/>
      <c r="Z221" t="s">
        <v>1778</v>
      </c>
      <c r="AA221"/>
    </row>
    <row r="222" spans="1:27" ht="15" x14ac:dyDescent="0.25">
      <c r="A222" t="s">
        <v>5</v>
      </c>
      <c r="B222" t="s">
        <v>62</v>
      </c>
      <c r="C222"/>
      <c r="D222"/>
      <c r="E222" t="s">
        <v>149</v>
      </c>
      <c r="F222" t="s">
        <v>536</v>
      </c>
      <c r="G222" t="s">
        <v>537</v>
      </c>
      <c r="H222" t="s">
        <v>59</v>
      </c>
      <c r="I222" s="41">
        <v>450</v>
      </c>
      <c r="J222" s="40">
        <f>I222*(1-IFERROR(VLOOKUP(H222,Rabat!$D$10:$E$41,2,FALSE),0))</f>
        <v>450</v>
      </c>
      <c r="K222">
        <v>1.51</v>
      </c>
      <c r="L222" t="s">
        <v>2012</v>
      </c>
      <c r="M222" t="s">
        <v>2013</v>
      </c>
      <c r="N222" t="s">
        <v>2000</v>
      </c>
      <c r="O222" t="s">
        <v>1776</v>
      </c>
      <c r="P222">
        <v>12</v>
      </c>
      <c r="Q222">
        <v>0</v>
      </c>
      <c r="R222" t="s">
        <v>1955</v>
      </c>
      <c r="S222" s="42" t="str">
        <f>HYPERLINK("https://sklep.kobi.pl/produkt/nexpullout-np2-40w-24st-3000k-cri-90-cza")</f>
        <v>https://sklep.kobi.pl/produkt/nexpullout-np2-40w-24st-3000k-cri-90-cza</v>
      </c>
      <c r="T222" t="s">
        <v>71</v>
      </c>
      <c r="U222">
        <v>1.79</v>
      </c>
      <c r="V222">
        <v>2.0819999999999999</v>
      </c>
      <c r="W222">
        <v>250</v>
      </c>
      <c r="X222">
        <v>250</v>
      </c>
      <c r="Y222">
        <v>150</v>
      </c>
      <c r="Z222" t="s">
        <v>1778</v>
      </c>
      <c r="AA222"/>
    </row>
    <row r="223" spans="1:27" ht="15" x14ac:dyDescent="0.25">
      <c r="A223" t="s">
        <v>5</v>
      </c>
      <c r="B223" t="s">
        <v>62</v>
      </c>
      <c r="C223"/>
      <c r="D223" t="s">
        <v>59</v>
      </c>
      <c r="E223" t="s">
        <v>149</v>
      </c>
      <c r="F223" t="s">
        <v>1021</v>
      </c>
      <c r="G223" t="s">
        <v>1022</v>
      </c>
      <c r="H223" t="s">
        <v>59</v>
      </c>
      <c r="I223" s="41">
        <v>450</v>
      </c>
      <c r="J223" s="40">
        <f>I223*(1-IFERROR(VLOOKUP(H223,Rabat!$D$10:$E$41,2,FALSE),0))</f>
        <v>450</v>
      </c>
      <c r="K223">
        <v>1.51</v>
      </c>
      <c r="L223" t="s">
        <v>1773</v>
      </c>
      <c r="M223" t="s">
        <v>2014</v>
      </c>
      <c r="N223" t="s">
        <v>2000</v>
      </c>
      <c r="O223" t="s">
        <v>1776</v>
      </c>
      <c r="P223">
        <v>12</v>
      </c>
      <c r="Q223">
        <v>0</v>
      </c>
      <c r="R223" t="s">
        <v>1955</v>
      </c>
      <c r="S223" s="42" t="str">
        <f>HYPERLINK("https://sklep.kobi.pl/produkt/nexpullout-np2-40w-36st-3000k-cri-90-cza")</f>
        <v>https://sklep.kobi.pl/produkt/nexpullout-np2-40w-36st-3000k-cri-90-cza</v>
      </c>
      <c r="T223" s="42" t="str">
        <f>HYPERLINK("https://eprel.ec.europa.eu/qr/931171         ")</f>
        <v xml:space="preserve">https://eprel.ec.europa.eu/qr/931171         </v>
      </c>
      <c r="U223">
        <v>1.79</v>
      </c>
      <c r="V223">
        <v>2.0819999999999999</v>
      </c>
      <c r="W223">
        <v>250</v>
      </c>
      <c r="X223">
        <v>250</v>
      </c>
      <c r="Y223">
        <v>150</v>
      </c>
      <c r="Z223" t="s">
        <v>1778</v>
      </c>
      <c r="AA223"/>
    </row>
    <row r="224" spans="1:27" ht="15" x14ac:dyDescent="0.25">
      <c r="A224" t="s">
        <v>5</v>
      </c>
      <c r="B224" t="s">
        <v>62</v>
      </c>
      <c r="C224"/>
      <c r="D224" t="s">
        <v>59</v>
      </c>
      <c r="E224" t="s">
        <v>149</v>
      </c>
      <c r="F224" t="s">
        <v>518</v>
      </c>
      <c r="G224" t="s">
        <v>519</v>
      </c>
      <c r="H224" t="s">
        <v>59</v>
      </c>
      <c r="I224" s="41">
        <v>391</v>
      </c>
      <c r="J224" s="40">
        <f>I224*(1-IFERROR(VLOOKUP(H224,Rabat!$D$10:$E$41,2,FALSE),0))</f>
        <v>391</v>
      </c>
      <c r="K224">
        <v>0.7</v>
      </c>
      <c r="L224" t="s">
        <v>1818</v>
      </c>
      <c r="M224" t="s">
        <v>2015</v>
      </c>
      <c r="N224" t="s">
        <v>2000</v>
      </c>
      <c r="O224" t="s">
        <v>1776</v>
      </c>
      <c r="P224">
        <v>8</v>
      </c>
      <c r="Q224">
        <v>0</v>
      </c>
      <c r="R224" t="s">
        <v>1955</v>
      </c>
      <c r="S224" s="42" t="str">
        <f>HYPERLINK("https://sklep.kobi.pl/produkt/nextrack-nt1-30w-45st-3400k-cri-95-bialy")</f>
        <v>https://sklep.kobi.pl/produkt/nextrack-nt1-30w-45st-3400k-cri-95-bialy</v>
      </c>
      <c r="T224" s="42" t="str">
        <f>HYPERLINK("https://eprel.ec.europa.eu/qr/930827         ")</f>
        <v xml:space="preserve">https://eprel.ec.europa.eu/qr/930827         </v>
      </c>
      <c r="U224">
        <v>0.83</v>
      </c>
      <c r="V224"/>
      <c r="W224"/>
      <c r="X224"/>
      <c r="Y224"/>
      <c r="Z224" t="s">
        <v>1778</v>
      </c>
      <c r="AA224"/>
    </row>
    <row r="225" spans="1:27" ht="15" x14ac:dyDescent="0.25">
      <c r="A225" t="s">
        <v>5</v>
      </c>
      <c r="B225" t="s">
        <v>62</v>
      </c>
      <c r="C225"/>
      <c r="D225" t="s">
        <v>59</v>
      </c>
      <c r="E225" t="s">
        <v>149</v>
      </c>
      <c r="F225" t="s">
        <v>520</v>
      </c>
      <c r="G225" t="s">
        <v>521</v>
      </c>
      <c r="H225" t="s">
        <v>59</v>
      </c>
      <c r="I225" s="41">
        <v>400</v>
      </c>
      <c r="J225" s="40">
        <f>I225*(1-IFERROR(VLOOKUP(H225,Rabat!$D$10:$E$41,2,FALSE),0))</f>
        <v>400</v>
      </c>
      <c r="K225">
        <v>0.96</v>
      </c>
      <c r="L225" t="s">
        <v>1773</v>
      </c>
      <c r="M225" t="s">
        <v>2016</v>
      </c>
      <c r="N225" t="s">
        <v>2000</v>
      </c>
      <c r="O225" t="s">
        <v>1776</v>
      </c>
      <c r="P225">
        <v>8</v>
      </c>
      <c r="Q225">
        <v>0</v>
      </c>
      <c r="R225" t="s">
        <v>1955</v>
      </c>
      <c r="S225" s="42" t="str">
        <f>HYPERLINK("https://sklep.kobi.pl/produkt/nextrack-nt2-35w-15st-3000k-cri-90-czarn")</f>
        <v>https://sklep.kobi.pl/produkt/nextrack-nt2-35w-15st-3000k-cri-90-czarn</v>
      </c>
      <c r="T225" s="42" t="str">
        <f>HYPERLINK("https://eprel.ec.europa.eu/qr/930769         ")</f>
        <v xml:space="preserve">https://eprel.ec.europa.eu/qr/930769         </v>
      </c>
      <c r="U225">
        <v>1.1399999999999999</v>
      </c>
      <c r="V225">
        <v>1.5329999999999999</v>
      </c>
      <c r="W225">
        <v>310</v>
      </c>
      <c r="X225">
        <v>310</v>
      </c>
      <c r="Y225">
        <v>120</v>
      </c>
      <c r="Z225" t="s">
        <v>1778</v>
      </c>
      <c r="AA225"/>
    </row>
    <row r="226" spans="1:27" ht="15" x14ac:dyDescent="0.25">
      <c r="A226" t="s">
        <v>5</v>
      </c>
      <c r="B226" t="s">
        <v>62</v>
      </c>
      <c r="C226"/>
      <c r="D226" t="s">
        <v>59</v>
      </c>
      <c r="E226" t="s">
        <v>149</v>
      </c>
      <c r="F226" t="s">
        <v>522</v>
      </c>
      <c r="G226" t="s">
        <v>523</v>
      </c>
      <c r="H226" t="s">
        <v>59</v>
      </c>
      <c r="I226" s="41">
        <v>432</v>
      </c>
      <c r="J226" s="40">
        <f>I226*(1-IFERROR(VLOOKUP(H226,Rabat!$D$10:$E$41,2,FALSE),0))</f>
        <v>432</v>
      </c>
      <c r="K226">
        <v>0.9</v>
      </c>
      <c r="L226" t="s">
        <v>1773</v>
      </c>
      <c r="M226" t="s">
        <v>2017</v>
      </c>
      <c r="N226" t="s">
        <v>2000</v>
      </c>
      <c r="O226" t="s">
        <v>1776</v>
      </c>
      <c r="P226">
        <v>8</v>
      </c>
      <c r="Q226">
        <v>0</v>
      </c>
      <c r="R226" t="s">
        <v>1955</v>
      </c>
      <c r="S226" s="42" t="str">
        <f>HYPERLINK("https://sklep.kobi.pl/produkt/nextrack-nt3-35w-25st-3000k-cri-90-czarn")</f>
        <v>https://sklep.kobi.pl/produkt/nextrack-nt3-35w-25st-3000k-cri-90-czarn</v>
      </c>
      <c r="T226" s="42" t="str">
        <f>HYPERLINK("https://eprel.ec.europa.eu/qr/930750         ")</f>
        <v xml:space="preserve">https://eprel.ec.europa.eu/qr/930750         </v>
      </c>
      <c r="U226">
        <v>1.07</v>
      </c>
      <c r="V226">
        <v>1.53</v>
      </c>
      <c r="W226">
        <v>300</v>
      </c>
      <c r="X226">
        <v>150</v>
      </c>
      <c r="Y226">
        <v>200</v>
      </c>
      <c r="Z226" t="s">
        <v>1778</v>
      </c>
      <c r="AA226"/>
    </row>
    <row r="227" spans="1:27" ht="15" x14ac:dyDescent="0.25">
      <c r="A227" t="s">
        <v>5</v>
      </c>
      <c r="B227" t="s">
        <v>62</v>
      </c>
      <c r="C227"/>
      <c r="D227" t="s">
        <v>59</v>
      </c>
      <c r="E227" t="s">
        <v>149</v>
      </c>
      <c r="F227" t="s">
        <v>524</v>
      </c>
      <c r="G227" t="s">
        <v>525</v>
      </c>
      <c r="H227" t="s">
        <v>59</v>
      </c>
      <c r="I227" s="41">
        <v>450</v>
      </c>
      <c r="J227" s="40">
        <f>I227*(1-IFERROR(VLOOKUP(H227,Rabat!$D$10:$E$41,2,FALSE),0))</f>
        <v>450</v>
      </c>
      <c r="K227">
        <v>1.06</v>
      </c>
      <c r="L227" t="s">
        <v>1773</v>
      </c>
      <c r="M227" t="s">
        <v>2018</v>
      </c>
      <c r="N227" t="s">
        <v>2000</v>
      </c>
      <c r="O227" t="s">
        <v>1776</v>
      </c>
      <c r="P227">
        <v>12</v>
      </c>
      <c r="Q227">
        <v>0</v>
      </c>
      <c r="R227" t="s">
        <v>1955</v>
      </c>
      <c r="S227" s="42" t="str">
        <f>HYPERLINK("https://sklep.kobi.pl/produkt/nextrack-nt4-38w-12st-3000k-cri-90-czarn")</f>
        <v>https://sklep.kobi.pl/produkt/nextrack-nt4-38w-12st-3000k-cri-90-czarn</v>
      </c>
      <c r="T227" s="42" t="str">
        <f>HYPERLINK("https://eprel.ec.europa.eu/qr/930688         ")</f>
        <v xml:space="preserve">https://eprel.ec.europa.eu/qr/930688         </v>
      </c>
      <c r="U227">
        <v>1.25</v>
      </c>
      <c r="V227"/>
      <c r="W227"/>
      <c r="X227"/>
      <c r="Y227"/>
      <c r="Z227" t="s">
        <v>1778</v>
      </c>
      <c r="AA227"/>
    </row>
    <row r="228" spans="1:27" ht="15" x14ac:dyDescent="0.25">
      <c r="A228" t="s">
        <v>5</v>
      </c>
      <c r="B228" t="s">
        <v>62</v>
      </c>
      <c r="C228"/>
      <c r="D228" t="s">
        <v>59</v>
      </c>
      <c r="E228" t="s">
        <v>149</v>
      </c>
      <c r="F228" t="s">
        <v>526</v>
      </c>
      <c r="G228" t="s">
        <v>527</v>
      </c>
      <c r="H228" t="s">
        <v>59</v>
      </c>
      <c r="I228" s="41">
        <v>450</v>
      </c>
      <c r="J228" s="40">
        <f>I228*(1-IFERROR(VLOOKUP(H228,Rabat!$D$10:$E$41,2,FALSE),0))</f>
        <v>450</v>
      </c>
      <c r="K228">
        <v>1.06</v>
      </c>
      <c r="L228" t="s">
        <v>1773</v>
      </c>
      <c r="M228" t="s">
        <v>2019</v>
      </c>
      <c r="N228" t="s">
        <v>2000</v>
      </c>
      <c r="O228" t="s">
        <v>1776</v>
      </c>
      <c r="P228">
        <v>12</v>
      </c>
      <c r="Q228">
        <v>0</v>
      </c>
      <c r="R228" t="s">
        <v>1955</v>
      </c>
      <c r="S228" s="42" t="str">
        <f>HYPERLINK("https://sklep.kobi.pl/produkt/nextrack-nt4-38w-24st-3000k-cri-90-czarn")</f>
        <v>https://sklep.kobi.pl/produkt/nextrack-nt4-38w-24st-3000k-cri-90-czarn</v>
      </c>
      <c r="T228" s="42" t="str">
        <f>HYPERLINK("https://eprel.ec.europa.eu/qr/930568         ")</f>
        <v xml:space="preserve">https://eprel.ec.europa.eu/qr/930568         </v>
      </c>
      <c r="U228">
        <v>1.25</v>
      </c>
      <c r="V228"/>
      <c r="W228"/>
      <c r="X228"/>
      <c r="Y228"/>
      <c r="Z228" t="s">
        <v>1778</v>
      </c>
      <c r="AA228"/>
    </row>
    <row r="229" spans="1:27" ht="15" x14ac:dyDescent="0.25">
      <c r="A229" t="s">
        <v>5</v>
      </c>
      <c r="B229" t="s">
        <v>62</v>
      </c>
      <c r="C229"/>
      <c r="D229" t="s">
        <v>59</v>
      </c>
      <c r="E229" t="s">
        <v>71</v>
      </c>
      <c r="F229" t="s">
        <v>1001</v>
      </c>
      <c r="G229" t="s">
        <v>1002</v>
      </c>
      <c r="H229" t="s">
        <v>59</v>
      </c>
      <c r="I229" s="41">
        <v>450</v>
      </c>
      <c r="J229" s="40">
        <f>I229*(1-IFERROR(VLOOKUP(H229,Rabat!$D$10:$E$41,2,FALSE),0))</f>
        <v>450</v>
      </c>
      <c r="K229">
        <v>1.06</v>
      </c>
      <c r="L229" t="s">
        <v>1773</v>
      </c>
      <c r="M229" t="s">
        <v>2020</v>
      </c>
      <c r="N229" t="s">
        <v>2000</v>
      </c>
      <c r="O229" t="s">
        <v>1776</v>
      </c>
      <c r="P229">
        <v>12</v>
      </c>
      <c r="Q229">
        <v>0</v>
      </c>
      <c r="R229" t="s">
        <v>1955</v>
      </c>
      <c r="S229" s="42" t="str">
        <f>HYPERLINK("https://sklep.kobi.pl/produkt/nextrack-nt4-38w-36st-4000k-cri-90-cz-p")</f>
        <v>https://sklep.kobi.pl/produkt/nextrack-nt4-38w-36st-4000k-cri-90-cz-p</v>
      </c>
      <c r="T229" s="42" t="str">
        <f>HYPERLINK("https://eprel.ec.europa.eu/qr/930216         ")</f>
        <v xml:space="preserve">https://eprel.ec.europa.eu/qr/930216         </v>
      </c>
      <c r="U229">
        <v>1.25</v>
      </c>
      <c r="V229"/>
      <c r="W229"/>
      <c r="X229"/>
      <c r="Y229"/>
      <c r="Z229" t="s">
        <v>1778</v>
      </c>
      <c r="AA229"/>
    </row>
    <row r="230" spans="1:27" ht="15" x14ac:dyDescent="0.25">
      <c r="A230" t="s">
        <v>5</v>
      </c>
      <c r="B230" t="s">
        <v>62</v>
      </c>
      <c r="C230"/>
      <c r="D230" t="s">
        <v>59</v>
      </c>
      <c r="E230" t="s">
        <v>71</v>
      </c>
      <c r="F230" t="s">
        <v>682</v>
      </c>
      <c r="G230" t="s">
        <v>683</v>
      </c>
      <c r="H230" t="s">
        <v>59</v>
      </c>
      <c r="I230" s="41">
        <v>450</v>
      </c>
      <c r="J230" s="40">
        <f>I230*(1-IFERROR(VLOOKUP(H230,Rabat!$D$10:$E$41,2,FALSE),0))</f>
        <v>450</v>
      </c>
      <c r="K230">
        <v>1.06</v>
      </c>
      <c r="L230" t="s">
        <v>1773</v>
      </c>
      <c r="M230" t="s">
        <v>2021</v>
      </c>
      <c r="N230" t="s">
        <v>2000</v>
      </c>
      <c r="O230" t="s">
        <v>1776</v>
      </c>
      <c r="P230">
        <v>12</v>
      </c>
      <c r="Q230">
        <v>0</v>
      </c>
      <c r="R230" t="s">
        <v>1955</v>
      </c>
      <c r="S230" s="42" t="str">
        <f>HYPERLINK("https://sklep.kobi.pl/produkt/nextrack-nt4-38w-60st-4000k-cri-90-cz-p-pl")</f>
        <v>https://sklep.kobi.pl/produkt/nextrack-nt4-38w-60st-4000k-cri-90-cz-p-pl</v>
      </c>
      <c r="T230" s="42" t="str">
        <f>HYPERLINK("https://eprel.ec.europa.eu/qr/956931         ")</f>
        <v xml:space="preserve">https://eprel.ec.europa.eu/qr/956931         </v>
      </c>
      <c r="U230">
        <v>1.25</v>
      </c>
      <c r="V230"/>
      <c r="W230"/>
      <c r="X230"/>
      <c r="Y230"/>
      <c r="Z230" t="s">
        <v>1778</v>
      </c>
      <c r="AA230"/>
    </row>
    <row r="231" spans="1:27" ht="15" x14ac:dyDescent="0.25">
      <c r="A231" t="s">
        <v>5</v>
      </c>
      <c r="B231" t="s">
        <v>62</v>
      </c>
      <c r="C231"/>
      <c r="D231" t="s">
        <v>59</v>
      </c>
      <c r="E231" t="s">
        <v>71</v>
      </c>
      <c r="F231" t="s">
        <v>810</v>
      </c>
      <c r="G231" t="s">
        <v>811</v>
      </c>
      <c r="H231" t="s">
        <v>59</v>
      </c>
      <c r="I231" s="41">
        <v>290</v>
      </c>
      <c r="J231" s="40">
        <f>I231*(1-IFERROR(VLOOKUP(H231,Rabat!$D$10:$E$41,2,FALSE),0))</f>
        <v>290</v>
      </c>
      <c r="K231">
        <v>0.53</v>
      </c>
      <c r="L231" t="s">
        <v>1773</v>
      </c>
      <c r="M231" t="s">
        <v>2022</v>
      </c>
      <c r="N231" t="s">
        <v>2023</v>
      </c>
      <c r="O231" t="s">
        <v>1776</v>
      </c>
      <c r="P231">
        <v>20</v>
      </c>
      <c r="Q231">
        <v>0</v>
      </c>
      <c r="R231" t="s">
        <v>1955</v>
      </c>
      <c r="S231" s="42" t="str">
        <f>HYPERLINK("https://sklep.kobi.pl/produkt/nextrack-nt4-mini-10w-36st-4000k-cri90-b")</f>
        <v>https://sklep.kobi.pl/produkt/nextrack-nt4-mini-10w-36st-4000k-cri90-b</v>
      </c>
      <c r="T231" s="42" t="str">
        <f>HYPERLINK("https://eprel.ec.europa.eu/qr/930201         ")</f>
        <v xml:space="preserve">https://eprel.ec.europa.eu/qr/930201         </v>
      </c>
      <c r="U231">
        <v>0.63</v>
      </c>
      <c r="V231"/>
      <c r="W231"/>
      <c r="X231"/>
      <c r="Y231"/>
      <c r="Z231" t="s">
        <v>1778</v>
      </c>
      <c r="AA231"/>
    </row>
    <row r="232" spans="1:27" ht="15" x14ac:dyDescent="0.25">
      <c r="A232" t="s">
        <v>5</v>
      </c>
      <c r="B232" t="s">
        <v>62</v>
      </c>
      <c r="C232"/>
      <c r="D232" t="s">
        <v>59</v>
      </c>
      <c r="E232" t="s">
        <v>71</v>
      </c>
      <c r="F232" t="s">
        <v>738</v>
      </c>
      <c r="G232" t="s">
        <v>739</v>
      </c>
      <c r="H232" t="s">
        <v>59</v>
      </c>
      <c r="I232" s="41">
        <v>290</v>
      </c>
      <c r="J232" s="40">
        <f>I232*(1-IFERROR(VLOOKUP(H232,Rabat!$D$10:$E$41,2,FALSE),0))</f>
        <v>290</v>
      </c>
      <c r="K232">
        <v>0.53</v>
      </c>
      <c r="L232" t="s">
        <v>1773</v>
      </c>
      <c r="M232" t="s">
        <v>2024</v>
      </c>
      <c r="N232" t="s">
        <v>2023</v>
      </c>
      <c r="O232" t="s">
        <v>1776</v>
      </c>
      <c r="P232">
        <v>20</v>
      </c>
      <c r="Q232">
        <v>0</v>
      </c>
      <c r="R232" t="s">
        <v>1955</v>
      </c>
      <c r="S232" s="42" t="str">
        <f>HYPERLINK("https://sklep.kobi.pl/produkt/nextrack-nt4-mini-10w-36st-4000k-cri90-c")</f>
        <v>https://sklep.kobi.pl/produkt/nextrack-nt4-mini-10w-36st-4000k-cri90-c</v>
      </c>
      <c r="T232" s="42" t="str">
        <f>HYPERLINK("https://eprel.ec.europa.eu/qr/930201         ")</f>
        <v xml:space="preserve">https://eprel.ec.europa.eu/qr/930201         </v>
      </c>
      <c r="U232">
        <v>0.63</v>
      </c>
      <c r="V232"/>
      <c r="W232"/>
      <c r="X232"/>
      <c r="Y232"/>
      <c r="Z232" t="s">
        <v>1778</v>
      </c>
      <c r="AA232"/>
    </row>
    <row r="233" spans="1:27" ht="15" x14ac:dyDescent="0.25">
      <c r="A233" t="s">
        <v>5</v>
      </c>
      <c r="B233" t="s">
        <v>62</v>
      </c>
      <c r="C233"/>
      <c r="D233" t="s">
        <v>59</v>
      </c>
      <c r="E233" t="s">
        <v>71</v>
      </c>
      <c r="F233" t="s">
        <v>1019</v>
      </c>
      <c r="G233" t="s">
        <v>1020</v>
      </c>
      <c r="H233" t="s">
        <v>59</v>
      </c>
      <c r="I233" s="41">
        <v>325</v>
      </c>
      <c r="J233" s="40">
        <f>I233*(1-IFERROR(VLOOKUP(H233,Rabat!$D$10:$E$41,2,FALSE),0))</f>
        <v>325</v>
      </c>
      <c r="K233">
        <v>0.69</v>
      </c>
      <c r="L233" t="s">
        <v>1773</v>
      </c>
      <c r="M233" t="s">
        <v>2025</v>
      </c>
      <c r="N233" t="s">
        <v>2023</v>
      </c>
      <c r="O233" t="s">
        <v>1776</v>
      </c>
      <c r="P233">
        <v>20</v>
      </c>
      <c r="Q233">
        <v>0</v>
      </c>
      <c r="R233" t="s">
        <v>1955</v>
      </c>
      <c r="S233" s="42" t="str">
        <f>HYPERLINK("https://sklep.kobi.pl/produkt/nextrack-nt4-mini-20w-60st-4000k-cri90-b")</f>
        <v>https://sklep.kobi.pl/produkt/nextrack-nt4-mini-20w-60st-4000k-cri90-b</v>
      </c>
      <c r="T233" s="42" t="str">
        <f>HYPERLINK("https://eprel.ec.europa.eu/qr/930149         ")</f>
        <v xml:space="preserve">https://eprel.ec.europa.eu/qr/930149         </v>
      </c>
      <c r="U233">
        <v>0.82</v>
      </c>
      <c r="V233"/>
      <c r="W233"/>
      <c r="X233"/>
      <c r="Y233"/>
      <c r="Z233" t="s">
        <v>1778</v>
      </c>
      <c r="AA233"/>
    </row>
    <row r="234" spans="1:27" ht="15" x14ac:dyDescent="0.25">
      <c r="A234" t="s">
        <v>5</v>
      </c>
      <c r="B234" t="s">
        <v>62</v>
      </c>
      <c r="C234"/>
      <c r="D234" t="s">
        <v>59</v>
      </c>
      <c r="E234" t="s">
        <v>149</v>
      </c>
      <c r="F234" t="s">
        <v>528</v>
      </c>
      <c r="G234" t="s">
        <v>529</v>
      </c>
      <c r="H234" t="s">
        <v>59</v>
      </c>
      <c r="I234" s="41">
        <v>389</v>
      </c>
      <c r="J234" s="40">
        <f>I234*(1-IFERROR(VLOOKUP(H234,Rabat!$D$10:$E$41,2,FALSE),0))</f>
        <v>389</v>
      </c>
      <c r="K234">
        <v>1.17</v>
      </c>
      <c r="L234" t="s">
        <v>1779</v>
      </c>
      <c r="M234" t="s">
        <v>2026</v>
      </c>
      <c r="N234" t="s">
        <v>2000</v>
      </c>
      <c r="O234" t="s">
        <v>1776</v>
      </c>
      <c r="P234">
        <v>12</v>
      </c>
      <c r="Q234">
        <v>0</v>
      </c>
      <c r="R234" t="s">
        <v>1955</v>
      </c>
      <c r="S234" s="42" t="str">
        <f>HYPERLINK("https://sklep.kobi.pl/produkt/nextrack-nt5-28w-15st-3000k-cri-90-bialy")</f>
        <v>https://sklep.kobi.pl/produkt/nextrack-nt5-28w-15st-3000k-cri-90-bialy</v>
      </c>
      <c r="T234" s="42" t="str">
        <f>HYPERLINK("https://eprel.ec.europa.eu/qr/930096         ")</f>
        <v xml:space="preserve">https://eprel.ec.europa.eu/qr/930096         </v>
      </c>
      <c r="U234">
        <v>1.38</v>
      </c>
      <c r="V234">
        <v>1.3109999999999999</v>
      </c>
      <c r="W234">
        <v>270</v>
      </c>
      <c r="X234">
        <v>180</v>
      </c>
      <c r="Y234">
        <v>100</v>
      </c>
      <c r="Z234" t="s">
        <v>1778</v>
      </c>
      <c r="AA234"/>
    </row>
    <row r="235" spans="1:27" ht="15" x14ac:dyDescent="0.25">
      <c r="A235" t="s">
        <v>5</v>
      </c>
      <c r="B235" t="s">
        <v>62</v>
      </c>
      <c r="C235"/>
      <c r="D235" t="s">
        <v>59</v>
      </c>
      <c r="E235" t="s">
        <v>149</v>
      </c>
      <c r="F235" t="s">
        <v>530</v>
      </c>
      <c r="G235" t="s">
        <v>531</v>
      </c>
      <c r="H235" t="s">
        <v>59</v>
      </c>
      <c r="I235" s="41">
        <v>389</v>
      </c>
      <c r="J235" s="40">
        <f>I235*(1-IFERROR(VLOOKUP(H235,Rabat!$D$10:$E$41,2,FALSE),0))</f>
        <v>389</v>
      </c>
      <c r="K235">
        <v>1.17</v>
      </c>
      <c r="L235" t="s">
        <v>1779</v>
      </c>
      <c r="M235" t="s">
        <v>2027</v>
      </c>
      <c r="N235" t="s">
        <v>2000</v>
      </c>
      <c r="O235" t="s">
        <v>1776</v>
      </c>
      <c r="P235">
        <v>12</v>
      </c>
      <c r="Q235">
        <v>0</v>
      </c>
      <c r="R235" t="s">
        <v>1955</v>
      </c>
      <c r="S235" s="42" t="str">
        <f>HYPERLINK("https://sklep.kobi.pl/produkt/nextrack-nt5-28w-15st-3000k-cri-90-czarn")</f>
        <v>https://sklep.kobi.pl/produkt/nextrack-nt5-28w-15st-3000k-cri-90-czarn</v>
      </c>
      <c r="T235" s="42" t="str">
        <f>HYPERLINK("https://eprel.ec.europa.eu/qr/930096         ")</f>
        <v xml:space="preserve">https://eprel.ec.europa.eu/qr/930096         </v>
      </c>
      <c r="U235">
        <v>1.38</v>
      </c>
      <c r="V235">
        <v>1.3109999999999999</v>
      </c>
      <c r="W235">
        <v>270</v>
      </c>
      <c r="X235">
        <v>180</v>
      </c>
      <c r="Y235">
        <v>100</v>
      </c>
      <c r="Z235" t="s">
        <v>1778</v>
      </c>
      <c r="AA235"/>
    </row>
    <row r="236" spans="1:27" ht="15" x14ac:dyDescent="0.25">
      <c r="A236" t="s">
        <v>5</v>
      </c>
      <c r="B236" t="s">
        <v>62</v>
      </c>
      <c r="C236"/>
      <c r="D236" t="s">
        <v>59</v>
      </c>
      <c r="E236" t="s">
        <v>149</v>
      </c>
      <c r="F236" t="s">
        <v>532</v>
      </c>
      <c r="G236" t="s">
        <v>533</v>
      </c>
      <c r="H236" t="s">
        <v>59</v>
      </c>
      <c r="I236" s="41">
        <v>389</v>
      </c>
      <c r="J236" s="40">
        <f>I236*(1-IFERROR(VLOOKUP(H236,Rabat!$D$10:$E$41,2,FALSE),0))</f>
        <v>389</v>
      </c>
      <c r="K236">
        <v>1.17</v>
      </c>
      <c r="L236" t="s">
        <v>1779</v>
      </c>
      <c r="M236" t="s">
        <v>2028</v>
      </c>
      <c r="N236" t="s">
        <v>2000</v>
      </c>
      <c r="O236" t="s">
        <v>1776</v>
      </c>
      <c r="P236">
        <v>12</v>
      </c>
      <c r="Q236">
        <v>0</v>
      </c>
      <c r="R236" t="s">
        <v>1955</v>
      </c>
      <c r="S236" s="42" t="str">
        <f>HYPERLINK("https://sklep.kobi.pl/produkt/nextrack-nt5-28w-24st-3000k-cri-90-czarn")</f>
        <v>https://sklep.kobi.pl/produkt/nextrack-nt5-28w-24st-3000k-cri-90-czarn</v>
      </c>
      <c r="T236" s="42" t="str">
        <f>HYPERLINK("https://eprel.ec.europa.eu/qr/930079         ")</f>
        <v xml:space="preserve">https://eprel.ec.europa.eu/qr/930079         </v>
      </c>
      <c r="U236">
        <v>1.38</v>
      </c>
      <c r="V236">
        <v>1.3109999999999999</v>
      </c>
      <c r="W236">
        <v>270</v>
      </c>
      <c r="X236">
        <v>180</v>
      </c>
      <c r="Y236">
        <v>100</v>
      </c>
      <c r="Z236" t="s">
        <v>1778</v>
      </c>
      <c r="AA236"/>
    </row>
    <row r="237" spans="1:27" ht="15" x14ac:dyDescent="0.25">
      <c r="A237" t="s">
        <v>5</v>
      </c>
      <c r="B237" t="s">
        <v>62</v>
      </c>
      <c r="C237"/>
      <c r="D237" t="s">
        <v>59</v>
      </c>
      <c r="E237" t="s">
        <v>149</v>
      </c>
      <c r="F237" t="s">
        <v>534</v>
      </c>
      <c r="G237" t="s">
        <v>535</v>
      </c>
      <c r="H237" t="s">
        <v>59</v>
      </c>
      <c r="I237" s="41">
        <v>389</v>
      </c>
      <c r="J237" s="40">
        <f>I237*(1-IFERROR(VLOOKUP(H237,Rabat!$D$10:$E$41,2,FALSE),0))</f>
        <v>389</v>
      </c>
      <c r="K237">
        <v>1.17</v>
      </c>
      <c r="L237" t="s">
        <v>1779</v>
      </c>
      <c r="M237" t="s">
        <v>2029</v>
      </c>
      <c r="N237" t="s">
        <v>2000</v>
      </c>
      <c r="O237" t="s">
        <v>1776</v>
      </c>
      <c r="P237">
        <v>12</v>
      </c>
      <c r="Q237">
        <v>0</v>
      </c>
      <c r="R237" t="s">
        <v>1955</v>
      </c>
      <c r="S237" s="42" t="str">
        <f>HYPERLINK("https://sklep.kobi.pl/produkt/nextrack-nt5-28w-45st-3000k-cri-90-czarn")</f>
        <v>https://sklep.kobi.pl/produkt/nextrack-nt5-28w-45st-3000k-cri-90-czarn</v>
      </c>
      <c r="T237" s="42" t="str">
        <f>HYPERLINK("https://eprel.ec.europa.eu/qr/930024         ")</f>
        <v xml:space="preserve">https://eprel.ec.europa.eu/qr/930024         </v>
      </c>
      <c r="U237">
        <v>1.38</v>
      </c>
      <c r="V237">
        <v>1.3109999999999999</v>
      </c>
      <c r="W237">
        <v>270</v>
      </c>
      <c r="X237">
        <v>180</v>
      </c>
      <c r="Y237">
        <v>100</v>
      </c>
      <c r="Z237" t="s">
        <v>1778</v>
      </c>
      <c r="AA237"/>
    </row>
    <row r="238" spans="1:27" ht="15" x14ac:dyDescent="0.25">
      <c r="A238" t="s">
        <v>5</v>
      </c>
      <c r="B238" t="s">
        <v>62</v>
      </c>
      <c r="C238"/>
      <c r="D238" t="s">
        <v>69</v>
      </c>
      <c r="E238" t="s">
        <v>71</v>
      </c>
      <c r="F238" t="s">
        <v>1267</v>
      </c>
      <c r="G238" t="s">
        <v>1268</v>
      </c>
      <c r="H238" t="s">
        <v>6</v>
      </c>
      <c r="I238" s="41">
        <v>67.89</v>
      </c>
      <c r="J238" s="40">
        <f>I238*(1-IFERROR(VLOOKUP(H238,Rabat!$D$10:$E$41,2,FALSE),0))</f>
        <v>67.89</v>
      </c>
      <c r="K238">
        <v>0.11</v>
      </c>
      <c r="L238" t="s">
        <v>1789</v>
      </c>
      <c r="M238" t="s">
        <v>2030</v>
      </c>
      <c r="N238" t="s">
        <v>2023</v>
      </c>
      <c r="O238" t="s">
        <v>1776</v>
      </c>
      <c r="P238">
        <v>50</v>
      </c>
      <c r="Q238">
        <v>0</v>
      </c>
      <c r="R238" t="s">
        <v>1777</v>
      </c>
      <c r="S238" s="42" t="str">
        <f>HYPERLINK("https://sklep.kobi.pl/produkt/nextrack-s-line-1xgu10-bialy")</f>
        <v>https://sklep.kobi.pl/produkt/nextrack-s-line-1xgu10-bialy</v>
      </c>
      <c r="T238" t="s">
        <v>71</v>
      </c>
      <c r="U238">
        <v>0.25</v>
      </c>
      <c r="V238">
        <v>0</v>
      </c>
      <c r="W238">
        <v>0</v>
      </c>
      <c r="X238">
        <v>0</v>
      </c>
      <c r="Y238">
        <v>0</v>
      </c>
      <c r="Z238" t="s">
        <v>1778</v>
      </c>
      <c r="AA238"/>
    </row>
    <row r="239" spans="1:27" ht="15" x14ac:dyDescent="0.25">
      <c r="A239" t="s">
        <v>5</v>
      </c>
      <c r="B239" t="s">
        <v>62</v>
      </c>
      <c r="C239"/>
      <c r="D239" t="s">
        <v>69</v>
      </c>
      <c r="E239" t="s">
        <v>71</v>
      </c>
      <c r="F239" t="s">
        <v>1265</v>
      </c>
      <c r="G239" t="s">
        <v>1266</v>
      </c>
      <c r="H239" t="s">
        <v>6</v>
      </c>
      <c r="I239" s="41">
        <v>67.89</v>
      </c>
      <c r="J239" s="40">
        <f>I239*(1-IFERROR(VLOOKUP(H239,Rabat!$D$10:$E$41,2,FALSE),0))</f>
        <v>67.89</v>
      </c>
      <c r="K239">
        <v>0.11</v>
      </c>
      <c r="L239" t="s">
        <v>1789</v>
      </c>
      <c r="M239" t="s">
        <v>2031</v>
      </c>
      <c r="N239" t="s">
        <v>2023</v>
      </c>
      <c r="O239" t="s">
        <v>1776</v>
      </c>
      <c r="P239">
        <v>50</v>
      </c>
      <c r="Q239">
        <v>0</v>
      </c>
      <c r="R239" t="s">
        <v>1777</v>
      </c>
      <c r="S239" s="42" t="str">
        <f>HYPERLINK("https://sklep.kobi.pl/produkt/nextrack-s-line-1xgu10-czarny")</f>
        <v>https://sklep.kobi.pl/produkt/nextrack-s-line-1xgu10-czarny</v>
      </c>
      <c r="T239" t="s">
        <v>71</v>
      </c>
      <c r="U239">
        <v>0.25</v>
      </c>
      <c r="V239">
        <v>0</v>
      </c>
      <c r="W239">
        <v>0</v>
      </c>
      <c r="X239">
        <v>0</v>
      </c>
      <c r="Y239">
        <v>0</v>
      </c>
      <c r="Z239" t="s">
        <v>1778</v>
      </c>
      <c r="AA239"/>
    </row>
    <row r="240" spans="1:27" ht="15" x14ac:dyDescent="0.25">
      <c r="A240" t="s">
        <v>5</v>
      </c>
      <c r="B240" t="s">
        <v>289</v>
      </c>
      <c r="C240" t="s">
        <v>257</v>
      </c>
      <c r="D240" t="s">
        <v>59</v>
      </c>
      <c r="E240" t="s">
        <v>71</v>
      </c>
      <c r="F240" t="s">
        <v>1700</v>
      </c>
      <c r="G240" t="s">
        <v>1701</v>
      </c>
      <c r="H240" t="s">
        <v>59</v>
      </c>
      <c r="I240" s="41">
        <v>719</v>
      </c>
      <c r="J240" s="40">
        <f>I240*(1-IFERROR(VLOOKUP(H240,Rabat!$D$10:$E$41,2,FALSE),0))</f>
        <v>719</v>
      </c>
      <c r="K240">
        <v>1.44</v>
      </c>
      <c r="L240" t="s">
        <v>1978</v>
      </c>
      <c r="M240" t="s">
        <v>2032</v>
      </c>
      <c r="N240" t="s">
        <v>2033</v>
      </c>
      <c r="O240" t="s">
        <v>1776</v>
      </c>
      <c r="P240">
        <v>1</v>
      </c>
      <c r="Q240">
        <v>0</v>
      </c>
      <c r="R240" t="s">
        <v>1955</v>
      </c>
      <c r="S240"/>
      <c r="T240" s="42" t="str">
        <f>HYPERLINK("https://eprel.ec.europa.eu/qr/952898         ")</f>
        <v xml:space="preserve">https://eprel.ec.europa.eu/qr/952898         </v>
      </c>
      <c r="U240">
        <v>1.7</v>
      </c>
      <c r="V240"/>
      <c r="W240"/>
      <c r="X240"/>
      <c r="Y240"/>
      <c r="Z240" t="s">
        <v>1778</v>
      </c>
      <c r="AA240"/>
    </row>
    <row r="241" spans="1:27" ht="15" x14ac:dyDescent="0.25">
      <c r="A241" t="s">
        <v>5</v>
      </c>
      <c r="B241" t="s">
        <v>289</v>
      </c>
      <c r="C241" t="s">
        <v>257</v>
      </c>
      <c r="D241" t="s">
        <v>59</v>
      </c>
      <c r="E241" t="s">
        <v>71</v>
      </c>
      <c r="F241" t="s">
        <v>1660</v>
      </c>
      <c r="G241" t="s">
        <v>1661</v>
      </c>
      <c r="H241" t="s">
        <v>59</v>
      </c>
      <c r="I241" s="41">
        <v>719</v>
      </c>
      <c r="J241" s="40">
        <f>I241*(1-IFERROR(VLOOKUP(H241,Rabat!$D$10:$E$41,2,FALSE),0))</f>
        <v>719</v>
      </c>
      <c r="K241">
        <v>1.44</v>
      </c>
      <c r="L241" t="s">
        <v>2034</v>
      </c>
      <c r="M241" t="s">
        <v>2035</v>
      </c>
      <c r="N241" t="s">
        <v>2033</v>
      </c>
      <c r="O241" t="s">
        <v>1776</v>
      </c>
      <c r="P241">
        <v>1</v>
      </c>
      <c r="Q241">
        <v>0</v>
      </c>
      <c r="R241" t="s">
        <v>1955</v>
      </c>
      <c r="S241"/>
      <c r="T241" s="42" t="str">
        <f>HYPERLINK("https://eprel.ec.europa.eu/qr/1011279        ")</f>
        <v xml:space="preserve">https://eprel.ec.europa.eu/qr/1011279        </v>
      </c>
      <c r="U241">
        <v>1.7</v>
      </c>
      <c r="V241">
        <v>0</v>
      </c>
      <c r="W241"/>
      <c r="X241"/>
      <c r="Y241"/>
      <c r="Z241" t="s">
        <v>1778</v>
      </c>
      <c r="AA241"/>
    </row>
    <row r="242" spans="1:27" ht="15" x14ac:dyDescent="0.25">
      <c r="A242" t="s">
        <v>5</v>
      </c>
      <c r="B242" t="s">
        <v>289</v>
      </c>
      <c r="C242" t="s">
        <v>257</v>
      </c>
      <c r="D242" t="s">
        <v>59</v>
      </c>
      <c r="E242" t="s">
        <v>71</v>
      </c>
      <c r="F242" t="s">
        <v>1656</v>
      </c>
      <c r="G242" t="s">
        <v>1657</v>
      </c>
      <c r="H242" t="s">
        <v>59</v>
      </c>
      <c r="I242" s="41">
        <v>399</v>
      </c>
      <c r="J242" s="40">
        <f>I242*(1-IFERROR(VLOOKUP(H242,Rabat!$D$10:$E$41,2,FALSE),0))</f>
        <v>399</v>
      </c>
      <c r="K242">
        <v>0.76</v>
      </c>
      <c r="L242" t="s">
        <v>1779</v>
      </c>
      <c r="M242" t="s">
        <v>2036</v>
      </c>
      <c r="N242" t="s">
        <v>2033</v>
      </c>
      <c r="O242" t="s">
        <v>1776</v>
      </c>
      <c r="P242">
        <v>1</v>
      </c>
      <c r="Q242">
        <v>0</v>
      </c>
      <c r="R242" t="s">
        <v>1955</v>
      </c>
      <c r="S242"/>
      <c r="T242" s="42" t="str">
        <f>HYPERLINK("https://eprel.ec.europa.eu/qr/952913         ")</f>
        <v xml:space="preserve">https://eprel.ec.europa.eu/qr/952913         </v>
      </c>
      <c r="U242">
        <v>0.9</v>
      </c>
      <c r="V242"/>
      <c r="W242"/>
      <c r="X242"/>
      <c r="Y242"/>
      <c r="Z242" t="s">
        <v>1778</v>
      </c>
      <c r="AA242"/>
    </row>
    <row r="243" spans="1:27" ht="15" x14ac:dyDescent="0.25">
      <c r="A243" t="s">
        <v>5</v>
      </c>
      <c r="B243" t="s">
        <v>289</v>
      </c>
      <c r="C243" t="s">
        <v>257</v>
      </c>
      <c r="D243" t="s">
        <v>59</v>
      </c>
      <c r="E243" t="s">
        <v>71</v>
      </c>
      <c r="F243" t="s">
        <v>1650</v>
      </c>
      <c r="G243" t="s">
        <v>1651</v>
      </c>
      <c r="H243" t="s">
        <v>59</v>
      </c>
      <c r="I243" s="41">
        <v>551</v>
      </c>
      <c r="J243" s="40">
        <f>I243*(1-IFERROR(VLOOKUP(H243,Rabat!$D$10:$E$41,2,FALSE),0))</f>
        <v>551</v>
      </c>
      <c r="K243">
        <v>1.44</v>
      </c>
      <c r="L243" t="s">
        <v>1779</v>
      </c>
      <c r="M243" t="s">
        <v>2037</v>
      </c>
      <c r="N243" t="s">
        <v>2033</v>
      </c>
      <c r="O243" t="s">
        <v>1776</v>
      </c>
      <c r="P243">
        <v>1</v>
      </c>
      <c r="Q243">
        <v>0</v>
      </c>
      <c r="R243" t="s">
        <v>1955</v>
      </c>
      <c r="S243"/>
      <c r="T243" s="42" t="str">
        <f>HYPERLINK("https://eprel.ec.europa.eu/qr/952929         ")</f>
        <v xml:space="preserve">https://eprel.ec.europa.eu/qr/952929         </v>
      </c>
      <c r="U243">
        <v>1.7</v>
      </c>
      <c r="V243"/>
      <c r="W243"/>
      <c r="X243"/>
      <c r="Y243"/>
      <c r="Z243" t="s">
        <v>1778</v>
      </c>
      <c r="AA243"/>
    </row>
    <row r="244" spans="1:27" ht="15" x14ac:dyDescent="0.25">
      <c r="A244" t="s">
        <v>5</v>
      </c>
      <c r="B244" t="s">
        <v>289</v>
      </c>
      <c r="C244" t="s">
        <v>257</v>
      </c>
      <c r="D244" t="s">
        <v>59</v>
      </c>
      <c r="E244" t="s">
        <v>71</v>
      </c>
      <c r="F244" t="s">
        <v>1658</v>
      </c>
      <c r="G244" t="s">
        <v>1659</v>
      </c>
      <c r="H244" t="s">
        <v>59</v>
      </c>
      <c r="I244" s="41">
        <v>399</v>
      </c>
      <c r="J244" s="40">
        <f>I244*(1-IFERROR(VLOOKUP(H244,Rabat!$D$10:$E$41,2,FALSE),0))</f>
        <v>399</v>
      </c>
      <c r="K244">
        <v>0.76</v>
      </c>
      <c r="L244" t="s">
        <v>1978</v>
      </c>
      <c r="M244" t="s">
        <v>2038</v>
      </c>
      <c r="N244" t="s">
        <v>2033</v>
      </c>
      <c r="O244" t="s">
        <v>1776</v>
      </c>
      <c r="P244">
        <v>1</v>
      </c>
      <c r="Q244">
        <v>0</v>
      </c>
      <c r="R244" t="s">
        <v>1955</v>
      </c>
      <c r="S244"/>
      <c r="T244" s="42" t="str">
        <f>HYPERLINK("https://eprel.ec.europa.eu/qr/1011286        ")</f>
        <v xml:space="preserve">https://eprel.ec.europa.eu/qr/1011286        </v>
      </c>
      <c r="U244">
        <v>0.9</v>
      </c>
      <c r="V244">
        <v>0</v>
      </c>
      <c r="W244"/>
      <c r="X244"/>
      <c r="Y244"/>
      <c r="Z244" t="s">
        <v>1778</v>
      </c>
      <c r="AA244"/>
    </row>
    <row r="245" spans="1:27" ht="15" x14ac:dyDescent="0.25">
      <c r="A245" t="s">
        <v>5</v>
      </c>
      <c r="B245" t="s">
        <v>289</v>
      </c>
      <c r="C245" t="s">
        <v>257</v>
      </c>
      <c r="D245" t="s">
        <v>59</v>
      </c>
      <c r="E245" t="s">
        <v>71</v>
      </c>
      <c r="F245" t="s">
        <v>1648</v>
      </c>
      <c r="G245" t="s">
        <v>1649</v>
      </c>
      <c r="H245" t="s">
        <v>59</v>
      </c>
      <c r="I245" s="41">
        <v>551</v>
      </c>
      <c r="J245" s="40">
        <f>I245*(1-IFERROR(VLOOKUP(H245,Rabat!$D$10:$E$41,2,FALSE),0))</f>
        <v>551</v>
      </c>
      <c r="K245">
        <v>1.44</v>
      </c>
      <c r="L245" t="s">
        <v>1978</v>
      </c>
      <c r="M245" t="s">
        <v>2039</v>
      </c>
      <c r="N245" t="s">
        <v>2033</v>
      </c>
      <c r="O245" t="s">
        <v>1776</v>
      </c>
      <c r="P245">
        <v>1</v>
      </c>
      <c r="Q245">
        <v>0</v>
      </c>
      <c r="R245" t="s">
        <v>1955</v>
      </c>
      <c r="S245"/>
      <c r="T245" s="42" t="str">
        <f>HYPERLINK("https://eprel.ec.europa.eu/qr/953051         ")</f>
        <v xml:space="preserve">https://eprel.ec.europa.eu/qr/953051         </v>
      </c>
      <c r="U245">
        <v>1.7</v>
      </c>
      <c r="V245"/>
      <c r="W245"/>
      <c r="X245"/>
      <c r="Y245"/>
      <c r="Z245" t="s">
        <v>1778</v>
      </c>
      <c r="AA245"/>
    </row>
    <row r="246" spans="1:27" ht="15" x14ac:dyDescent="0.25">
      <c r="A246" t="s">
        <v>5</v>
      </c>
      <c r="B246" t="s">
        <v>740</v>
      </c>
      <c r="C246" t="s">
        <v>257</v>
      </c>
      <c r="D246" t="s">
        <v>741</v>
      </c>
      <c r="E246" t="s">
        <v>149</v>
      </c>
      <c r="F246" t="s">
        <v>1271</v>
      </c>
      <c r="G246" t="s">
        <v>1272</v>
      </c>
      <c r="H246" t="s">
        <v>6</v>
      </c>
      <c r="I246" s="41">
        <v>1003</v>
      </c>
      <c r="J246" s="40">
        <f>I246*(1-IFERROR(VLOOKUP(H246,Rabat!$D$10:$E$41,2,FALSE),0))</f>
        <v>1003</v>
      </c>
      <c r="K246">
        <v>3.13</v>
      </c>
      <c r="L246" t="s">
        <v>2034</v>
      </c>
      <c r="M246" t="s">
        <v>2040</v>
      </c>
      <c r="N246" t="s">
        <v>2000</v>
      </c>
      <c r="O246" t="s">
        <v>1776</v>
      </c>
      <c r="P246">
        <v>1</v>
      </c>
      <c r="Q246">
        <v>54</v>
      </c>
      <c r="R246" t="s">
        <v>1955</v>
      </c>
      <c r="S246" s="42" t="str">
        <f>HYPERLINK("https://sklep.kobi.pl/produkt/led-neo-high-bay-150w-110-4000k-ip65")</f>
        <v>https://sklep.kobi.pl/produkt/led-neo-high-bay-150w-110-4000k-ip65</v>
      </c>
      <c r="T246" s="42" t="str">
        <f>HYPERLINK("https://eprel.ec.europa.eu/qr/669376         ")</f>
        <v xml:space="preserve">https://eprel.ec.europa.eu/qr/669376         </v>
      </c>
      <c r="U246">
        <v>3.7</v>
      </c>
      <c r="V246">
        <v>4.7729999999999997</v>
      </c>
      <c r="W246">
        <v>330</v>
      </c>
      <c r="X246">
        <v>310</v>
      </c>
      <c r="Y246">
        <v>150</v>
      </c>
      <c r="Z246" t="s">
        <v>1778</v>
      </c>
      <c r="AA246"/>
    </row>
    <row r="247" spans="1:27" ht="15" x14ac:dyDescent="0.25">
      <c r="A247" t="s">
        <v>5</v>
      </c>
      <c r="B247" t="s">
        <v>740</v>
      </c>
      <c r="C247" t="s">
        <v>257</v>
      </c>
      <c r="D247" t="s">
        <v>741</v>
      </c>
      <c r="E247" t="s">
        <v>149</v>
      </c>
      <c r="F247" t="s">
        <v>742</v>
      </c>
      <c r="G247" t="s">
        <v>743</v>
      </c>
      <c r="H247" t="s">
        <v>6</v>
      </c>
      <c r="I247" s="41">
        <v>1281</v>
      </c>
      <c r="J247" s="40">
        <f>I247*(1-IFERROR(VLOOKUP(H247,Rabat!$D$10:$E$41,2,FALSE),0))</f>
        <v>1281</v>
      </c>
      <c r="K247">
        <v>2.97</v>
      </c>
      <c r="L247" t="s">
        <v>2034</v>
      </c>
      <c r="M247" t="s">
        <v>2041</v>
      </c>
      <c r="N247" t="s">
        <v>2000</v>
      </c>
      <c r="O247" t="s">
        <v>1776</v>
      </c>
      <c r="P247">
        <v>1</v>
      </c>
      <c r="Q247">
        <v>54</v>
      </c>
      <c r="R247" t="s">
        <v>1955</v>
      </c>
      <c r="S247" s="42" t="str">
        <f>HYPERLINK("https://sklep.kobi.pl/produkt/led-neo-high-bay-200w-110-4000k-ip65")</f>
        <v>https://sklep.kobi.pl/produkt/led-neo-high-bay-200w-110-4000k-ip65</v>
      </c>
      <c r="T247" s="42" t="str">
        <f>HYPERLINK("https://eprel.ec.europa.eu/qr/669377         ")</f>
        <v xml:space="preserve">https://eprel.ec.europa.eu/qr/669377         </v>
      </c>
      <c r="U247">
        <v>3.5190000000000001</v>
      </c>
      <c r="V247">
        <v>4.9000000000000004</v>
      </c>
      <c r="W247">
        <v>370</v>
      </c>
      <c r="X247">
        <v>370</v>
      </c>
      <c r="Y247">
        <v>160</v>
      </c>
      <c r="Z247" t="s">
        <v>1778</v>
      </c>
      <c r="AA247"/>
    </row>
    <row r="248" spans="1:27" ht="15" x14ac:dyDescent="0.25">
      <c r="A248" t="s">
        <v>5</v>
      </c>
      <c r="B248" t="s">
        <v>770</v>
      </c>
      <c r="C248" t="s">
        <v>257</v>
      </c>
      <c r="D248" t="s">
        <v>741</v>
      </c>
      <c r="E248" t="s">
        <v>71</v>
      </c>
      <c r="F248" t="s">
        <v>771</v>
      </c>
      <c r="G248" t="s">
        <v>772</v>
      </c>
      <c r="H248" t="s">
        <v>6</v>
      </c>
      <c r="I248" s="41">
        <v>164</v>
      </c>
      <c r="J248" s="40">
        <f>I248*(1-IFERROR(VLOOKUP(H248,Rabat!$D$10:$E$41,2,FALSE),0))</f>
        <v>164</v>
      </c>
      <c r="K248">
        <v>0.28999999999999998</v>
      </c>
      <c r="L248" t="s">
        <v>1779</v>
      </c>
      <c r="M248" t="s">
        <v>2042</v>
      </c>
      <c r="N248" t="s">
        <v>2023</v>
      </c>
      <c r="O248" t="s">
        <v>1776</v>
      </c>
      <c r="P248">
        <v>24</v>
      </c>
      <c r="Q248">
        <v>480</v>
      </c>
      <c r="R248" t="s">
        <v>1955</v>
      </c>
      <c r="S248" s="42" t="str">
        <f>HYPERLINK("https://sklep.kobi.pl/produkt/led-nexeye-ne1-pt-15w-4000k-ip44")</f>
        <v>https://sklep.kobi.pl/produkt/led-nexeye-ne1-pt-15w-4000k-ip44</v>
      </c>
      <c r="T248" s="42" t="str">
        <f>HYPERLINK("https://eprel.ec.europa.eu/qr/669368         ")</f>
        <v xml:space="preserve">https://eprel.ec.europa.eu/qr/669368         </v>
      </c>
      <c r="U248">
        <v>0.33900000000000002</v>
      </c>
      <c r="V248">
        <v>0.30199999999999999</v>
      </c>
      <c r="W248">
        <v>150</v>
      </c>
      <c r="X248">
        <v>150</v>
      </c>
      <c r="Y248">
        <v>60</v>
      </c>
      <c r="Z248" t="s">
        <v>1778</v>
      </c>
      <c r="AA248"/>
    </row>
    <row r="249" spans="1:27" ht="15" x14ac:dyDescent="0.25">
      <c r="A249" t="s">
        <v>5</v>
      </c>
      <c r="B249" t="s">
        <v>770</v>
      </c>
      <c r="C249" t="s">
        <v>257</v>
      </c>
      <c r="D249" t="s">
        <v>741</v>
      </c>
      <c r="E249" t="s">
        <v>71</v>
      </c>
      <c r="F249" t="s">
        <v>993</v>
      </c>
      <c r="G249" t="s">
        <v>994</v>
      </c>
      <c r="H249" t="s">
        <v>6</v>
      </c>
      <c r="I249" s="41">
        <v>475</v>
      </c>
      <c r="J249" s="40">
        <f>I249*(1-IFERROR(VLOOKUP(H249,Rabat!$D$10:$E$41,2,FALSE),0))</f>
        <v>475</v>
      </c>
      <c r="K249">
        <v>0.28000000000000003</v>
      </c>
      <c r="L249" t="s">
        <v>1779</v>
      </c>
      <c r="M249" t="s">
        <v>2043</v>
      </c>
      <c r="N249" t="s">
        <v>2023</v>
      </c>
      <c r="O249" t="s">
        <v>1776</v>
      </c>
      <c r="P249">
        <v>24</v>
      </c>
      <c r="Q249">
        <v>480</v>
      </c>
      <c r="R249" t="s">
        <v>1955</v>
      </c>
      <c r="S249" s="42" t="str">
        <f>HYPERLINK("https://sklep.kobi.pl/produkt/led-nexeye-ne1-pt-15w-4000k-ip44-dali")</f>
        <v>https://sklep.kobi.pl/produkt/led-nexeye-ne1-pt-15w-4000k-ip44-dali</v>
      </c>
      <c r="T249" s="42" t="str">
        <f>HYPERLINK("https://eprel.ec.europa.eu/qr/669368         ")</f>
        <v xml:space="preserve">https://eprel.ec.europa.eu/qr/669368         </v>
      </c>
      <c r="U249">
        <v>0.33</v>
      </c>
      <c r="V249">
        <v>0.30199999999999999</v>
      </c>
      <c r="W249">
        <v>150</v>
      </c>
      <c r="X249">
        <v>150</v>
      </c>
      <c r="Y249">
        <v>90</v>
      </c>
      <c r="Z249" t="s">
        <v>1778</v>
      </c>
      <c r="AA249"/>
    </row>
    <row r="250" spans="1:27" ht="15" x14ac:dyDescent="0.25">
      <c r="A250" t="s">
        <v>5</v>
      </c>
      <c r="B250" t="s">
        <v>770</v>
      </c>
      <c r="C250" t="s">
        <v>257</v>
      </c>
      <c r="D250" t="s">
        <v>741</v>
      </c>
      <c r="E250" t="s">
        <v>71</v>
      </c>
      <c r="F250" t="s">
        <v>773</v>
      </c>
      <c r="G250" t="s">
        <v>774</v>
      </c>
      <c r="H250" t="s">
        <v>6</v>
      </c>
      <c r="I250" s="41">
        <v>222</v>
      </c>
      <c r="J250" s="40">
        <f>I250*(1-IFERROR(VLOOKUP(H250,Rabat!$D$10:$E$41,2,FALSE),0))</f>
        <v>222</v>
      </c>
      <c r="K250">
        <v>0.4</v>
      </c>
      <c r="L250" t="s">
        <v>1779</v>
      </c>
      <c r="M250" t="s">
        <v>2044</v>
      </c>
      <c r="N250" t="s">
        <v>2023</v>
      </c>
      <c r="O250" t="s">
        <v>1776</v>
      </c>
      <c r="P250">
        <v>16</v>
      </c>
      <c r="Q250">
        <v>288</v>
      </c>
      <c r="R250" t="s">
        <v>1955</v>
      </c>
      <c r="S250" s="42" t="str">
        <f>HYPERLINK("https://sklep.kobi.pl/produkt/led-nexeye-ne1-pt-20w-4000k-ip44")</f>
        <v>https://sklep.kobi.pl/produkt/led-nexeye-ne1-pt-20w-4000k-ip44</v>
      </c>
      <c r="T250" s="42" t="str">
        <f>HYPERLINK("https://eprel.ec.europa.eu/qr/669370         ")</f>
        <v xml:space="preserve">https://eprel.ec.europa.eu/qr/669370         </v>
      </c>
      <c r="U250">
        <v>0.47399999999999998</v>
      </c>
      <c r="V250">
        <v>0.66600000000000004</v>
      </c>
      <c r="W250">
        <v>200</v>
      </c>
      <c r="X250">
        <v>200</v>
      </c>
      <c r="Y250">
        <v>60</v>
      </c>
      <c r="Z250" t="s">
        <v>1778</v>
      </c>
      <c r="AA250"/>
    </row>
    <row r="251" spans="1:27" ht="15" x14ac:dyDescent="0.25">
      <c r="A251" t="s">
        <v>5</v>
      </c>
      <c r="B251" t="s">
        <v>770</v>
      </c>
      <c r="C251" t="s">
        <v>257</v>
      </c>
      <c r="D251" t="s">
        <v>741</v>
      </c>
      <c r="E251" t="s">
        <v>71</v>
      </c>
      <c r="F251" t="s">
        <v>995</v>
      </c>
      <c r="G251" t="s">
        <v>996</v>
      </c>
      <c r="H251" t="s">
        <v>6</v>
      </c>
      <c r="I251" s="41">
        <v>509</v>
      </c>
      <c r="J251" s="40">
        <f>I251*(1-IFERROR(VLOOKUP(H251,Rabat!$D$10:$E$41,2,FALSE),0))</f>
        <v>509</v>
      </c>
      <c r="K251">
        <v>0.49</v>
      </c>
      <c r="L251" t="s">
        <v>1779</v>
      </c>
      <c r="M251" t="s">
        <v>2045</v>
      </c>
      <c r="N251" t="s">
        <v>2023</v>
      </c>
      <c r="O251" t="s">
        <v>1776</v>
      </c>
      <c r="P251">
        <v>16</v>
      </c>
      <c r="Q251">
        <v>288</v>
      </c>
      <c r="R251" t="s">
        <v>1955</v>
      </c>
      <c r="S251" s="42" t="str">
        <f>HYPERLINK("https://sklep.kobi.pl/produkt/led-nexeye-ne1-pt-20w-4000k-ip44-dali")</f>
        <v>https://sklep.kobi.pl/produkt/led-nexeye-ne1-pt-20w-4000k-ip44-dali</v>
      </c>
      <c r="T251" s="42" t="str">
        <f>HYPERLINK("https://eprel.ec.europa.eu/qr/669370         ")</f>
        <v xml:space="preserve">https://eprel.ec.europa.eu/qr/669370         </v>
      </c>
      <c r="U251">
        <v>0.57999999999999996</v>
      </c>
      <c r="V251">
        <v>0.66600000000000004</v>
      </c>
      <c r="W251">
        <v>200</v>
      </c>
      <c r="X251">
        <v>200</v>
      </c>
      <c r="Y251">
        <v>90</v>
      </c>
      <c r="Z251" t="s">
        <v>1778</v>
      </c>
      <c r="AA251"/>
    </row>
    <row r="252" spans="1:27" ht="15" x14ac:dyDescent="0.25">
      <c r="A252" t="s">
        <v>5</v>
      </c>
      <c r="B252" t="s">
        <v>770</v>
      </c>
      <c r="C252" t="s">
        <v>257</v>
      </c>
      <c r="D252" t="s">
        <v>741</v>
      </c>
      <c r="E252" t="s">
        <v>71</v>
      </c>
      <c r="F252" t="s">
        <v>775</v>
      </c>
      <c r="G252" t="s">
        <v>776</v>
      </c>
      <c r="H252" t="s">
        <v>6</v>
      </c>
      <c r="I252" s="41">
        <v>292</v>
      </c>
      <c r="J252" s="40">
        <f>I252*(1-IFERROR(VLOOKUP(H252,Rabat!$D$10:$E$41,2,FALSE),0))</f>
        <v>292</v>
      </c>
      <c r="K252">
        <v>0.65</v>
      </c>
      <c r="L252" t="s">
        <v>1779</v>
      </c>
      <c r="M252" t="s">
        <v>2046</v>
      </c>
      <c r="N252" t="s">
        <v>2023</v>
      </c>
      <c r="O252" t="s">
        <v>1776</v>
      </c>
      <c r="P252">
        <v>10</v>
      </c>
      <c r="Q252">
        <v>190</v>
      </c>
      <c r="R252" t="s">
        <v>1955</v>
      </c>
      <c r="S252" s="42" t="str">
        <f>HYPERLINK("https://sklep.kobi.pl/produkt/led-nexeye-ne1-pt-30w-4000k-ip44")</f>
        <v>https://sklep.kobi.pl/produkt/led-nexeye-ne1-pt-30w-4000k-ip44</v>
      </c>
      <c r="T252" s="42" t="str">
        <f>HYPERLINK("https://eprel.ec.europa.eu/qr/669371         ")</f>
        <v xml:space="preserve">https://eprel.ec.europa.eu/qr/669371         </v>
      </c>
      <c r="U252">
        <v>0.77500000000000002</v>
      </c>
      <c r="V252">
        <v>0.92500000000000004</v>
      </c>
      <c r="W252">
        <v>230</v>
      </c>
      <c r="X252">
        <v>230</v>
      </c>
      <c r="Y252">
        <v>60</v>
      </c>
      <c r="Z252" t="s">
        <v>1778</v>
      </c>
      <c r="AA252"/>
    </row>
    <row r="253" spans="1:27" ht="15" x14ac:dyDescent="0.25">
      <c r="A253" t="s">
        <v>5</v>
      </c>
      <c r="B253" t="s">
        <v>770</v>
      </c>
      <c r="C253" t="s">
        <v>257</v>
      </c>
      <c r="D253" t="s">
        <v>741</v>
      </c>
      <c r="E253" t="s">
        <v>71</v>
      </c>
      <c r="F253" t="s">
        <v>997</v>
      </c>
      <c r="G253" t="s">
        <v>998</v>
      </c>
      <c r="H253" t="s">
        <v>6</v>
      </c>
      <c r="I253" s="41">
        <v>544</v>
      </c>
      <c r="J253" s="40">
        <f>I253*(1-IFERROR(VLOOKUP(H253,Rabat!$D$10:$E$41,2,FALSE),0))</f>
        <v>544</v>
      </c>
      <c r="K253">
        <v>0.64</v>
      </c>
      <c r="L253" t="s">
        <v>1779</v>
      </c>
      <c r="M253" t="s">
        <v>2047</v>
      </c>
      <c r="N253" t="s">
        <v>2023</v>
      </c>
      <c r="O253" t="s">
        <v>1776</v>
      </c>
      <c r="P253">
        <v>10</v>
      </c>
      <c r="Q253">
        <v>190</v>
      </c>
      <c r="R253" t="s">
        <v>1955</v>
      </c>
      <c r="S253" s="42" t="str">
        <f>HYPERLINK("https://sklep.kobi.pl/produkt/led-nexeye-ne1-pt-30w-4000k-ip44-dali")</f>
        <v>https://sklep.kobi.pl/produkt/led-nexeye-ne1-pt-30w-4000k-ip44-dali</v>
      </c>
      <c r="T253" s="42" t="str">
        <f>HYPERLINK("https://eprel.ec.europa.eu/qr/669371         ")</f>
        <v xml:space="preserve">https://eprel.ec.europa.eu/qr/669371         </v>
      </c>
      <c r="U253">
        <v>0.76</v>
      </c>
      <c r="V253">
        <v>0.92500000000000004</v>
      </c>
      <c r="W253">
        <v>300</v>
      </c>
      <c r="X253">
        <v>300</v>
      </c>
      <c r="Y253">
        <v>90</v>
      </c>
      <c r="Z253" t="s">
        <v>1778</v>
      </c>
      <c r="AA253"/>
    </row>
    <row r="254" spans="1:27" ht="15" x14ac:dyDescent="0.25">
      <c r="A254" t="s">
        <v>5</v>
      </c>
      <c r="B254" t="s">
        <v>289</v>
      </c>
      <c r="C254" t="s">
        <v>257</v>
      </c>
      <c r="D254" t="s">
        <v>741</v>
      </c>
      <c r="E254" t="s">
        <v>71</v>
      </c>
      <c r="F254" t="s">
        <v>1230</v>
      </c>
      <c r="G254" t="s">
        <v>1231</v>
      </c>
      <c r="H254" t="s">
        <v>6</v>
      </c>
      <c r="I254" s="41">
        <v>185.59</v>
      </c>
      <c r="J254" s="40">
        <f>I254*(1-IFERROR(VLOOKUP(H254,Rabat!$D$10:$E$41,2,FALSE),0))</f>
        <v>185.59</v>
      </c>
      <c r="K254">
        <v>0.66</v>
      </c>
      <c r="L254" t="s">
        <v>1789</v>
      </c>
      <c r="M254" t="s">
        <v>2048</v>
      </c>
      <c r="N254" t="s">
        <v>2033</v>
      </c>
      <c r="O254" t="s">
        <v>1776</v>
      </c>
      <c r="P254">
        <v>8</v>
      </c>
      <c r="Q254">
        <v>0</v>
      </c>
      <c r="R254" t="s">
        <v>1955</v>
      </c>
      <c r="S254" s="42" t="str">
        <f>HYPERLINK("https://sklep.kobi.pl/produkt/led-nexforce1-20w-4000k")</f>
        <v>https://sklep.kobi.pl/produkt/led-nexforce1-20w-4000k</v>
      </c>
      <c r="T254" t="s">
        <v>71</v>
      </c>
      <c r="U254">
        <v>0.78</v>
      </c>
      <c r="V254">
        <v>0</v>
      </c>
      <c r="W254">
        <v>0</v>
      </c>
      <c r="X254">
        <v>0</v>
      </c>
      <c r="Y254">
        <v>0</v>
      </c>
      <c r="Z254" t="s">
        <v>1778</v>
      </c>
      <c r="AA254"/>
    </row>
    <row r="255" spans="1:27" ht="15" x14ac:dyDescent="0.25">
      <c r="A255" t="s">
        <v>5</v>
      </c>
      <c r="B255" t="s">
        <v>289</v>
      </c>
      <c r="C255" t="s">
        <v>257</v>
      </c>
      <c r="D255" t="s">
        <v>741</v>
      </c>
      <c r="E255" t="s">
        <v>71</v>
      </c>
      <c r="F255" t="s">
        <v>900</v>
      </c>
      <c r="G255" t="s">
        <v>901</v>
      </c>
      <c r="H255" t="s">
        <v>6</v>
      </c>
      <c r="I255" s="41">
        <v>292</v>
      </c>
      <c r="J255" s="40">
        <f>I255*(1-IFERROR(VLOOKUP(H255,Rabat!$D$10:$E$41,2,FALSE),0))</f>
        <v>292</v>
      </c>
      <c r="K255">
        <v>1.27</v>
      </c>
      <c r="L255" t="s">
        <v>1789</v>
      </c>
      <c r="M255" t="s">
        <v>2049</v>
      </c>
      <c r="N255" t="s">
        <v>2033</v>
      </c>
      <c r="O255" t="s">
        <v>1776</v>
      </c>
      <c r="P255">
        <v>8</v>
      </c>
      <c r="Q255">
        <v>120</v>
      </c>
      <c r="R255" t="s">
        <v>1955</v>
      </c>
      <c r="S255" s="42" t="str">
        <f>HYPERLINK("https://sklep.kobi.pl/produkt/led-nexforce1-40w-4000k")</f>
        <v>https://sklep.kobi.pl/produkt/led-nexforce1-40w-4000k</v>
      </c>
      <c r="T255" t="s">
        <v>71</v>
      </c>
      <c r="U255">
        <v>1.5069999999999999</v>
      </c>
      <c r="V255">
        <v>1.7</v>
      </c>
      <c r="W255">
        <v>1200</v>
      </c>
      <c r="X255">
        <v>100</v>
      </c>
      <c r="Y255">
        <v>80</v>
      </c>
      <c r="Z255" t="s">
        <v>1778</v>
      </c>
      <c r="AA255"/>
    </row>
    <row r="256" spans="1:27" ht="15" x14ac:dyDescent="0.25">
      <c r="A256" t="s">
        <v>5</v>
      </c>
      <c r="B256" t="s">
        <v>289</v>
      </c>
      <c r="C256" t="s">
        <v>257</v>
      </c>
      <c r="D256" t="s">
        <v>741</v>
      </c>
      <c r="E256" t="s">
        <v>71</v>
      </c>
      <c r="F256" t="s">
        <v>902</v>
      </c>
      <c r="G256" t="s">
        <v>903</v>
      </c>
      <c r="H256" t="s">
        <v>6</v>
      </c>
      <c r="I256" s="41">
        <v>335</v>
      </c>
      <c r="J256" s="40">
        <f>I256*(1-IFERROR(VLOOKUP(H256,Rabat!$D$10:$E$41,2,FALSE),0))</f>
        <v>335</v>
      </c>
      <c r="K256">
        <v>1.55</v>
      </c>
      <c r="L256" t="s">
        <v>1789</v>
      </c>
      <c r="M256" t="s">
        <v>2050</v>
      </c>
      <c r="N256" t="s">
        <v>2033</v>
      </c>
      <c r="O256" t="s">
        <v>1776</v>
      </c>
      <c r="P256">
        <v>8</v>
      </c>
      <c r="Q256">
        <v>88</v>
      </c>
      <c r="R256" t="s">
        <v>1955</v>
      </c>
      <c r="S256" s="42" t="str">
        <f>HYPERLINK("https://sklep.kobi.pl/produkt/led-nexforce1-60w-4000k")</f>
        <v>https://sklep.kobi.pl/produkt/led-nexforce1-60w-4000k</v>
      </c>
      <c r="T256" t="s">
        <v>71</v>
      </c>
      <c r="U256">
        <v>1.8380000000000001</v>
      </c>
      <c r="V256"/>
      <c r="W256">
        <v>1540</v>
      </c>
      <c r="X256">
        <v>80</v>
      </c>
      <c r="Y256">
        <v>100</v>
      </c>
      <c r="Z256" t="s">
        <v>1778</v>
      </c>
      <c r="AA256"/>
    </row>
    <row r="257" spans="1:27" ht="15" x14ac:dyDescent="0.25">
      <c r="A257" t="s">
        <v>5</v>
      </c>
      <c r="B257" t="s">
        <v>712</v>
      </c>
      <c r="C257" t="s">
        <v>257</v>
      </c>
      <c r="D257" t="s">
        <v>741</v>
      </c>
      <c r="E257" t="s">
        <v>149</v>
      </c>
      <c r="F257" t="s">
        <v>806</v>
      </c>
      <c r="G257" t="s">
        <v>807</v>
      </c>
      <c r="H257" t="s">
        <v>6</v>
      </c>
      <c r="I257" s="41">
        <v>645.32000000000005</v>
      </c>
      <c r="J257" s="40">
        <f>I257*(1-IFERROR(VLOOKUP(H257,Rabat!$D$10:$E$41,2,FALSE),0))</f>
        <v>645.32000000000005</v>
      </c>
      <c r="K257">
        <v>3.12</v>
      </c>
      <c r="L257" t="s">
        <v>1779</v>
      </c>
      <c r="M257" t="s">
        <v>2051</v>
      </c>
      <c r="N257" t="s">
        <v>2000</v>
      </c>
      <c r="O257" t="s">
        <v>1776</v>
      </c>
      <c r="P257">
        <v>2</v>
      </c>
      <c r="Q257">
        <v>0</v>
      </c>
      <c r="R257" t="s">
        <v>1955</v>
      </c>
      <c r="S257" s="42" t="str">
        <f>HYPERLINK("https://sklep.kobi.pl/produkt/led-nexpro-fl-150w-4000k")</f>
        <v>https://sklep.kobi.pl/produkt/led-nexpro-fl-150w-4000k</v>
      </c>
      <c r="T257" s="42" t="str">
        <f>HYPERLINK("https://eprel.ec.europa.eu/qr/669383         ")</f>
        <v xml:space="preserve">https://eprel.ec.europa.eu/qr/669383         </v>
      </c>
      <c r="U257">
        <v>3.6949999999999998</v>
      </c>
      <c r="V257">
        <v>3.97</v>
      </c>
      <c r="W257">
        <v>360</v>
      </c>
      <c r="X257">
        <v>320</v>
      </c>
      <c r="Y257">
        <v>70</v>
      </c>
      <c r="Z257" t="s">
        <v>1778</v>
      </c>
      <c r="AA257"/>
    </row>
    <row r="258" spans="1:27" ht="15" x14ac:dyDescent="0.25">
      <c r="A258" t="s">
        <v>5</v>
      </c>
      <c r="B258" t="s">
        <v>712</v>
      </c>
      <c r="C258" t="s">
        <v>257</v>
      </c>
      <c r="D258" t="s">
        <v>741</v>
      </c>
      <c r="E258" t="s">
        <v>149</v>
      </c>
      <c r="F258" t="s">
        <v>798</v>
      </c>
      <c r="G258" t="s">
        <v>799</v>
      </c>
      <c r="H258" t="s">
        <v>6</v>
      </c>
      <c r="I258" s="41">
        <v>670.18</v>
      </c>
      <c r="J258" s="40">
        <f>I258*(1-IFERROR(VLOOKUP(H258,Rabat!$D$10:$E$41,2,FALSE),0))</f>
        <v>670.18</v>
      </c>
      <c r="K258">
        <v>3.12</v>
      </c>
      <c r="L258" t="s">
        <v>1779</v>
      </c>
      <c r="M258" t="s">
        <v>2052</v>
      </c>
      <c r="N258" t="s">
        <v>2000</v>
      </c>
      <c r="O258" t="s">
        <v>1776</v>
      </c>
      <c r="P258">
        <v>2</v>
      </c>
      <c r="Q258">
        <v>0</v>
      </c>
      <c r="R258" t="s">
        <v>1955</v>
      </c>
      <c r="S258" s="42" t="str">
        <f>HYPERLINK("https://sklep.kobi.pl/produkt/led-nexpro-fl-150w-4000k-45-80st")</f>
        <v>https://sklep.kobi.pl/produkt/led-nexpro-fl-150w-4000k-45-80st</v>
      </c>
      <c r="T258" s="42" t="str">
        <f>HYPERLINK("https://eprel.ec.europa.eu/qr/669389         ")</f>
        <v xml:space="preserve">https://eprel.ec.europa.eu/qr/669389         </v>
      </c>
      <c r="U258">
        <v>3.6949999999999998</v>
      </c>
      <c r="V258">
        <v>3.97</v>
      </c>
      <c r="W258">
        <v>360</v>
      </c>
      <c r="X258">
        <v>320</v>
      </c>
      <c r="Y258">
        <v>70</v>
      </c>
      <c r="Z258" t="s">
        <v>1778</v>
      </c>
      <c r="AA258"/>
    </row>
    <row r="259" spans="1:27" ht="15" x14ac:dyDescent="0.25">
      <c r="A259" t="s">
        <v>5</v>
      </c>
      <c r="B259" t="s">
        <v>712</v>
      </c>
      <c r="C259" t="s">
        <v>257</v>
      </c>
      <c r="D259" t="s">
        <v>741</v>
      </c>
      <c r="E259" t="s">
        <v>71</v>
      </c>
      <c r="F259" t="s">
        <v>1298</v>
      </c>
      <c r="G259" t="s">
        <v>1299</v>
      </c>
      <c r="H259" t="s">
        <v>6</v>
      </c>
      <c r="I259" s="41">
        <v>1241</v>
      </c>
      <c r="J259" s="40">
        <f>I259*(1-IFERROR(VLOOKUP(H259,Rabat!$D$10:$E$41,2,FALSE),0))</f>
        <v>1241</v>
      </c>
      <c r="K259">
        <v>3.55</v>
      </c>
      <c r="L259" t="s">
        <v>1978</v>
      </c>
      <c r="M259" t="s">
        <v>2053</v>
      </c>
      <c r="N259" t="s">
        <v>2000</v>
      </c>
      <c r="O259" t="s">
        <v>1776</v>
      </c>
      <c r="P259">
        <v>3</v>
      </c>
      <c r="Q259">
        <v>0</v>
      </c>
      <c r="R259" t="s">
        <v>1955</v>
      </c>
      <c r="S259" s="42" t="str">
        <f>HYPERLINK("https://sklep.kobi.pl/produkt/led-us-300w-5000k-90st-ip66-dim")</f>
        <v>https://sklep.kobi.pl/produkt/led-us-300w-5000k-90st-ip66-dim</v>
      </c>
      <c r="T259" s="42" t="str">
        <f>HYPERLINK("https://eprel.ec.europa.eu/qr/1661892        ")</f>
        <v xml:space="preserve">https://eprel.ec.europa.eu/qr/1661892        </v>
      </c>
      <c r="U259">
        <v>4.2</v>
      </c>
      <c r="V259">
        <v>0</v>
      </c>
      <c r="W259">
        <v>0</v>
      </c>
      <c r="X259">
        <v>0</v>
      </c>
      <c r="Y259">
        <v>0</v>
      </c>
      <c r="Z259" t="s">
        <v>1778</v>
      </c>
      <c r="AA259"/>
    </row>
    <row r="260" spans="1:27" ht="15" x14ac:dyDescent="0.25">
      <c r="A260" t="s">
        <v>5</v>
      </c>
      <c r="B260" t="s">
        <v>712</v>
      </c>
      <c r="C260" t="s">
        <v>257</v>
      </c>
      <c r="D260" t="s">
        <v>741</v>
      </c>
      <c r="E260" t="s">
        <v>71</v>
      </c>
      <c r="F260" t="s">
        <v>1306</v>
      </c>
      <c r="G260" t="s">
        <v>1307</v>
      </c>
      <c r="H260" t="s">
        <v>6</v>
      </c>
      <c r="I260" s="41">
        <v>3938.05</v>
      </c>
      <c r="J260" s="40">
        <f>I260*(1-IFERROR(VLOOKUP(H260,Rabat!$D$10:$E$41,2,FALSE),0))</f>
        <v>3938.05</v>
      </c>
      <c r="K260">
        <v>10.56</v>
      </c>
      <c r="L260" t="s">
        <v>1789</v>
      </c>
      <c r="M260" t="s">
        <v>2054</v>
      </c>
      <c r="N260" t="s">
        <v>2000</v>
      </c>
      <c r="O260" t="s">
        <v>1776</v>
      </c>
      <c r="P260">
        <v>1</v>
      </c>
      <c r="Q260">
        <v>0</v>
      </c>
      <c r="R260" t="s">
        <v>1955</v>
      </c>
      <c r="S260" s="42" t="str">
        <f>HYPERLINK("https://sklep.kobi.pl/produkt/led-us-500w-5000k-60st-ip66-dim")</f>
        <v>https://sklep.kobi.pl/produkt/led-us-500w-5000k-60st-ip66-dim</v>
      </c>
      <c r="T260" t="s">
        <v>71</v>
      </c>
      <c r="U260">
        <v>12.5</v>
      </c>
      <c r="V260">
        <v>0</v>
      </c>
      <c r="W260">
        <v>0</v>
      </c>
      <c r="X260">
        <v>0</v>
      </c>
      <c r="Y260">
        <v>0</v>
      </c>
      <c r="Z260" t="s">
        <v>1778</v>
      </c>
      <c r="AA260"/>
    </row>
    <row r="261" spans="1:27" ht="15" x14ac:dyDescent="0.25">
      <c r="A261" t="s">
        <v>5</v>
      </c>
      <c r="B261" t="s">
        <v>220</v>
      </c>
      <c r="C261" t="s">
        <v>221</v>
      </c>
      <c r="D261" t="s">
        <v>69</v>
      </c>
      <c r="E261" t="s">
        <v>71</v>
      </c>
      <c r="F261" t="s">
        <v>224</v>
      </c>
      <c r="G261" t="s">
        <v>225</v>
      </c>
      <c r="H261" t="s">
        <v>8</v>
      </c>
      <c r="I261" s="41">
        <v>42</v>
      </c>
      <c r="J261" s="40">
        <f>I261*(1-IFERROR(VLOOKUP(H261,Rabat!$D$10:$E$41,2,FALSE),0))</f>
        <v>42</v>
      </c>
      <c r="K261">
        <v>0</v>
      </c>
      <c r="L261" t="s">
        <v>1789</v>
      </c>
      <c r="M261" t="s">
        <v>2055</v>
      </c>
      <c r="N261" t="s">
        <v>2056</v>
      </c>
      <c r="O261" t="s">
        <v>1776</v>
      </c>
      <c r="P261">
        <v>5</v>
      </c>
      <c r="Q261">
        <v>0</v>
      </c>
      <c r="R261" t="s">
        <v>1777</v>
      </c>
      <c r="S261" s="42" t="str">
        <f>HYPERLINK("https://sklep.kobi.pl/produkt/opr-oswietleniowa-wega-75w-pc-e27-biala")</f>
        <v>https://sklep.kobi.pl/produkt/opr-oswietleniowa-wega-75w-pc-e27-biala</v>
      </c>
      <c r="T261" t="s">
        <v>71</v>
      </c>
      <c r="U261">
        <v>0.32</v>
      </c>
      <c r="V261">
        <v>0.32800000000000001</v>
      </c>
      <c r="W261">
        <v>250</v>
      </c>
      <c r="X261">
        <v>250</v>
      </c>
      <c r="Y261">
        <v>100</v>
      </c>
      <c r="Z261" t="s">
        <v>1778</v>
      </c>
      <c r="AA261"/>
    </row>
    <row r="262" spans="1:27" ht="15" x14ac:dyDescent="0.25">
      <c r="A262" t="s">
        <v>5</v>
      </c>
      <c r="B262" t="s">
        <v>289</v>
      </c>
      <c r="C262" t="s">
        <v>257</v>
      </c>
      <c r="D262" t="s">
        <v>59</v>
      </c>
      <c r="E262" t="s">
        <v>71</v>
      </c>
      <c r="F262" t="s">
        <v>1666</v>
      </c>
      <c r="G262" t="s">
        <v>1667</v>
      </c>
      <c r="H262" t="s">
        <v>59</v>
      </c>
      <c r="I262" s="41">
        <v>875</v>
      </c>
      <c r="J262" s="40">
        <f>I262*(1-IFERROR(VLOOKUP(H262,Rabat!$D$10:$E$41,2,FALSE),0))</f>
        <v>875</v>
      </c>
      <c r="K262">
        <v>1.55</v>
      </c>
      <c r="L262" t="s">
        <v>1978</v>
      </c>
      <c r="M262" t="s">
        <v>2057</v>
      </c>
      <c r="N262" t="s">
        <v>2000</v>
      </c>
      <c r="O262" t="s">
        <v>1776</v>
      </c>
      <c r="P262">
        <v>1</v>
      </c>
      <c r="Q262">
        <v>90</v>
      </c>
      <c r="R262" t="s">
        <v>1955</v>
      </c>
      <c r="S262"/>
      <c r="T262" s="42" t="str">
        <f>HYPERLINK("https://eprel.ec.europa.eu/qr/953103         ")</f>
        <v xml:space="preserve">https://eprel.ec.europa.eu/qr/953103         </v>
      </c>
      <c r="U262">
        <v>1.83</v>
      </c>
      <c r="V262">
        <v>0</v>
      </c>
      <c r="W262"/>
      <c r="X262"/>
      <c r="Y262"/>
      <c r="Z262" t="s">
        <v>1778</v>
      </c>
      <c r="AA262"/>
    </row>
    <row r="263" spans="1:27" ht="15" x14ac:dyDescent="0.25">
      <c r="A263" t="s">
        <v>5</v>
      </c>
      <c r="B263" t="s">
        <v>289</v>
      </c>
      <c r="C263" t="s">
        <v>257</v>
      </c>
      <c r="D263" t="s">
        <v>59</v>
      </c>
      <c r="E263" t="s">
        <v>71</v>
      </c>
      <c r="F263" t="s">
        <v>1585</v>
      </c>
      <c r="G263" t="s">
        <v>1586</v>
      </c>
      <c r="H263" t="s">
        <v>59</v>
      </c>
      <c r="I263" s="41">
        <v>689</v>
      </c>
      <c r="J263" s="40">
        <f>I263*(1-IFERROR(VLOOKUP(H263,Rabat!$D$10:$E$41,2,FALSE),0))</f>
        <v>689</v>
      </c>
      <c r="K263">
        <v>1.55</v>
      </c>
      <c r="L263" t="s">
        <v>1789</v>
      </c>
      <c r="M263" t="s">
        <v>2058</v>
      </c>
      <c r="N263" t="s">
        <v>2000</v>
      </c>
      <c r="O263" t="s">
        <v>1776</v>
      </c>
      <c r="P263">
        <v>1</v>
      </c>
      <c r="Q263">
        <v>0</v>
      </c>
      <c r="R263" t="s">
        <v>1955</v>
      </c>
      <c r="S263" s="42" t="str">
        <f>HYPERLINK("https://sklep.kobi.pl/produkt/oprawa-led-hpl1-30w-120-pro-p")</f>
        <v>https://sklep.kobi.pl/produkt/oprawa-led-hpl1-30w-120-pro-p</v>
      </c>
      <c r="T263" t="s">
        <v>71</v>
      </c>
      <c r="U263">
        <v>1.83</v>
      </c>
      <c r="V263"/>
      <c r="W263"/>
      <c r="X263"/>
      <c r="Y263"/>
      <c r="Z263" t="s">
        <v>1778</v>
      </c>
      <c r="AA263"/>
    </row>
    <row r="264" spans="1:27" ht="15" x14ac:dyDescent="0.25">
      <c r="A264" t="s">
        <v>5</v>
      </c>
      <c r="B264" t="s">
        <v>289</v>
      </c>
      <c r="C264" t="s">
        <v>257</v>
      </c>
      <c r="D264" t="s">
        <v>59</v>
      </c>
      <c r="E264" t="s">
        <v>71</v>
      </c>
      <c r="F264" t="s">
        <v>1668</v>
      </c>
      <c r="G264" t="s">
        <v>1669</v>
      </c>
      <c r="H264" t="s">
        <v>59</v>
      </c>
      <c r="I264" s="41">
        <v>875</v>
      </c>
      <c r="J264" s="40">
        <f>I264*(1-IFERROR(VLOOKUP(H264,Rabat!$D$10:$E$41,2,FALSE),0))</f>
        <v>875</v>
      </c>
      <c r="K264">
        <v>1.55</v>
      </c>
      <c r="L264" t="s">
        <v>1779</v>
      </c>
      <c r="M264" t="s">
        <v>2059</v>
      </c>
      <c r="N264" t="s">
        <v>2000</v>
      </c>
      <c r="O264" t="s">
        <v>1776</v>
      </c>
      <c r="P264">
        <v>1</v>
      </c>
      <c r="Q264">
        <v>90</v>
      </c>
      <c r="R264" t="s">
        <v>1955</v>
      </c>
      <c r="S264"/>
      <c r="T264" s="42" t="str">
        <f>HYPERLINK("https://eprel.ec.europa.eu/qr/953122         ")</f>
        <v xml:space="preserve">https://eprel.ec.europa.eu/qr/953122         </v>
      </c>
      <c r="U264">
        <v>1.83</v>
      </c>
      <c r="V264">
        <v>0</v>
      </c>
      <c r="W264"/>
      <c r="X264"/>
      <c r="Y264"/>
      <c r="Z264" t="s">
        <v>1778</v>
      </c>
      <c r="AA264"/>
    </row>
    <row r="265" spans="1:27" ht="15" x14ac:dyDescent="0.25">
      <c r="A265" t="s">
        <v>5</v>
      </c>
      <c r="B265" t="s">
        <v>289</v>
      </c>
      <c r="C265" t="s">
        <v>257</v>
      </c>
      <c r="D265" t="s">
        <v>59</v>
      </c>
      <c r="E265" t="s">
        <v>71</v>
      </c>
      <c r="F265" t="s">
        <v>1589</v>
      </c>
      <c r="G265" t="s">
        <v>1590</v>
      </c>
      <c r="H265" t="s">
        <v>59</v>
      </c>
      <c r="I265" s="41">
        <v>782</v>
      </c>
      <c r="J265" s="40">
        <f>I265*(1-IFERROR(VLOOKUP(H265,Rabat!$D$10:$E$41,2,FALSE),0))</f>
        <v>782</v>
      </c>
      <c r="K265">
        <v>1.55</v>
      </c>
      <c r="L265" t="s">
        <v>1789</v>
      </c>
      <c r="M265" t="s">
        <v>2060</v>
      </c>
      <c r="N265" t="s">
        <v>2000</v>
      </c>
      <c r="O265" t="s">
        <v>1776</v>
      </c>
      <c r="P265">
        <v>1</v>
      </c>
      <c r="Q265">
        <v>0</v>
      </c>
      <c r="R265" t="s">
        <v>1955</v>
      </c>
      <c r="S265" s="42" t="str">
        <f>HYPERLINK("https://sklep.kobi.pl/produkt/oprawa-led-hpl1-30w-90-pro-p")</f>
        <v>https://sklep.kobi.pl/produkt/oprawa-led-hpl1-30w-90-pro-p</v>
      </c>
      <c r="T265" t="s">
        <v>71</v>
      </c>
      <c r="U265">
        <v>1.83</v>
      </c>
      <c r="V265"/>
      <c r="W265"/>
      <c r="X265"/>
      <c r="Y265"/>
      <c r="Z265" t="s">
        <v>1778</v>
      </c>
      <c r="AA265"/>
    </row>
    <row r="266" spans="1:27" ht="15" x14ac:dyDescent="0.25">
      <c r="A266" t="s">
        <v>5</v>
      </c>
      <c r="B266" t="s">
        <v>289</v>
      </c>
      <c r="C266" t="s">
        <v>257</v>
      </c>
      <c r="D266" t="s">
        <v>59</v>
      </c>
      <c r="E266" t="s">
        <v>71</v>
      </c>
      <c r="F266" t="s">
        <v>1670</v>
      </c>
      <c r="G266" t="s">
        <v>1671</v>
      </c>
      <c r="H266" t="s">
        <v>59</v>
      </c>
      <c r="I266" s="41">
        <v>1050</v>
      </c>
      <c r="J266" s="40">
        <f>I266*(1-IFERROR(VLOOKUP(H266,Rabat!$D$10:$E$41,2,FALSE),0))</f>
        <v>1050</v>
      </c>
      <c r="K266">
        <v>2.3199999999999998</v>
      </c>
      <c r="L266" t="s">
        <v>1978</v>
      </c>
      <c r="M266" t="s">
        <v>2061</v>
      </c>
      <c r="N266" t="s">
        <v>2000</v>
      </c>
      <c r="O266" t="s">
        <v>1776</v>
      </c>
      <c r="P266">
        <v>1</v>
      </c>
      <c r="Q266">
        <v>60</v>
      </c>
      <c r="R266" t="s">
        <v>1955</v>
      </c>
      <c r="S266"/>
      <c r="T266" s="42" t="str">
        <f>HYPERLINK("https://eprel.ec.europa.eu/qr/953134         ")</f>
        <v xml:space="preserve">https://eprel.ec.europa.eu/qr/953134         </v>
      </c>
      <c r="U266">
        <v>2.74</v>
      </c>
      <c r="V266">
        <v>0</v>
      </c>
      <c r="W266"/>
      <c r="X266"/>
      <c r="Y266"/>
      <c r="Z266" t="s">
        <v>1778</v>
      </c>
      <c r="AA266"/>
    </row>
    <row r="267" spans="1:27" ht="15" x14ac:dyDescent="0.25">
      <c r="A267" t="s">
        <v>5</v>
      </c>
      <c r="B267" t="s">
        <v>289</v>
      </c>
      <c r="C267" t="s">
        <v>257</v>
      </c>
      <c r="D267" t="s">
        <v>59</v>
      </c>
      <c r="E267" t="s">
        <v>71</v>
      </c>
      <c r="F267" t="s">
        <v>1587</v>
      </c>
      <c r="G267" t="s">
        <v>1588</v>
      </c>
      <c r="H267" t="s">
        <v>59</v>
      </c>
      <c r="I267" s="41">
        <v>908</v>
      </c>
      <c r="J267" s="40">
        <f>I267*(1-IFERROR(VLOOKUP(H267,Rabat!$D$10:$E$41,2,FALSE),0))</f>
        <v>908</v>
      </c>
      <c r="K267">
        <v>2.3199999999999998</v>
      </c>
      <c r="L267" t="s">
        <v>1789</v>
      </c>
      <c r="M267" t="s">
        <v>2062</v>
      </c>
      <c r="N267" t="s">
        <v>2000</v>
      </c>
      <c r="O267" t="s">
        <v>1776</v>
      </c>
      <c r="P267">
        <v>1</v>
      </c>
      <c r="Q267">
        <v>0</v>
      </c>
      <c r="R267" t="s">
        <v>1955</v>
      </c>
      <c r="S267" s="42" t="str">
        <f>HYPERLINK("https://sklep.kobi.pl/produkt/oprawa-led-hpl1-45w-120-pro-p")</f>
        <v>https://sklep.kobi.pl/produkt/oprawa-led-hpl1-45w-120-pro-p</v>
      </c>
      <c r="T267" t="s">
        <v>71</v>
      </c>
      <c r="U267">
        <v>2.74</v>
      </c>
      <c r="V267"/>
      <c r="W267"/>
      <c r="X267"/>
      <c r="Y267"/>
      <c r="Z267" t="s">
        <v>1778</v>
      </c>
      <c r="AA267"/>
    </row>
    <row r="268" spans="1:27" ht="15" x14ac:dyDescent="0.25">
      <c r="A268" t="s">
        <v>5</v>
      </c>
      <c r="B268" t="s">
        <v>289</v>
      </c>
      <c r="C268" t="s">
        <v>257</v>
      </c>
      <c r="D268" t="s">
        <v>59</v>
      </c>
      <c r="E268" t="s">
        <v>71</v>
      </c>
      <c r="F268" t="s">
        <v>1672</v>
      </c>
      <c r="G268" t="s">
        <v>1673</v>
      </c>
      <c r="H268" t="s">
        <v>59</v>
      </c>
      <c r="I268" s="41">
        <v>1050</v>
      </c>
      <c r="J268" s="40">
        <f>I268*(1-IFERROR(VLOOKUP(H268,Rabat!$D$10:$E$41,2,FALSE),0))</f>
        <v>1050</v>
      </c>
      <c r="K268">
        <v>2.3199999999999998</v>
      </c>
      <c r="L268" t="s">
        <v>1779</v>
      </c>
      <c r="M268" t="s">
        <v>2063</v>
      </c>
      <c r="N268" t="s">
        <v>2000</v>
      </c>
      <c r="O268" t="s">
        <v>1776</v>
      </c>
      <c r="P268">
        <v>1</v>
      </c>
      <c r="Q268">
        <v>60</v>
      </c>
      <c r="R268" t="s">
        <v>1955</v>
      </c>
      <c r="S268"/>
      <c r="T268" s="42" t="str">
        <f>HYPERLINK("https://eprel.ec.europa.eu/qr/953186         ")</f>
        <v xml:space="preserve">https://eprel.ec.europa.eu/qr/953186         </v>
      </c>
      <c r="U268">
        <v>2.74</v>
      </c>
      <c r="V268">
        <v>0</v>
      </c>
      <c r="W268"/>
      <c r="X268"/>
      <c r="Y268"/>
      <c r="Z268" t="s">
        <v>1778</v>
      </c>
      <c r="AA268"/>
    </row>
    <row r="269" spans="1:27" ht="15" x14ac:dyDescent="0.25">
      <c r="A269" t="s">
        <v>5</v>
      </c>
      <c r="B269" t="s">
        <v>289</v>
      </c>
      <c r="C269" t="s">
        <v>257</v>
      </c>
      <c r="D269" t="s">
        <v>59</v>
      </c>
      <c r="E269" t="s">
        <v>71</v>
      </c>
      <c r="F269" t="s">
        <v>1583</v>
      </c>
      <c r="G269" t="s">
        <v>1584</v>
      </c>
      <c r="H269" t="s">
        <v>59</v>
      </c>
      <c r="I269" s="41">
        <v>950</v>
      </c>
      <c r="J269" s="40">
        <f>I269*(1-IFERROR(VLOOKUP(H269,Rabat!$D$10:$E$41,2,FALSE),0))</f>
        <v>950</v>
      </c>
      <c r="K269">
        <v>2.3199999999999998</v>
      </c>
      <c r="L269" t="s">
        <v>1789</v>
      </c>
      <c r="M269" t="s">
        <v>2064</v>
      </c>
      <c r="N269" t="s">
        <v>2000</v>
      </c>
      <c r="O269" t="s">
        <v>1776</v>
      </c>
      <c r="P269">
        <v>1</v>
      </c>
      <c r="Q269">
        <v>0</v>
      </c>
      <c r="R269" t="s">
        <v>1955</v>
      </c>
      <c r="S269" s="42" t="str">
        <f>HYPERLINK("https://sklep.kobi.pl/produkt/oprawa-led-hpl1-45w-90-pro-p")</f>
        <v>https://sklep.kobi.pl/produkt/oprawa-led-hpl1-45w-90-pro-p</v>
      </c>
      <c r="T269" t="s">
        <v>71</v>
      </c>
      <c r="U269">
        <v>2.74</v>
      </c>
      <c r="V269"/>
      <c r="W269"/>
      <c r="X269"/>
      <c r="Y269"/>
      <c r="Z269" t="s">
        <v>1778</v>
      </c>
      <c r="AA269"/>
    </row>
    <row r="270" spans="1:27" ht="15" x14ac:dyDescent="0.25">
      <c r="A270" t="s">
        <v>5</v>
      </c>
      <c r="B270" t="s">
        <v>289</v>
      </c>
      <c r="C270" t="s">
        <v>257</v>
      </c>
      <c r="D270" t="s">
        <v>59</v>
      </c>
      <c r="E270" t="s">
        <v>71</v>
      </c>
      <c r="F270" t="s">
        <v>1674</v>
      </c>
      <c r="G270" t="s">
        <v>1675</v>
      </c>
      <c r="H270" t="s">
        <v>59</v>
      </c>
      <c r="I270" s="41">
        <v>1213</v>
      </c>
      <c r="J270" s="40">
        <f>I270*(1-IFERROR(VLOOKUP(H270,Rabat!$D$10:$E$41,2,FALSE),0))</f>
        <v>1213</v>
      </c>
      <c r="K270">
        <v>2.89</v>
      </c>
      <c r="L270" t="s">
        <v>1779</v>
      </c>
      <c r="M270" t="s">
        <v>2065</v>
      </c>
      <c r="N270" t="s">
        <v>2000</v>
      </c>
      <c r="O270" t="s">
        <v>1776</v>
      </c>
      <c r="P270">
        <v>1</v>
      </c>
      <c r="Q270">
        <v>60</v>
      </c>
      <c r="R270" t="s">
        <v>1955</v>
      </c>
      <c r="S270"/>
      <c r="T270" s="42" t="str">
        <f>HYPERLINK("https://eprel.ec.europa.eu/qr/1013298        ")</f>
        <v xml:space="preserve">https://eprel.ec.europa.eu/qr/1013298        </v>
      </c>
      <c r="U270">
        <v>3.42</v>
      </c>
      <c r="V270">
        <v>0</v>
      </c>
      <c r="W270"/>
      <c r="X270"/>
      <c r="Y270"/>
      <c r="Z270" t="s">
        <v>1778</v>
      </c>
      <c r="AA270"/>
    </row>
    <row r="271" spans="1:27" ht="15" x14ac:dyDescent="0.25">
      <c r="A271" t="s">
        <v>5</v>
      </c>
      <c r="B271" t="s">
        <v>289</v>
      </c>
      <c r="C271" t="s">
        <v>257</v>
      </c>
      <c r="D271" t="s">
        <v>59</v>
      </c>
      <c r="E271" t="s">
        <v>71</v>
      </c>
      <c r="F271" t="s">
        <v>1569</v>
      </c>
      <c r="G271" t="s">
        <v>1570</v>
      </c>
      <c r="H271" t="s">
        <v>59</v>
      </c>
      <c r="I271" s="41">
        <v>1084</v>
      </c>
      <c r="J271" s="40">
        <f>I271*(1-IFERROR(VLOOKUP(H271,Rabat!$D$10:$E$41,2,FALSE),0))</f>
        <v>1084</v>
      </c>
      <c r="K271">
        <v>2.89</v>
      </c>
      <c r="L271" t="s">
        <v>1789</v>
      </c>
      <c r="M271" t="s">
        <v>2066</v>
      </c>
      <c r="N271" t="s">
        <v>2000</v>
      </c>
      <c r="O271" t="s">
        <v>1776</v>
      </c>
      <c r="P271">
        <v>1</v>
      </c>
      <c r="Q271">
        <v>0</v>
      </c>
      <c r="R271" t="s">
        <v>1955</v>
      </c>
      <c r="S271" s="42" t="str">
        <f>HYPERLINK("https://sklep.kobi.pl/produkt/oprawa-led-hpl1-60w-120-pro-p")</f>
        <v>https://sklep.kobi.pl/produkt/oprawa-led-hpl1-60w-120-pro-p</v>
      </c>
      <c r="T271" t="s">
        <v>71</v>
      </c>
      <c r="U271">
        <v>3.42</v>
      </c>
      <c r="V271"/>
      <c r="W271"/>
      <c r="X271"/>
      <c r="Y271"/>
      <c r="Z271" t="s">
        <v>1778</v>
      </c>
      <c r="AA271"/>
    </row>
    <row r="272" spans="1:27" ht="15" x14ac:dyDescent="0.25">
      <c r="A272" t="s">
        <v>5</v>
      </c>
      <c r="B272" t="s">
        <v>289</v>
      </c>
      <c r="C272" t="s">
        <v>257</v>
      </c>
      <c r="D272" t="s">
        <v>59</v>
      </c>
      <c r="E272" t="s">
        <v>71</v>
      </c>
      <c r="F272" t="s">
        <v>1676</v>
      </c>
      <c r="G272" t="s">
        <v>1677</v>
      </c>
      <c r="H272" t="s">
        <v>59</v>
      </c>
      <c r="I272" s="41">
        <v>1213</v>
      </c>
      <c r="J272" s="40">
        <f>I272*(1-IFERROR(VLOOKUP(H272,Rabat!$D$10:$E$41,2,FALSE),0))</f>
        <v>1213</v>
      </c>
      <c r="K272">
        <v>2.89</v>
      </c>
      <c r="L272" t="s">
        <v>1779</v>
      </c>
      <c r="M272" t="s">
        <v>2067</v>
      </c>
      <c r="N272" t="s">
        <v>2000</v>
      </c>
      <c r="O272" t="s">
        <v>1776</v>
      </c>
      <c r="P272">
        <v>1</v>
      </c>
      <c r="Q272">
        <v>60</v>
      </c>
      <c r="R272" t="s">
        <v>1955</v>
      </c>
      <c r="S272"/>
      <c r="T272" s="42" t="str">
        <f>HYPERLINK("https://eprel.ec.europa.eu/qr/953241         ")</f>
        <v xml:space="preserve">https://eprel.ec.europa.eu/qr/953241         </v>
      </c>
      <c r="U272">
        <v>3.42</v>
      </c>
      <c r="V272">
        <v>0</v>
      </c>
      <c r="W272"/>
      <c r="X272"/>
      <c r="Y272"/>
      <c r="Z272" t="s">
        <v>1778</v>
      </c>
      <c r="AA272"/>
    </row>
    <row r="273" spans="1:27" ht="15" x14ac:dyDescent="0.25">
      <c r="A273" t="s">
        <v>5</v>
      </c>
      <c r="B273" t="s">
        <v>289</v>
      </c>
      <c r="C273" t="s">
        <v>257</v>
      </c>
      <c r="D273" t="s">
        <v>59</v>
      </c>
      <c r="E273" t="s">
        <v>71</v>
      </c>
      <c r="F273" t="s">
        <v>1571</v>
      </c>
      <c r="G273" t="s">
        <v>1572</v>
      </c>
      <c r="H273" t="s">
        <v>59</v>
      </c>
      <c r="I273" s="41">
        <v>1185</v>
      </c>
      <c r="J273" s="40">
        <f>I273*(1-IFERROR(VLOOKUP(H273,Rabat!$D$10:$E$41,2,FALSE),0))</f>
        <v>1185</v>
      </c>
      <c r="K273">
        <v>2.89</v>
      </c>
      <c r="L273" t="s">
        <v>1789</v>
      </c>
      <c r="M273" t="s">
        <v>2068</v>
      </c>
      <c r="N273" t="s">
        <v>2000</v>
      </c>
      <c r="O273" t="s">
        <v>1776</v>
      </c>
      <c r="P273">
        <v>1</v>
      </c>
      <c r="Q273">
        <v>0</v>
      </c>
      <c r="R273" t="s">
        <v>1955</v>
      </c>
      <c r="S273" s="42" t="str">
        <f>HYPERLINK("https://sklep.kobi.pl/produkt/oprawa-led-hpl1-60w-90-pro-p")</f>
        <v>https://sklep.kobi.pl/produkt/oprawa-led-hpl1-60w-90-pro-p</v>
      </c>
      <c r="T273" t="s">
        <v>71</v>
      </c>
      <c r="U273">
        <v>3.42</v>
      </c>
      <c r="V273"/>
      <c r="W273"/>
      <c r="X273"/>
      <c r="Y273"/>
      <c r="Z273" t="s">
        <v>1778</v>
      </c>
      <c r="AA273"/>
    </row>
    <row r="274" spans="1:27" ht="15" x14ac:dyDescent="0.25">
      <c r="A274" t="s">
        <v>5</v>
      </c>
      <c r="B274" t="s">
        <v>289</v>
      </c>
      <c r="C274" t="s">
        <v>257</v>
      </c>
      <c r="D274" t="s">
        <v>59</v>
      </c>
      <c r="E274" t="s">
        <v>71</v>
      </c>
      <c r="F274" t="s">
        <v>1620</v>
      </c>
      <c r="G274" t="s">
        <v>1621</v>
      </c>
      <c r="H274" t="s">
        <v>59</v>
      </c>
      <c r="I274" s="41">
        <v>1380</v>
      </c>
      <c r="J274" s="40">
        <f>I274*(1-IFERROR(VLOOKUP(H274,Rabat!$D$10:$E$41,2,FALSE),0))</f>
        <v>1380</v>
      </c>
      <c r="K274">
        <v>3.54</v>
      </c>
      <c r="L274" t="s">
        <v>1978</v>
      </c>
      <c r="M274" t="s">
        <v>2069</v>
      </c>
      <c r="N274" t="s">
        <v>2000</v>
      </c>
      <c r="O274" t="s">
        <v>1776</v>
      </c>
      <c r="P274">
        <v>1</v>
      </c>
      <c r="Q274">
        <v>60</v>
      </c>
      <c r="R274" t="s">
        <v>1955</v>
      </c>
      <c r="S274"/>
      <c r="T274" s="42" t="str">
        <f>HYPERLINK("https://eprel.ec.europa.eu/qr/953524         ")</f>
        <v xml:space="preserve">https://eprel.ec.europa.eu/qr/953524         </v>
      </c>
      <c r="U274">
        <v>4.1900000000000004</v>
      </c>
      <c r="V274"/>
      <c r="W274"/>
      <c r="X274"/>
      <c r="Y274"/>
      <c r="Z274" t="s">
        <v>1778</v>
      </c>
      <c r="AA274"/>
    </row>
    <row r="275" spans="1:27" ht="15" x14ac:dyDescent="0.25">
      <c r="A275" t="s">
        <v>5</v>
      </c>
      <c r="B275" t="s">
        <v>289</v>
      </c>
      <c r="C275" t="s">
        <v>257</v>
      </c>
      <c r="D275" t="s">
        <v>59</v>
      </c>
      <c r="E275" t="s">
        <v>71</v>
      </c>
      <c r="F275" t="s">
        <v>1575</v>
      </c>
      <c r="G275" t="s">
        <v>1576</v>
      </c>
      <c r="H275" t="s">
        <v>59</v>
      </c>
      <c r="I275" s="41">
        <v>1311</v>
      </c>
      <c r="J275" s="40">
        <f>I275*(1-IFERROR(VLOOKUP(H275,Rabat!$D$10:$E$41,2,FALSE),0))</f>
        <v>1311</v>
      </c>
      <c r="K275">
        <v>3.54</v>
      </c>
      <c r="L275" t="s">
        <v>1789</v>
      </c>
      <c r="M275" t="s">
        <v>2070</v>
      </c>
      <c r="N275" t="s">
        <v>2000</v>
      </c>
      <c r="O275" t="s">
        <v>1776</v>
      </c>
      <c r="P275">
        <v>1</v>
      </c>
      <c r="Q275">
        <v>0</v>
      </c>
      <c r="R275" t="s">
        <v>1955</v>
      </c>
      <c r="S275" s="42" t="str">
        <f>HYPERLINK("https://sklep.kobi.pl/produkt/oprawa-led-hpl1-75w-120-pro-p")</f>
        <v>https://sklep.kobi.pl/produkt/oprawa-led-hpl1-75w-120-pro-p</v>
      </c>
      <c r="T275" t="s">
        <v>71</v>
      </c>
      <c r="U275">
        <v>4.1900000000000004</v>
      </c>
      <c r="V275"/>
      <c r="W275"/>
      <c r="X275"/>
      <c r="Y275"/>
      <c r="Z275" t="s">
        <v>1778</v>
      </c>
      <c r="AA275"/>
    </row>
    <row r="276" spans="1:27" ht="15" x14ac:dyDescent="0.25">
      <c r="A276" t="s">
        <v>5</v>
      </c>
      <c r="B276" t="s">
        <v>289</v>
      </c>
      <c r="C276" t="s">
        <v>257</v>
      </c>
      <c r="D276" t="s">
        <v>59</v>
      </c>
      <c r="E276" t="s">
        <v>71</v>
      </c>
      <c r="F276" t="s">
        <v>1678</v>
      </c>
      <c r="G276" t="s">
        <v>1679</v>
      </c>
      <c r="H276" t="s">
        <v>59</v>
      </c>
      <c r="I276" s="41">
        <v>1380</v>
      </c>
      <c r="J276" s="40">
        <f>I276*(1-IFERROR(VLOOKUP(H276,Rabat!$D$10:$E$41,2,FALSE),0))</f>
        <v>1380</v>
      </c>
      <c r="K276">
        <v>3.54</v>
      </c>
      <c r="L276" t="s">
        <v>1779</v>
      </c>
      <c r="M276" t="s">
        <v>2071</v>
      </c>
      <c r="N276" t="s">
        <v>2000</v>
      </c>
      <c r="O276" t="s">
        <v>1776</v>
      </c>
      <c r="P276">
        <v>1</v>
      </c>
      <c r="Q276">
        <v>60</v>
      </c>
      <c r="R276" t="s">
        <v>1955</v>
      </c>
      <c r="S276"/>
      <c r="T276" s="42" t="str">
        <f>HYPERLINK("https://eprel.ec.europa.eu/qr/953535         ")</f>
        <v xml:space="preserve">https://eprel.ec.europa.eu/qr/953535         </v>
      </c>
      <c r="U276">
        <v>4.1900000000000004</v>
      </c>
      <c r="V276">
        <v>0</v>
      </c>
      <c r="W276"/>
      <c r="X276"/>
      <c r="Y276"/>
      <c r="Z276" t="s">
        <v>1778</v>
      </c>
      <c r="AA276"/>
    </row>
    <row r="277" spans="1:27" ht="15" x14ac:dyDescent="0.25">
      <c r="A277" t="s">
        <v>5</v>
      </c>
      <c r="B277" t="s">
        <v>289</v>
      </c>
      <c r="C277" t="s">
        <v>257</v>
      </c>
      <c r="D277" t="s">
        <v>59</v>
      </c>
      <c r="E277" t="s">
        <v>71</v>
      </c>
      <c r="F277" t="s">
        <v>1573</v>
      </c>
      <c r="G277" t="s">
        <v>1574</v>
      </c>
      <c r="H277" t="s">
        <v>59</v>
      </c>
      <c r="I277" s="41">
        <v>1347</v>
      </c>
      <c r="J277" s="40">
        <f>I277*(1-IFERROR(VLOOKUP(H277,Rabat!$D$10:$E$41,2,FALSE),0))</f>
        <v>1347</v>
      </c>
      <c r="K277">
        <v>3.54</v>
      </c>
      <c r="L277" t="s">
        <v>1789</v>
      </c>
      <c r="M277" t="s">
        <v>2072</v>
      </c>
      <c r="N277" t="s">
        <v>2000</v>
      </c>
      <c r="O277" t="s">
        <v>1776</v>
      </c>
      <c r="P277">
        <v>1</v>
      </c>
      <c r="Q277">
        <v>0</v>
      </c>
      <c r="R277" t="s">
        <v>1955</v>
      </c>
      <c r="S277" s="42" t="str">
        <f>HYPERLINK("https://sklep.kobi.pl/produkt/oprawa-led-hpl1-75w-90-pro-p")</f>
        <v>https://sklep.kobi.pl/produkt/oprawa-led-hpl1-75w-90-pro-p</v>
      </c>
      <c r="T277" t="s">
        <v>71</v>
      </c>
      <c r="U277">
        <v>4.1900000000000004</v>
      </c>
      <c r="V277"/>
      <c r="W277"/>
      <c r="X277"/>
      <c r="Y277"/>
      <c r="Z277" t="s">
        <v>1778</v>
      </c>
      <c r="AA277"/>
    </row>
    <row r="278" spans="1:27" ht="15" x14ac:dyDescent="0.25">
      <c r="A278" t="s">
        <v>5</v>
      </c>
      <c r="B278" t="s">
        <v>289</v>
      </c>
      <c r="C278" t="s">
        <v>257</v>
      </c>
      <c r="D278" t="s">
        <v>59</v>
      </c>
      <c r="E278" t="s">
        <v>71</v>
      </c>
      <c r="F278" t="s">
        <v>1680</v>
      </c>
      <c r="G278" t="s">
        <v>1681</v>
      </c>
      <c r="H278" t="s">
        <v>59</v>
      </c>
      <c r="I278" s="41">
        <v>1260</v>
      </c>
      <c r="J278" s="40">
        <f>I278*(1-IFERROR(VLOOKUP(H278,Rabat!$D$10:$E$41,2,FALSE),0))</f>
        <v>1260</v>
      </c>
      <c r="K278">
        <v>3.09</v>
      </c>
      <c r="L278" t="s">
        <v>1978</v>
      </c>
      <c r="M278" t="s">
        <v>2073</v>
      </c>
      <c r="N278" t="s">
        <v>2000</v>
      </c>
      <c r="O278" t="s">
        <v>1776</v>
      </c>
      <c r="P278">
        <v>1</v>
      </c>
      <c r="Q278">
        <v>30</v>
      </c>
      <c r="R278" t="s">
        <v>1955</v>
      </c>
      <c r="S278"/>
      <c r="T278" s="42" t="str">
        <f>HYPERLINK("https://eprel.ec.europa.eu/qr/1013612        ")</f>
        <v xml:space="preserve">https://eprel.ec.europa.eu/qr/1013612        </v>
      </c>
      <c r="U278">
        <v>3.66</v>
      </c>
      <c r="V278">
        <v>0</v>
      </c>
      <c r="W278"/>
      <c r="X278"/>
      <c r="Y278"/>
      <c r="Z278" t="s">
        <v>1778</v>
      </c>
      <c r="AA278"/>
    </row>
    <row r="279" spans="1:27" ht="15" x14ac:dyDescent="0.25">
      <c r="A279" t="s">
        <v>5</v>
      </c>
      <c r="B279" t="s">
        <v>289</v>
      </c>
      <c r="C279" t="s">
        <v>257</v>
      </c>
      <c r="D279" t="s">
        <v>59</v>
      </c>
      <c r="E279" t="s">
        <v>71</v>
      </c>
      <c r="F279" t="s">
        <v>1579</v>
      </c>
      <c r="G279" t="s">
        <v>1580</v>
      </c>
      <c r="H279" t="s">
        <v>59</v>
      </c>
      <c r="I279" s="41">
        <v>1167</v>
      </c>
      <c r="J279" s="40">
        <f>I279*(1-IFERROR(VLOOKUP(H279,Rabat!$D$10:$E$41,2,FALSE),0))</f>
        <v>1167</v>
      </c>
      <c r="K279">
        <v>3.09</v>
      </c>
      <c r="L279" t="s">
        <v>1789</v>
      </c>
      <c r="M279" t="s">
        <v>2074</v>
      </c>
      <c r="N279" t="s">
        <v>2000</v>
      </c>
      <c r="O279" t="s">
        <v>1776</v>
      </c>
      <c r="P279">
        <v>1</v>
      </c>
      <c r="Q279">
        <v>0</v>
      </c>
      <c r="R279" t="s">
        <v>1955</v>
      </c>
      <c r="S279" s="42" t="str">
        <f>HYPERLINK("https://sklep.kobi.pl/produkt/oprawa-led-hpl2-60w-120-pro-p")</f>
        <v>https://sklep.kobi.pl/produkt/oprawa-led-hpl2-60w-120-pro-p</v>
      </c>
      <c r="T279" t="s">
        <v>71</v>
      </c>
      <c r="U279">
        <v>3.66</v>
      </c>
      <c r="V279"/>
      <c r="W279"/>
      <c r="X279"/>
      <c r="Y279"/>
      <c r="Z279" t="s">
        <v>1778</v>
      </c>
      <c r="AA279"/>
    </row>
    <row r="280" spans="1:27" ht="15" x14ac:dyDescent="0.25">
      <c r="A280" t="s">
        <v>5</v>
      </c>
      <c r="B280" t="s">
        <v>289</v>
      </c>
      <c r="C280" t="s">
        <v>257</v>
      </c>
      <c r="D280" t="s">
        <v>59</v>
      </c>
      <c r="E280" t="s">
        <v>71</v>
      </c>
      <c r="F280" t="s">
        <v>1682</v>
      </c>
      <c r="G280" t="s">
        <v>1683</v>
      </c>
      <c r="H280" t="s">
        <v>59</v>
      </c>
      <c r="I280" s="41">
        <v>1260</v>
      </c>
      <c r="J280" s="40">
        <f>I280*(1-IFERROR(VLOOKUP(H280,Rabat!$D$10:$E$41,2,FALSE),0))</f>
        <v>1260</v>
      </c>
      <c r="K280">
        <v>3.09</v>
      </c>
      <c r="L280" t="s">
        <v>1779</v>
      </c>
      <c r="M280" t="s">
        <v>2075</v>
      </c>
      <c r="N280" t="s">
        <v>2000</v>
      </c>
      <c r="O280" t="s">
        <v>1776</v>
      </c>
      <c r="P280">
        <v>1</v>
      </c>
      <c r="Q280">
        <v>30</v>
      </c>
      <c r="R280" t="s">
        <v>1955</v>
      </c>
      <c r="S280"/>
      <c r="T280" s="42" t="str">
        <f>HYPERLINK("https://eprel.ec.europa.eu/qr/1013617        ")</f>
        <v xml:space="preserve">https://eprel.ec.europa.eu/qr/1013617        </v>
      </c>
      <c r="U280">
        <v>3.66</v>
      </c>
      <c r="V280">
        <v>0</v>
      </c>
      <c r="W280"/>
      <c r="X280"/>
      <c r="Y280"/>
      <c r="Z280" t="s">
        <v>1778</v>
      </c>
      <c r="AA280"/>
    </row>
    <row r="281" spans="1:27" ht="15" x14ac:dyDescent="0.25">
      <c r="A281" t="s">
        <v>5</v>
      </c>
      <c r="B281" t="s">
        <v>289</v>
      </c>
      <c r="C281" t="s">
        <v>257</v>
      </c>
      <c r="D281" t="s">
        <v>59</v>
      </c>
      <c r="E281" t="s">
        <v>71</v>
      </c>
      <c r="F281" t="s">
        <v>1559</v>
      </c>
      <c r="G281" t="s">
        <v>1560</v>
      </c>
      <c r="H281" t="s">
        <v>59</v>
      </c>
      <c r="I281" s="41">
        <v>1167</v>
      </c>
      <c r="J281" s="40">
        <f>I281*(1-IFERROR(VLOOKUP(H281,Rabat!$D$10:$E$41,2,FALSE),0))</f>
        <v>1167</v>
      </c>
      <c r="K281">
        <v>3.09</v>
      </c>
      <c r="L281" t="s">
        <v>1789</v>
      </c>
      <c r="M281" t="s">
        <v>2076</v>
      </c>
      <c r="N281" t="s">
        <v>2000</v>
      </c>
      <c r="O281" t="s">
        <v>1776</v>
      </c>
      <c r="P281">
        <v>1</v>
      </c>
      <c r="Q281">
        <v>0</v>
      </c>
      <c r="R281" t="s">
        <v>1955</v>
      </c>
      <c r="S281" s="42" t="str">
        <f>HYPERLINK("https://sklep.kobi.pl/produkt/oprawa-led-hpl2-60w-90-pro-p")</f>
        <v>https://sklep.kobi.pl/produkt/oprawa-led-hpl2-60w-90-pro-p</v>
      </c>
      <c r="T281" t="s">
        <v>71</v>
      </c>
      <c r="U281">
        <v>3.66</v>
      </c>
      <c r="V281"/>
      <c r="W281"/>
      <c r="X281"/>
      <c r="Y281"/>
      <c r="Z281" t="s">
        <v>1778</v>
      </c>
      <c r="AA281"/>
    </row>
    <row r="282" spans="1:27" ht="15" x14ac:dyDescent="0.25">
      <c r="A282" t="s">
        <v>5</v>
      </c>
      <c r="B282" t="s">
        <v>289</v>
      </c>
      <c r="C282" t="s">
        <v>257</v>
      </c>
      <c r="D282" t="s">
        <v>59</v>
      </c>
      <c r="E282" t="s">
        <v>71</v>
      </c>
      <c r="F282" t="s">
        <v>1684</v>
      </c>
      <c r="G282" t="s">
        <v>1685</v>
      </c>
      <c r="H282" t="s">
        <v>59</v>
      </c>
      <c r="I282" s="41">
        <v>1870</v>
      </c>
      <c r="J282" s="40">
        <f>I282*(1-IFERROR(VLOOKUP(H282,Rabat!$D$10:$E$41,2,FALSE),0))</f>
        <v>1870</v>
      </c>
      <c r="K282">
        <v>4.62</v>
      </c>
      <c r="L282" t="s">
        <v>1978</v>
      </c>
      <c r="M282" t="s">
        <v>2077</v>
      </c>
      <c r="N282" t="s">
        <v>2000</v>
      </c>
      <c r="O282" t="s">
        <v>1776</v>
      </c>
      <c r="P282">
        <v>1</v>
      </c>
      <c r="Q282">
        <v>40</v>
      </c>
      <c r="R282" t="s">
        <v>1955</v>
      </c>
      <c r="S282"/>
      <c r="T282" s="42" t="str">
        <f>HYPERLINK("https://eprel.ec.europa.eu/qr/953550         ")</f>
        <v xml:space="preserve">https://eprel.ec.europa.eu/qr/953550         </v>
      </c>
      <c r="U282">
        <v>5.47</v>
      </c>
      <c r="V282">
        <v>0</v>
      </c>
      <c r="W282"/>
      <c r="X282"/>
      <c r="Y282"/>
      <c r="Z282" t="s">
        <v>1778</v>
      </c>
      <c r="AA282"/>
    </row>
    <row r="283" spans="1:27" ht="15" x14ac:dyDescent="0.25">
      <c r="A283" t="s">
        <v>5</v>
      </c>
      <c r="B283" t="s">
        <v>289</v>
      </c>
      <c r="C283" t="s">
        <v>257</v>
      </c>
      <c r="D283" t="s">
        <v>59</v>
      </c>
      <c r="E283" t="s">
        <v>71</v>
      </c>
      <c r="F283" t="s">
        <v>1577</v>
      </c>
      <c r="G283" t="s">
        <v>1578</v>
      </c>
      <c r="H283" t="s">
        <v>59</v>
      </c>
      <c r="I283" s="41">
        <v>1611</v>
      </c>
      <c r="J283" s="40">
        <f>I283*(1-IFERROR(VLOOKUP(H283,Rabat!$D$10:$E$41,2,FALSE),0))</f>
        <v>1611</v>
      </c>
      <c r="K283">
        <v>4.62</v>
      </c>
      <c r="L283" t="s">
        <v>1789</v>
      </c>
      <c r="M283" t="s">
        <v>2078</v>
      </c>
      <c r="N283" t="s">
        <v>2000</v>
      </c>
      <c r="O283" t="s">
        <v>1776</v>
      </c>
      <c r="P283">
        <v>1</v>
      </c>
      <c r="Q283">
        <v>0</v>
      </c>
      <c r="R283" t="s">
        <v>1955</v>
      </c>
      <c r="S283" s="42" t="str">
        <f>HYPERLINK("https://sklep.kobi.pl/produkt/oprawa-led-hpl2-90w-120-pro-p")</f>
        <v>https://sklep.kobi.pl/produkt/oprawa-led-hpl2-90w-120-pro-p</v>
      </c>
      <c r="T283" t="s">
        <v>71</v>
      </c>
      <c r="U283">
        <v>5.47</v>
      </c>
      <c r="V283"/>
      <c r="W283"/>
      <c r="X283"/>
      <c r="Y283"/>
      <c r="Z283" t="s">
        <v>1778</v>
      </c>
      <c r="AA283"/>
    </row>
    <row r="284" spans="1:27" ht="15" x14ac:dyDescent="0.25">
      <c r="A284" t="s">
        <v>5</v>
      </c>
      <c r="B284" t="s">
        <v>289</v>
      </c>
      <c r="C284" t="s">
        <v>257</v>
      </c>
      <c r="D284" t="s">
        <v>59</v>
      </c>
      <c r="E284" t="s">
        <v>71</v>
      </c>
      <c r="F284" t="s">
        <v>1686</v>
      </c>
      <c r="G284" t="s">
        <v>1687</v>
      </c>
      <c r="H284" t="s">
        <v>59</v>
      </c>
      <c r="I284" s="41">
        <v>1870</v>
      </c>
      <c r="J284" s="40">
        <f>I284*(1-IFERROR(VLOOKUP(H284,Rabat!$D$10:$E$41,2,FALSE),0))</f>
        <v>1870</v>
      </c>
      <c r="K284">
        <v>4.62</v>
      </c>
      <c r="L284" t="s">
        <v>1779</v>
      </c>
      <c r="M284" t="s">
        <v>2079</v>
      </c>
      <c r="N284" t="s">
        <v>2000</v>
      </c>
      <c r="O284" t="s">
        <v>1776</v>
      </c>
      <c r="P284">
        <v>1</v>
      </c>
      <c r="Q284">
        <v>40</v>
      </c>
      <c r="R284" t="s">
        <v>1955</v>
      </c>
      <c r="S284"/>
      <c r="T284" s="42" t="str">
        <f>HYPERLINK("https://eprel.ec.europa.eu/qr/953566         ")</f>
        <v xml:space="preserve">https://eprel.ec.europa.eu/qr/953566         </v>
      </c>
      <c r="U284">
        <v>5.47</v>
      </c>
      <c r="V284">
        <v>0</v>
      </c>
      <c r="W284"/>
      <c r="X284"/>
      <c r="Y284"/>
      <c r="Z284" t="s">
        <v>1778</v>
      </c>
      <c r="AA284"/>
    </row>
    <row r="285" spans="1:27" ht="15" x14ac:dyDescent="0.25">
      <c r="A285" t="s">
        <v>5</v>
      </c>
      <c r="B285" t="s">
        <v>289</v>
      </c>
      <c r="C285" t="s">
        <v>257</v>
      </c>
      <c r="D285" t="s">
        <v>59</v>
      </c>
      <c r="E285" t="s">
        <v>71</v>
      </c>
      <c r="F285" t="s">
        <v>1565</v>
      </c>
      <c r="G285" t="s">
        <v>1566</v>
      </c>
      <c r="H285" t="s">
        <v>59</v>
      </c>
      <c r="I285" s="41">
        <v>1657</v>
      </c>
      <c r="J285" s="40">
        <f>I285*(1-IFERROR(VLOOKUP(H285,Rabat!$D$10:$E$41,2,FALSE),0))</f>
        <v>1657</v>
      </c>
      <c r="K285">
        <v>4.62</v>
      </c>
      <c r="L285" t="s">
        <v>1789</v>
      </c>
      <c r="M285" t="s">
        <v>2080</v>
      </c>
      <c r="N285" t="s">
        <v>2000</v>
      </c>
      <c r="O285" t="s">
        <v>1776</v>
      </c>
      <c r="P285">
        <v>1</v>
      </c>
      <c r="Q285">
        <v>0</v>
      </c>
      <c r="R285" t="s">
        <v>1955</v>
      </c>
      <c r="S285" s="42" t="str">
        <f>HYPERLINK("https://sklep.kobi.pl/produkt/oprawa-led-hpl2-90w-90-pro-p")</f>
        <v>https://sklep.kobi.pl/produkt/oprawa-led-hpl2-90w-90-pro-p</v>
      </c>
      <c r="T285" t="s">
        <v>71</v>
      </c>
      <c r="U285">
        <v>5.47</v>
      </c>
      <c r="V285"/>
      <c r="W285"/>
      <c r="X285"/>
      <c r="Y285"/>
      <c r="Z285" t="s">
        <v>1778</v>
      </c>
      <c r="AA285"/>
    </row>
    <row r="286" spans="1:27" ht="15" x14ac:dyDescent="0.25">
      <c r="A286" t="s">
        <v>5</v>
      </c>
      <c r="B286" t="s">
        <v>289</v>
      </c>
      <c r="C286" t="s">
        <v>257</v>
      </c>
      <c r="D286" t="s">
        <v>59</v>
      </c>
      <c r="E286" t="s">
        <v>71</v>
      </c>
      <c r="F286" t="s">
        <v>1688</v>
      </c>
      <c r="G286" t="s">
        <v>1689</v>
      </c>
      <c r="H286" t="s">
        <v>59</v>
      </c>
      <c r="I286" s="41">
        <v>2139</v>
      </c>
      <c r="J286" s="40">
        <f>I286*(1-IFERROR(VLOOKUP(H286,Rabat!$D$10:$E$41,2,FALSE),0))</f>
        <v>2139</v>
      </c>
      <c r="K286">
        <v>5.79</v>
      </c>
      <c r="L286" t="s">
        <v>1978</v>
      </c>
      <c r="M286" t="s">
        <v>2081</v>
      </c>
      <c r="N286" t="s">
        <v>2000</v>
      </c>
      <c r="O286" t="s">
        <v>1776</v>
      </c>
      <c r="P286">
        <v>1</v>
      </c>
      <c r="Q286">
        <v>30</v>
      </c>
      <c r="R286" t="s">
        <v>1955</v>
      </c>
      <c r="S286"/>
      <c r="T286" s="42" t="str">
        <f>HYPERLINK("https://eprel.ec.europa.eu/qr/953581         ")</f>
        <v xml:space="preserve">https://eprel.ec.europa.eu/qr/953581         </v>
      </c>
      <c r="U286">
        <v>6.85</v>
      </c>
      <c r="V286">
        <v>0</v>
      </c>
      <c r="W286"/>
      <c r="X286"/>
      <c r="Y286"/>
      <c r="Z286" t="s">
        <v>1778</v>
      </c>
      <c r="AA286"/>
    </row>
    <row r="287" spans="1:27" ht="15" x14ac:dyDescent="0.25">
      <c r="A287" t="s">
        <v>5</v>
      </c>
      <c r="B287" t="s">
        <v>289</v>
      </c>
      <c r="C287" t="s">
        <v>257</v>
      </c>
      <c r="D287" t="s">
        <v>59</v>
      </c>
      <c r="E287" t="s">
        <v>71</v>
      </c>
      <c r="F287" t="s">
        <v>1561</v>
      </c>
      <c r="G287" t="s">
        <v>1562</v>
      </c>
      <c r="H287" t="s">
        <v>59</v>
      </c>
      <c r="I287" s="41">
        <v>1937</v>
      </c>
      <c r="J287" s="40">
        <f>I287*(1-IFERROR(VLOOKUP(H287,Rabat!$D$10:$E$41,2,FALSE),0))</f>
        <v>1937</v>
      </c>
      <c r="K287">
        <v>5.79</v>
      </c>
      <c r="L287" t="s">
        <v>1789</v>
      </c>
      <c r="M287" t="s">
        <v>2082</v>
      </c>
      <c r="N287" t="s">
        <v>2000</v>
      </c>
      <c r="O287" t="s">
        <v>1776</v>
      </c>
      <c r="P287">
        <v>1</v>
      </c>
      <c r="Q287">
        <v>0</v>
      </c>
      <c r="R287" t="s">
        <v>1955</v>
      </c>
      <c r="S287" s="42" t="str">
        <f>HYPERLINK("https://sklep.kobi.pl/produkt/oprawa-led-hpl2-120w-120-pro-p")</f>
        <v>https://sklep.kobi.pl/produkt/oprawa-led-hpl2-120w-120-pro-p</v>
      </c>
      <c r="T287" t="s">
        <v>71</v>
      </c>
      <c r="U287">
        <v>6.85</v>
      </c>
      <c r="V287"/>
      <c r="W287"/>
      <c r="X287"/>
      <c r="Y287"/>
      <c r="Z287" t="s">
        <v>1778</v>
      </c>
      <c r="AA287"/>
    </row>
    <row r="288" spans="1:27" ht="15" x14ac:dyDescent="0.25">
      <c r="A288" t="s">
        <v>5</v>
      </c>
      <c r="B288" t="s">
        <v>289</v>
      </c>
      <c r="C288" t="s">
        <v>257</v>
      </c>
      <c r="D288" t="s">
        <v>59</v>
      </c>
      <c r="E288" t="s">
        <v>71</v>
      </c>
      <c r="F288" t="s">
        <v>1690</v>
      </c>
      <c r="G288" t="s">
        <v>1691</v>
      </c>
      <c r="H288" t="s">
        <v>59</v>
      </c>
      <c r="I288" s="41">
        <v>2139</v>
      </c>
      <c r="J288" s="40">
        <f>I288*(1-IFERROR(VLOOKUP(H288,Rabat!$D$10:$E$41,2,FALSE),0))</f>
        <v>2139</v>
      </c>
      <c r="K288">
        <v>5.79</v>
      </c>
      <c r="L288" t="s">
        <v>1779</v>
      </c>
      <c r="M288" t="s">
        <v>2083</v>
      </c>
      <c r="N288" t="s">
        <v>2000</v>
      </c>
      <c r="O288" t="s">
        <v>1776</v>
      </c>
      <c r="P288">
        <v>1</v>
      </c>
      <c r="Q288">
        <v>30</v>
      </c>
      <c r="R288" t="s">
        <v>1955</v>
      </c>
      <c r="S288"/>
      <c r="T288" s="42" t="str">
        <f>HYPERLINK("https://eprel.ec.europa.eu/qr/953606         ")</f>
        <v xml:space="preserve">https://eprel.ec.europa.eu/qr/953606         </v>
      </c>
      <c r="U288">
        <v>6.85</v>
      </c>
      <c r="V288">
        <v>0</v>
      </c>
      <c r="W288"/>
      <c r="X288"/>
      <c r="Y288"/>
      <c r="Z288" t="s">
        <v>1778</v>
      </c>
      <c r="AA288"/>
    </row>
    <row r="289" spans="1:27" ht="15" x14ac:dyDescent="0.25">
      <c r="A289" t="s">
        <v>5</v>
      </c>
      <c r="B289" t="s">
        <v>289</v>
      </c>
      <c r="C289" t="s">
        <v>257</v>
      </c>
      <c r="D289" t="s">
        <v>59</v>
      </c>
      <c r="E289" t="s">
        <v>71</v>
      </c>
      <c r="F289" t="s">
        <v>1563</v>
      </c>
      <c r="G289" t="s">
        <v>1564</v>
      </c>
      <c r="H289" t="s">
        <v>59</v>
      </c>
      <c r="I289" s="41">
        <v>1995</v>
      </c>
      <c r="J289" s="40">
        <f>I289*(1-IFERROR(VLOOKUP(H289,Rabat!$D$10:$E$41,2,FALSE),0))</f>
        <v>1995</v>
      </c>
      <c r="K289">
        <v>5.79</v>
      </c>
      <c r="L289" t="s">
        <v>1789</v>
      </c>
      <c r="M289" t="s">
        <v>2084</v>
      </c>
      <c r="N289" t="s">
        <v>2000</v>
      </c>
      <c r="O289" t="s">
        <v>1776</v>
      </c>
      <c r="P289">
        <v>1</v>
      </c>
      <c r="Q289">
        <v>0</v>
      </c>
      <c r="R289" t="s">
        <v>1955</v>
      </c>
      <c r="S289" s="42" t="str">
        <f>HYPERLINK("https://sklep.kobi.pl/produkt/oprawa-led-hpl2-120w-90-pro-p")</f>
        <v>https://sklep.kobi.pl/produkt/oprawa-led-hpl2-120w-90-pro-p</v>
      </c>
      <c r="T289" t="s">
        <v>71</v>
      </c>
      <c r="U289">
        <v>6.85</v>
      </c>
      <c r="V289"/>
      <c r="W289"/>
      <c r="X289"/>
      <c r="Y289"/>
      <c r="Z289" t="s">
        <v>1778</v>
      </c>
      <c r="AA289"/>
    </row>
    <row r="290" spans="1:27" ht="15" x14ac:dyDescent="0.25">
      <c r="A290" t="s">
        <v>5</v>
      </c>
      <c r="B290" t="s">
        <v>289</v>
      </c>
      <c r="C290" t="s">
        <v>257</v>
      </c>
      <c r="D290" t="s">
        <v>59</v>
      </c>
      <c r="E290" t="s">
        <v>71</v>
      </c>
      <c r="F290" t="s">
        <v>1692</v>
      </c>
      <c r="G290" t="s">
        <v>1693</v>
      </c>
      <c r="H290" t="s">
        <v>59</v>
      </c>
      <c r="I290" s="41">
        <v>2507</v>
      </c>
      <c r="J290" s="40">
        <f>I290*(1-IFERROR(VLOOKUP(H290,Rabat!$D$10:$E$41,2,FALSE),0))</f>
        <v>2507</v>
      </c>
      <c r="K290">
        <v>7.07</v>
      </c>
      <c r="L290" t="s">
        <v>1978</v>
      </c>
      <c r="M290" t="s">
        <v>2085</v>
      </c>
      <c r="N290" t="s">
        <v>2000</v>
      </c>
      <c r="O290" t="s">
        <v>1776</v>
      </c>
      <c r="P290">
        <v>1</v>
      </c>
      <c r="Q290">
        <v>30</v>
      </c>
      <c r="R290" t="s">
        <v>1955</v>
      </c>
      <c r="S290"/>
      <c r="T290" s="42" t="str">
        <f>HYPERLINK("https://eprel.ec.europa.eu/qr/953653         ")</f>
        <v xml:space="preserve">https://eprel.ec.europa.eu/qr/953653         </v>
      </c>
      <c r="U290">
        <v>8.3699999999999992</v>
      </c>
      <c r="V290">
        <v>0</v>
      </c>
      <c r="W290"/>
      <c r="X290"/>
      <c r="Y290"/>
      <c r="Z290" t="s">
        <v>1778</v>
      </c>
      <c r="AA290"/>
    </row>
    <row r="291" spans="1:27" ht="15" x14ac:dyDescent="0.25">
      <c r="A291" t="s">
        <v>5</v>
      </c>
      <c r="B291" t="s">
        <v>289</v>
      </c>
      <c r="C291" t="s">
        <v>257</v>
      </c>
      <c r="D291" t="s">
        <v>59</v>
      </c>
      <c r="E291" t="s">
        <v>71</v>
      </c>
      <c r="F291" t="s">
        <v>1567</v>
      </c>
      <c r="G291" t="s">
        <v>1568</v>
      </c>
      <c r="H291" t="s">
        <v>59</v>
      </c>
      <c r="I291" s="41">
        <v>2268</v>
      </c>
      <c r="J291" s="40">
        <f>I291*(1-IFERROR(VLOOKUP(H291,Rabat!$D$10:$E$41,2,FALSE),0))</f>
        <v>2268</v>
      </c>
      <c r="K291">
        <v>7.07</v>
      </c>
      <c r="L291" t="s">
        <v>1789</v>
      </c>
      <c r="M291" t="s">
        <v>2086</v>
      </c>
      <c r="N291" t="s">
        <v>2000</v>
      </c>
      <c r="O291" t="s">
        <v>1776</v>
      </c>
      <c r="P291">
        <v>1</v>
      </c>
      <c r="Q291">
        <v>0</v>
      </c>
      <c r="R291" t="s">
        <v>1955</v>
      </c>
      <c r="S291" s="42" t="str">
        <f>HYPERLINK("https://sklep.kobi.pl/produkt/oprawa-led-hpl2-150w-120-pro-p")</f>
        <v>https://sklep.kobi.pl/produkt/oprawa-led-hpl2-150w-120-pro-p</v>
      </c>
      <c r="T291" t="s">
        <v>71</v>
      </c>
      <c r="U291">
        <v>8.3699999999999992</v>
      </c>
      <c r="V291"/>
      <c r="W291"/>
      <c r="X291"/>
      <c r="Y291"/>
      <c r="Z291" t="s">
        <v>1778</v>
      </c>
      <c r="AA291"/>
    </row>
    <row r="292" spans="1:27" ht="15" x14ac:dyDescent="0.25">
      <c r="A292" t="s">
        <v>5</v>
      </c>
      <c r="B292" t="s">
        <v>289</v>
      </c>
      <c r="C292" t="s">
        <v>257</v>
      </c>
      <c r="D292" t="s">
        <v>59</v>
      </c>
      <c r="E292" t="s">
        <v>71</v>
      </c>
      <c r="F292" t="s">
        <v>1694</v>
      </c>
      <c r="G292" t="s">
        <v>1695</v>
      </c>
      <c r="H292" t="s">
        <v>59</v>
      </c>
      <c r="I292" s="41">
        <v>2507</v>
      </c>
      <c r="J292" s="40">
        <f>I292*(1-IFERROR(VLOOKUP(H292,Rabat!$D$10:$E$41,2,FALSE),0))</f>
        <v>2507</v>
      </c>
      <c r="K292">
        <v>7.07</v>
      </c>
      <c r="L292" t="s">
        <v>1779</v>
      </c>
      <c r="M292" t="s">
        <v>2087</v>
      </c>
      <c r="N292" t="s">
        <v>2000</v>
      </c>
      <c r="O292" t="s">
        <v>1776</v>
      </c>
      <c r="P292">
        <v>1</v>
      </c>
      <c r="Q292">
        <v>30</v>
      </c>
      <c r="R292" t="s">
        <v>1955</v>
      </c>
      <c r="S292"/>
      <c r="T292" s="42" t="str">
        <f>HYPERLINK("https://eprel.ec.europa.eu/qr/953668         ")</f>
        <v xml:space="preserve">https://eprel.ec.europa.eu/qr/953668         </v>
      </c>
      <c r="U292">
        <v>8.3699999999999992</v>
      </c>
      <c r="V292">
        <v>0</v>
      </c>
      <c r="W292"/>
      <c r="X292"/>
      <c r="Y292"/>
      <c r="Z292" t="s">
        <v>1778</v>
      </c>
      <c r="AA292"/>
    </row>
    <row r="293" spans="1:27" ht="15" x14ac:dyDescent="0.25">
      <c r="A293" t="s">
        <v>5</v>
      </c>
      <c r="B293" t="s">
        <v>289</v>
      </c>
      <c r="C293" t="s">
        <v>257</v>
      </c>
      <c r="D293" t="s">
        <v>59</v>
      </c>
      <c r="E293" t="s">
        <v>71</v>
      </c>
      <c r="F293" t="s">
        <v>1581</v>
      </c>
      <c r="G293" t="s">
        <v>1582</v>
      </c>
      <c r="H293" t="s">
        <v>59</v>
      </c>
      <c r="I293" s="41">
        <v>2325</v>
      </c>
      <c r="J293" s="40">
        <f>I293*(1-IFERROR(VLOOKUP(H293,Rabat!$D$10:$E$41,2,FALSE),0))</f>
        <v>2325</v>
      </c>
      <c r="K293">
        <v>7.07</v>
      </c>
      <c r="L293" t="s">
        <v>1789</v>
      </c>
      <c r="M293" t="s">
        <v>2088</v>
      </c>
      <c r="N293" t="s">
        <v>2000</v>
      </c>
      <c r="O293" t="s">
        <v>1776</v>
      </c>
      <c r="P293">
        <v>1</v>
      </c>
      <c r="Q293">
        <v>0</v>
      </c>
      <c r="R293" t="s">
        <v>1955</v>
      </c>
      <c r="S293" s="42" t="str">
        <f>HYPERLINK("https://sklep.kobi.pl/produkt/oprawa-led-hpl2-150w-90-pro-p")</f>
        <v>https://sklep.kobi.pl/produkt/oprawa-led-hpl2-150w-90-pro-p</v>
      </c>
      <c r="T293" t="s">
        <v>71</v>
      </c>
      <c r="U293">
        <v>8.3699999999999992</v>
      </c>
      <c r="V293"/>
      <c r="W293"/>
      <c r="X293"/>
      <c r="Y293"/>
      <c r="Z293" t="s">
        <v>1778</v>
      </c>
      <c r="AA293"/>
    </row>
    <row r="294" spans="1:27" ht="15" x14ac:dyDescent="0.25">
      <c r="A294" t="s">
        <v>5</v>
      </c>
      <c r="B294" t="s">
        <v>220</v>
      </c>
      <c r="C294" t="s">
        <v>221</v>
      </c>
      <c r="D294" t="s">
        <v>69</v>
      </c>
      <c r="E294" t="s">
        <v>71</v>
      </c>
      <c r="F294" t="s">
        <v>222</v>
      </c>
      <c r="G294" t="s">
        <v>223</v>
      </c>
      <c r="H294" t="s">
        <v>8</v>
      </c>
      <c r="I294" s="41">
        <v>64</v>
      </c>
      <c r="J294" s="40">
        <f>I294*(1-IFERROR(VLOOKUP(H294,Rabat!$D$10:$E$41,2,FALSE),0))</f>
        <v>64</v>
      </c>
      <c r="K294">
        <v>0</v>
      </c>
      <c r="L294" t="s">
        <v>1789</v>
      </c>
      <c r="M294" t="s">
        <v>2089</v>
      </c>
      <c r="N294" t="s">
        <v>2090</v>
      </c>
      <c r="O294" t="s">
        <v>1776</v>
      </c>
      <c r="P294">
        <v>5</v>
      </c>
      <c r="Q294">
        <v>180</v>
      </c>
      <c r="R294" t="s">
        <v>1777</v>
      </c>
      <c r="S294" s="42" t="str">
        <f>HYPERLINK("https://sklep.kobi.pl/produkt/oprawa-oswietleniowa-ruto-100w-e27-biala")</f>
        <v>https://sklep.kobi.pl/produkt/oprawa-oswietleniowa-ruto-100w-e27-biala</v>
      </c>
      <c r="T294" t="s">
        <v>71</v>
      </c>
      <c r="U294">
        <v>1.26</v>
      </c>
      <c r="V294">
        <v>1.3</v>
      </c>
      <c r="W294">
        <v>100</v>
      </c>
      <c r="X294">
        <v>240</v>
      </c>
      <c r="Y294">
        <v>240</v>
      </c>
      <c r="Z294" t="s">
        <v>1778</v>
      </c>
      <c r="AA294"/>
    </row>
    <row r="295" spans="1:27" ht="15" x14ac:dyDescent="0.25">
      <c r="A295" t="s">
        <v>5</v>
      </c>
      <c r="B295" t="s">
        <v>220</v>
      </c>
      <c r="C295" t="s">
        <v>221</v>
      </c>
      <c r="D295" t="s">
        <v>69</v>
      </c>
      <c r="E295" t="s">
        <v>71</v>
      </c>
      <c r="F295" t="s">
        <v>392</v>
      </c>
      <c r="G295" t="s">
        <v>393</v>
      </c>
      <c r="H295" t="s">
        <v>8</v>
      </c>
      <c r="I295" s="41">
        <v>88</v>
      </c>
      <c r="J295" s="40">
        <f>I295*(1-IFERROR(VLOOKUP(H295,Rabat!$D$10:$E$41,2,FALSE),0))</f>
        <v>88</v>
      </c>
      <c r="K295">
        <v>0.28999999999999998</v>
      </c>
      <c r="L295" t="s">
        <v>1789</v>
      </c>
      <c r="M295" t="s">
        <v>2091</v>
      </c>
      <c r="N295" t="s">
        <v>2092</v>
      </c>
      <c r="O295" t="s">
        <v>1776</v>
      </c>
      <c r="P295">
        <v>10</v>
      </c>
      <c r="Q295">
        <v>80</v>
      </c>
      <c r="R295" t="s">
        <v>1777</v>
      </c>
      <c r="S295" s="42" t="str">
        <f>HYPERLINK("https://sklep.kobi.pl/produkt/opr-oswietleniowa-romero-2xe27-okragla")</f>
        <v>https://sklep.kobi.pl/produkt/opr-oswietleniowa-romero-2xe27-okragla</v>
      </c>
      <c r="T295" t="s">
        <v>71</v>
      </c>
      <c r="U295">
        <v>0.64800000000000002</v>
      </c>
      <c r="V295">
        <v>0.82799999999999996</v>
      </c>
      <c r="W295">
        <v>112</v>
      </c>
      <c r="X295">
        <v>345</v>
      </c>
      <c r="Y295">
        <v>345</v>
      </c>
      <c r="Z295" t="s">
        <v>1778</v>
      </c>
      <c r="AA295"/>
    </row>
    <row r="296" spans="1:27" ht="15" x14ac:dyDescent="0.25">
      <c r="A296" t="s">
        <v>5</v>
      </c>
      <c r="B296" t="s">
        <v>220</v>
      </c>
      <c r="C296" t="s">
        <v>221</v>
      </c>
      <c r="D296" t="s">
        <v>69</v>
      </c>
      <c r="E296" t="s">
        <v>71</v>
      </c>
      <c r="F296" t="s">
        <v>890</v>
      </c>
      <c r="G296" t="s">
        <v>891</v>
      </c>
      <c r="H296" t="s">
        <v>8</v>
      </c>
      <c r="I296" s="41">
        <v>97</v>
      </c>
      <c r="J296" s="40">
        <f>I296*(1-IFERROR(VLOOKUP(H296,Rabat!$D$10:$E$41,2,FALSE),0))</f>
        <v>97</v>
      </c>
      <c r="K296">
        <v>0.28999999999999998</v>
      </c>
      <c r="L296" t="s">
        <v>1789</v>
      </c>
      <c r="M296" t="s">
        <v>2093</v>
      </c>
      <c r="N296" t="s">
        <v>2092</v>
      </c>
      <c r="O296" t="s">
        <v>1776</v>
      </c>
      <c r="P296">
        <v>10</v>
      </c>
      <c r="Q296">
        <v>80</v>
      </c>
      <c r="R296" t="s">
        <v>1777</v>
      </c>
      <c r="S296" s="42" t="str">
        <f>HYPERLINK("https://sklep.kobi.pl/produkt/opr-oswietleniowa-romero-2xe27-okragla-c")</f>
        <v>https://sklep.kobi.pl/produkt/opr-oswietleniowa-romero-2xe27-okragla-c</v>
      </c>
      <c r="T296" t="s">
        <v>71</v>
      </c>
      <c r="U296">
        <v>0.64800000000000002</v>
      </c>
      <c r="V296">
        <v>0.82799999999999996</v>
      </c>
      <c r="W296">
        <v>345</v>
      </c>
      <c r="X296">
        <v>340</v>
      </c>
      <c r="Y296">
        <v>105</v>
      </c>
      <c r="Z296" t="s">
        <v>1778</v>
      </c>
      <c r="AA296"/>
    </row>
    <row r="297" spans="1:27" ht="15" x14ac:dyDescent="0.25">
      <c r="A297" t="s">
        <v>5</v>
      </c>
      <c r="B297" t="s">
        <v>220</v>
      </c>
      <c r="C297" t="s">
        <v>221</v>
      </c>
      <c r="D297" t="s">
        <v>69</v>
      </c>
      <c r="E297" t="s">
        <v>149</v>
      </c>
      <c r="F297" t="s">
        <v>390</v>
      </c>
      <c r="G297" t="s">
        <v>391</v>
      </c>
      <c r="H297" t="s">
        <v>8</v>
      </c>
      <c r="I297" s="41">
        <v>142.52000000000001</v>
      </c>
      <c r="J297" s="40">
        <f>I297*(1-IFERROR(VLOOKUP(H297,Rabat!$D$10:$E$41,2,FALSE),0))</f>
        <v>142.52000000000001</v>
      </c>
      <c r="K297">
        <v>0.56999999999999995</v>
      </c>
      <c r="L297" t="s">
        <v>1789</v>
      </c>
      <c r="M297" t="s">
        <v>2094</v>
      </c>
      <c r="N297" t="s">
        <v>2092</v>
      </c>
      <c r="O297" t="s">
        <v>1776</v>
      </c>
      <c r="P297">
        <v>5</v>
      </c>
      <c r="Q297">
        <v>80</v>
      </c>
      <c r="R297" t="s">
        <v>1777</v>
      </c>
      <c r="S297" s="42" t="str">
        <f>HYPERLINK("https://sklep.kobi.pl/produkt/opr-oswietleniowa-samira-b-2xe27-kwadrat")</f>
        <v>https://sklep.kobi.pl/produkt/opr-oswietleniowa-samira-b-2xe27-kwadrat</v>
      </c>
      <c r="T297" t="s">
        <v>71</v>
      </c>
      <c r="U297">
        <v>1.244</v>
      </c>
      <c r="V297">
        <v>1.6759999999999999</v>
      </c>
      <c r="W297">
        <v>130</v>
      </c>
      <c r="X297">
        <v>420</v>
      </c>
      <c r="Y297">
        <v>420</v>
      </c>
      <c r="Z297" t="s">
        <v>1778</v>
      </c>
      <c r="AA297"/>
    </row>
    <row r="298" spans="1:27" ht="15" x14ac:dyDescent="0.25">
      <c r="A298" t="s">
        <v>5</v>
      </c>
      <c r="B298" t="s">
        <v>220</v>
      </c>
      <c r="C298" t="s">
        <v>221</v>
      </c>
      <c r="D298" t="s">
        <v>69</v>
      </c>
      <c r="E298" t="s">
        <v>149</v>
      </c>
      <c r="F298" t="s">
        <v>892</v>
      </c>
      <c r="G298" t="s">
        <v>893</v>
      </c>
      <c r="H298" t="s">
        <v>8</v>
      </c>
      <c r="I298" s="41">
        <v>142.52000000000001</v>
      </c>
      <c r="J298" s="40">
        <f>I298*(1-IFERROR(VLOOKUP(H298,Rabat!$D$10:$E$41,2,FALSE),0))</f>
        <v>142.52000000000001</v>
      </c>
      <c r="K298">
        <v>0.56999999999999995</v>
      </c>
      <c r="L298" t="s">
        <v>1789</v>
      </c>
      <c r="M298" t="s">
        <v>2095</v>
      </c>
      <c r="N298" t="s">
        <v>2092</v>
      </c>
      <c r="O298" t="s">
        <v>1776</v>
      </c>
      <c r="P298">
        <v>5</v>
      </c>
      <c r="Q298">
        <v>80</v>
      </c>
      <c r="R298" t="s">
        <v>1777</v>
      </c>
      <c r="S298" s="42" t="str">
        <f>HYPERLINK("https://sklep.kobi.pl/produkt/opr-osw-samira-b-2xe27-kwadrat-black")</f>
        <v>https://sklep.kobi.pl/produkt/opr-osw-samira-b-2xe27-kwadrat-black</v>
      </c>
      <c r="T298" t="s">
        <v>71</v>
      </c>
      <c r="U298">
        <v>1.244</v>
      </c>
      <c r="V298">
        <v>1.6759999999999999</v>
      </c>
      <c r="W298">
        <v>440</v>
      </c>
      <c r="X298">
        <v>435</v>
      </c>
      <c r="Y298">
        <v>100</v>
      </c>
      <c r="Z298" t="s">
        <v>1778</v>
      </c>
      <c r="AA298"/>
    </row>
    <row r="299" spans="1:27" ht="15" x14ac:dyDescent="0.25">
      <c r="A299" t="s">
        <v>5</v>
      </c>
      <c r="B299" t="s">
        <v>220</v>
      </c>
      <c r="C299" t="s">
        <v>221</v>
      </c>
      <c r="D299" t="s">
        <v>69</v>
      </c>
      <c r="E299" t="s">
        <v>71</v>
      </c>
      <c r="F299" t="s">
        <v>388</v>
      </c>
      <c r="G299" t="s">
        <v>389</v>
      </c>
      <c r="H299" t="s">
        <v>8</v>
      </c>
      <c r="I299" s="41">
        <v>115.25</v>
      </c>
      <c r="J299" s="40">
        <f>I299*(1-IFERROR(VLOOKUP(H299,Rabat!$D$10:$E$41,2,FALSE),0))</f>
        <v>115.25</v>
      </c>
      <c r="K299">
        <v>0.31</v>
      </c>
      <c r="L299" t="s">
        <v>1789</v>
      </c>
      <c r="M299" t="s">
        <v>2096</v>
      </c>
      <c r="N299" t="s">
        <v>2092</v>
      </c>
      <c r="O299" t="s">
        <v>1776</v>
      </c>
      <c r="P299">
        <v>10</v>
      </c>
      <c r="Q299">
        <v>80</v>
      </c>
      <c r="R299" t="s">
        <v>1777</v>
      </c>
      <c r="S299" s="42" t="str">
        <f>HYPERLINK("https://sklep.kobi.pl/produkt/opr-oswietleniowa-samira-s-2xe27-kwadrat")</f>
        <v>https://sklep.kobi.pl/produkt/opr-oswietleniowa-samira-s-2xe27-kwadrat</v>
      </c>
      <c r="T299" t="s">
        <v>71</v>
      </c>
      <c r="U299">
        <v>0.69</v>
      </c>
      <c r="V299">
        <v>0.93300000000000005</v>
      </c>
      <c r="W299">
        <v>112</v>
      </c>
      <c r="X299">
        <v>355</v>
      </c>
      <c r="Y299">
        <v>355</v>
      </c>
      <c r="Z299" t="s">
        <v>1778</v>
      </c>
      <c r="AA299"/>
    </row>
    <row r="300" spans="1:27" ht="15" x14ac:dyDescent="0.25">
      <c r="A300" t="s">
        <v>5</v>
      </c>
      <c r="B300" t="s">
        <v>220</v>
      </c>
      <c r="C300" t="s">
        <v>221</v>
      </c>
      <c r="D300" t="s">
        <v>69</v>
      </c>
      <c r="E300" t="s">
        <v>71</v>
      </c>
      <c r="F300" t="s">
        <v>894</v>
      </c>
      <c r="G300" t="s">
        <v>895</v>
      </c>
      <c r="H300" t="s">
        <v>8</v>
      </c>
      <c r="I300" s="41">
        <v>115.25</v>
      </c>
      <c r="J300" s="40">
        <f>I300*(1-IFERROR(VLOOKUP(H300,Rabat!$D$10:$E$41,2,FALSE),0))</f>
        <v>115.25</v>
      </c>
      <c r="K300">
        <v>0.31</v>
      </c>
      <c r="L300" t="s">
        <v>1789</v>
      </c>
      <c r="M300" t="s">
        <v>2097</v>
      </c>
      <c r="N300" t="s">
        <v>2092</v>
      </c>
      <c r="O300" t="s">
        <v>1776</v>
      </c>
      <c r="P300">
        <v>10</v>
      </c>
      <c r="Q300">
        <v>80</v>
      </c>
      <c r="R300" t="s">
        <v>1777</v>
      </c>
      <c r="S300" s="42" t="str">
        <f>HYPERLINK("https://sklep.kobi.pl/produkt/opr-osw-samira-s-2xe27-kwadrat-black")</f>
        <v>https://sklep.kobi.pl/produkt/opr-osw-samira-s-2xe27-kwadrat-black</v>
      </c>
      <c r="T300" t="s">
        <v>71</v>
      </c>
      <c r="U300">
        <v>0.69</v>
      </c>
      <c r="V300">
        <v>0.93300000000000005</v>
      </c>
      <c r="W300">
        <v>345</v>
      </c>
      <c r="X300">
        <v>340</v>
      </c>
      <c r="Y300">
        <v>110</v>
      </c>
      <c r="Z300" t="s">
        <v>1778</v>
      </c>
      <c r="AA300"/>
    </row>
    <row r="301" spans="1:27" ht="15" x14ac:dyDescent="0.25">
      <c r="A301" t="s">
        <v>5</v>
      </c>
      <c r="B301" t="s">
        <v>554</v>
      </c>
      <c r="C301" t="s">
        <v>158</v>
      </c>
      <c r="D301" t="s">
        <v>741</v>
      </c>
      <c r="E301" t="s">
        <v>149</v>
      </c>
      <c r="F301" t="s">
        <v>1078</v>
      </c>
      <c r="G301" t="s">
        <v>1079</v>
      </c>
      <c r="H301" t="s">
        <v>6</v>
      </c>
      <c r="I301" s="41">
        <v>45</v>
      </c>
      <c r="J301" s="40">
        <f>I301*(1-IFERROR(VLOOKUP(H301,Rabat!$D$10:$E$41,2,FALSE),0))</f>
        <v>45</v>
      </c>
      <c r="K301">
        <v>0</v>
      </c>
      <c r="L301" t="s">
        <v>1789</v>
      </c>
      <c r="M301" t="s">
        <v>2098</v>
      </c>
      <c r="N301" t="s">
        <v>2099</v>
      </c>
      <c r="O301" t="s">
        <v>1776</v>
      </c>
      <c r="P301">
        <v>1</v>
      </c>
      <c r="Q301">
        <v>0</v>
      </c>
      <c r="R301" t="s">
        <v>1777</v>
      </c>
      <c r="S301" s="42" t="str">
        <f>HYPERLINK("https://sklep.kobi.pl/produkt/oslona-do-neo-hb-150w-200w")</f>
        <v>https://sklep.kobi.pl/produkt/oslona-do-neo-hb-150w-200w</v>
      </c>
      <c r="T301" t="s">
        <v>71</v>
      </c>
      <c r="U301">
        <v>0.13</v>
      </c>
      <c r="V301">
        <v>0</v>
      </c>
      <c r="W301">
        <v>0</v>
      </c>
      <c r="X301">
        <v>0</v>
      </c>
      <c r="Y301">
        <v>0</v>
      </c>
      <c r="Z301" t="s">
        <v>1778</v>
      </c>
      <c r="AA301"/>
    </row>
    <row r="302" spans="1:27" ht="15" x14ac:dyDescent="0.25">
      <c r="A302" t="s">
        <v>5</v>
      </c>
      <c r="B302" t="s">
        <v>554</v>
      </c>
      <c r="C302" t="s">
        <v>158</v>
      </c>
      <c r="D302" t="s">
        <v>69</v>
      </c>
      <c r="E302" t="s">
        <v>71</v>
      </c>
      <c r="F302" t="s">
        <v>1434</v>
      </c>
      <c r="G302" t="s">
        <v>1435</v>
      </c>
      <c r="H302" t="s">
        <v>6</v>
      </c>
      <c r="I302" s="41">
        <v>77.599999999999994</v>
      </c>
      <c r="J302" s="40">
        <f>I302*(1-IFERROR(VLOOKUP(H302,Rabat!$D$10:$E$41,2,FALSE),0))</f>
        <v>77.599999999999994</v>
      </c>
      <c r="K302">
        <v>0</v>
      </c>
      <c r="L302" t="s">
        <v>1789</v>
      </c>
      <c r="M302" t="s">
        <v>2100</v>
      </c>
      <c r="N302" t="s">
        <v>2099</v>
      </c>
      <c r="O302" t="s">
        <v>1776</v>
      </c>
      <c r="P302">
        <v>20</v>
      </c>
      <c r="Q302">
        <v>0</v>
      </c>
      <c r="R302" t="s">
        <v>1777</v>
      </c>
      <c r="S302" s="42" t="str">
        <f>HYPERLINK("https://sklep.kobi.pl/produkt/oslona-do-nina-hb-100w")</f>
        <v>https://sklep.kobi.pl/produkt/oslona-do-nina-hb-100w</v>
      </c>
      <c r="T302" t="s">
        <v>71</v>
      </c>
      <c r="U302">
        <v>0.14000000000000001</v>
      </c>
      <c r="V302">
        <v>0</v>
      </c>
      <c r="W302">
        <v>0</v>
      </c>
      <c r="X302">
        <v>0</v>
      </c>
      <c r="Y302">
        <v>0</v>
      </c>
      <c r="Z302" t="s">
        <v>1778</v>
      </c>
      <c r="AA302"/>
    </row>
    <row r="303" spans="1:27" ht="15" x14ac:dyDescent="0.25">
      <c r="A303" t="s">
        <v>5</v>
      </c>
      <c r="B303" t="s">
        <v>554</v>
      </c>
      <c r="C303" t="s">
        <v>158</v>
      </c>
      <c r="D303" t="s">
        <v>69</v>
      </c>
      <c r="E303" t="s">
        <v>71</v>
      </c>
      <c r="F303" t="s">
        <v>1131</v>
      </c>
      <c r="G303" t="s">
        <v>1132</v>
      </c>
      <c r="H303" t="s">
        <v>6</v>
      </c>
      <c r="I303" s="41">
        <v>70.77</v>
      </c>
      <c r="J303" s="40">
        <f>I303*(1-IFERROR(VLOOKUP(H303,Rabat!$D$10:$E$41,2,FALSE),0))</f>
        <v>70.77</v>
      </c>
      <c r="K303">
        <v>0</v>
      </c>
      <c r="L303" t="s">
        <v>1789</v>
      </c>
      <c r="M303" t="s">
        <v>2101</v>
      </c>
      <c r="N303" t="s">
        <v>2099</v>
      </c>
      <c r="O303" t="s">
        <v>1776</v>
      </c>
      <c r="P303">
        <v>20</v>
      </c>
      <c r="Q303">
        <v>0</v>
      </c>
      <c r="R303" t="s">
        <v>1777</v>
      </c>
      <c r="S303" s="42" t="str">
        <f>HYPERLINK("https://sklep.kobi.pl/produkt/oslona-do-nina-hb-150w")</f>
        <v>https://sklep.kobi.pl/produkt/oslona-do-nina-hb-150w</v>
      </c>
      <c r="T303" t="s">
        <v>71</v>
      </c>
      <c r="U303">
        <v>0.14000000000000001</v>
      </c>
      <c r="V303">
        <v>0</v>
      </c>
      <c r="W303">
        <v>0</v>
      </c>
      <c r="X303">
        <v>0</v>
      </c>
      <c r="Y303">
        <v>0</v>
      </c>
      <c r="Z303" t="s">
        <v>1778</v>
      </c>
      <c r="AA303"/>
    </row>
    <row r="304" spans="1:27" ht="15" x14ac:dyDescent="0.25">
      <c r="A304" t="s">
        <v>5</v>
      </c>
      <c r="B304" t="s">
        <v>554</v>
      </c>
      <c r="C304" t="s">
        <v>158</v>
      </c>
      <c r="D304" t="s">
        <v>69</v>
      </c>
      <c r="E304" t="s">
        <v>71</v>
      </c>
      <c r="F304" t="s">
        <v>1212</v>
      </c>
      <c r="G304" t="s">
        <v>1213</v>
      </c>
      <c r="H304" t="s">
        <v>6</v>
      </c>
      <c r="I304" s="41">
        <v>87.32</v>
      </c>
      <c r="J304" s="40">
        <f>I304*(1-IFERROR(VLOOKUP(H304,Rabat!$D$10:$E$41,2,FALSE),0))</f>
        <v>87.32</v>
      </c>
      <c r="K304">
        <v>0</v>
      </c>
      <c r="L304" t="s">
        <v>1789</v>
      </c>
      <c r="M304" t="s">
        <v>2102</v>
      </c>
      <c r="N304" t="s">
        <v>2099</v>
      </c>
      <c r="O304" t="s">
        <v>1776</v>
      </c>
      <c r="P304">
        <v>20</v>
      </c>
      <c r="Q304">
        <v>0</v>
      </c>
      <c r="R304" t="s">
        <v>1777</v>
      </c>
      <c r="S304" s="42" t="str">
        <f>HYPERLINK("https://sklep.kobi.pl/produkt/oslona-do-nina-hb-200w")</f>
        <v>https://sklep.kobi.pl/produkt/oslona-do-nina-hb-200w</v>
      </c>
      <c r="T304" t="s">
        <v>71</v>
      </c>
      <c r="U304">
        <v>0.18</v>
      </c>
      <c r="V304">
        <v>0</v>
      </c>
      <c r="W304">
        <v>0</v>
      </c>
      <c r="X304">
        <v>0</v>
      </c>
      <c r="Y304">
        <v>0</v>
      </c>
      <c r="Z304" t="s">
        <v>1778</v>
      </c>
      <c r="AA304"/>
    </row>
    <row r="305" spans="1:27" ht="15" x14ac:dyDescent="0.25">
      <c r="A305" t="s">
        <v>5</v>
      </c>
      <c r="B305" t="s">
        <v>554</v>
      </c>
      <c r="C305" t="s">
        <v>158</v>
      </c>
      <c r="D305" t="s">
        <v>741</v>
      </c>
      <c r="E305" t="s">
        <v>149</v>
      </c>
      <c r="F305" t="s">
        <v>1273</v>
      </c>
      <c r="G305" t="s">
        <v>1274</v>
      </c>
      <c r="H305" t="s">
        <v>6</v>
      </c>
      <c r="I305" s="41">
        <v>114</v>
      </c>
      <c r="J305" s="40">
        <f>I305*(1-IFERROR(VLOOKUP(H305,Rabat!$D$10:$E$41,2,FALSE),0))</f>
        <v>114</v>
      </c>
      <c r="K305">
        <v>0</v>
      </c>
      <c r="L305" t="s">
        <v>1789</v>
      </c>
      <c r="M305" t="s">
        <v>2103</v>
      </c>
      <c r="N305" t="s">
        <v>2099</v>
      </c>
      <c r="O305" t="s">
        <v>1776</v>
      </c>
      <c r="P305">
        <v>10</v>
      </c>
      <c r="Q305">
        <v>1000</v>
      </c>
      <c r="R305" t="s">
        <v>1955</v>
      </c>
      <c r="S305" s="42" t="str">
        <f>HYPERLINK("https://sklep.kobi.pl/produkt/uchwyt-do-neo-hb-100w")</f>
        <v>https://sklep.kobi.pl/produkt/uchwyt-do-neo-hb-100w</v>
      </c>
      <c r="T305" t="s">
        <v>71</v>
      </c>
      <c r="U305">
        <v>0.75</v>
      </c>
      <c r="V305"/>
      <c r="W305"/>
      <c r="X305"/>
      <c r="Y305"/>
      <c r="Z305" t="s">
        <v>1778</v>
      </c>
      <c r="AA305"/>
    </row>
    <row r="306" spans="1:27" ht="15" x14ac:dyDescent="0.25">
      <c r="A306" t="s">
        <v>5</v>
      </c>
      <c r="B306" t="s">
        <v>554</v>
      </c>
      <c r="C306" t="s">
        <v>158</v>
      </c>
      <c r="D306" t="s">
        <v>741</v>
      </c>
      <c r="E306" t="s">
        <v>149</v>
      </c>
      <c r="F306" t="s">
        <v>744</v>
      </c>
      <c r="G306" t="s">
        <v>745</v>
      </c>
      <c r="H306" t="s">
        <v>6</v>
      </c>
      <c r="I306" s="41">
        <v>114</v>
      </c>
      <c r="J306" s="40">
        <f>I306*(1-IFERROR(VLOOKUP(H306,Rabat!$D$10:$E$41,2,FALSE),0))</f>
        <v>114</v>
      </c>
      <c r="K306">
        <v>0</v>
      </c>
      <c r="L306" t="s">
        <v>1789</v>
      </c>
      <c r="M306" t="s">
        <v>2104</v>
      </c>
      <c r="N306" t="s">
        <v>2099</v>
      </c>
      <c r="O306" t="s">
        <v>1776</v>
      </c>
      <c r="P306">
        <v>10</v>
      </c>
      <c r="Q306">
        <v>200</v>
      </c>
      <c r="R306" t="s">
        <v>1955</v>
      </c>
      <c r="S306" s="42" t="str">
        <f>HYPERLINK("https://sklep.kobi.pl/produkt/uchwyt-do-neo-hb-150w-200w")</f>
        <v>https://sklep.kobi.pl/produkt/uchwyt-do-neo-hb-150w-200w</v>
      </c>
      <c r="T306" t="s">
        <v>71</v>
      </c>
      <c r="U306">
        <v>1.45</v>
      </c>
      <c r="V306"/>
      <c r="W306">
        <v>200</v>
      </c>
      <c r="X306">
        <v>380</v>
      </c>
      <c r="Y306">
        <v>80</v>
      </c>
      <c r="Z306" t="s">
        <v>1778</v>
      </c>
      <c r="AA306"/>
    </row>
    <row r="307" spans="1:27" ht="15" x14ac:dyDescent="0.25">
      <c r="A307" t="s">
        <v>5</v>
      </c>
      <c r="B307" t="s">
        <v>554</v>
      </c>
      <c r="C307" t="s">
        <v>158</v>
      </c>
      <c r="D307" t="s">
        <v>69</v>
      </c>
      <c r="E307" t="s">
        <v>149</v>
      </c>
      <c r="F307" t="s">
        <v>1133</v>
      </c>
      <c r="G307" t="s">
        <v>1134</v>
      </c>
      <c r="H307" t="s">
        <v>6</v>
      </c>
      <c r="I307" s="41">
        <v>106.76</v>
      </c>
      <c r="J307" s="40">
        <f>I307*(1-IFERROR(VLOOKUP(H307,Rabat!$D$10:$E$41,2,FALSE),0))</f>
        <v>106.76</v>
      </c>
      <c r="K307">
        <v>0</v>
      </c>
      <c r="L307" t="s">
        <v>1789</v>
      </c>
      <c r="M307" t="s">
        <v>2105</v>
      </c>
      <c r="N307" t="s">
        <v>2099</v>
      </c>
      <c r="O307" t="s">
        <v>1776</v>
      </c>
      <c r="P307">
        <v>12</v>
      </c>
      <c r="Q307">
        <v>0</v>
      </c>
      <c r="R307" t="s">
        <v>1777</v>
      </c>
      <c r="S307" s="42" t="str">
        <f>HYPERLINK("https://sklep.kobi.pl/produkt/uchwyt-do-nina-hb-100w")</f>
        <v>https://sklep.kobi.pl/produkt/uchwyt-do-nina-hb-100w</v>
      </c>
      <c r="T307" t="s">
        <v>71</v>
      </c>
      <c r="U307">
        <v>0.5</v>
      </c>
      <c r="V307">
        <v>0</v>
      </c>
      <c r="W307">
        <v>0</v>
      </c>
      <c r="X307">
        <v>0</v>
      </c>
      <c r="Y307">
        <v>0</v>
      </c>
      <c r="Z307" t="s">
        <v>1778</v>
      </c>
      <c r="AA307"/>
    </row>
    <row r="308" spans="1:27" ht="15" x14ac:dyDescent="0.25">
      <c r="A308" t="s">
        <v>5</v>
      </c>
      <c r="B308" t="s">
        <v>554</v>
      </c>
      <c r="C308" t="s">
        <v>158</v>
      </c>
      <c r="D308" t="s">
        <v>69</v>
      </c>
      <c r="E308" t="s">
        <v>71</v>
      </c>
      <c r="F308" t="s">
        <v>1135</v>
      </c>
      <c r="G308" t="s">
        <v>1136</v>
      </c>
      <c r="H308" t="s">
        <v>6</v>
      </c>
      <c r="I308" s="41">
        <v>114</v>
      </c>
      <c r="J308" s="40">
        <f>I308*(1-IFERROR(VLOOKUP(H308,Rabat!$D$10:$E$41,2,FALSE),0))</f>
        <v>114</v>
      </c>
      <c r="K308">
        <v>0</v>
      </c>
      <c r="L308" t="s">
        <v>1789</v>
      </c>
      <c r="M308" t="s">
        <v>2106</v>
      </c>
      <c r="N308" t="s">
        <v>2099</v>
      </c>
      <c r="O308" t="s">
        <v>1776</v>
      </c>
      <c r="P308">
        <v>12</v>
      </c>
      <c r="Q308">
        <v>0</v>
      </c>
      <c r="R308" t="s">
        <v>1777</v>
      </c>
      <c r="S308" s="42" t="str">
        <f>HYPERLINK("https://sklep.kobi.pl/produkt/uchwyt-do-nina-hb-150w")</f>
        <v>https://sklep.kobi.pl/produkt/uchwyt-do-nina-hb-150w</v>
      </c>
      <c r="T308" t="s">
        <v>71</v>
      </c>
      <c r="U308">
        <v>0.52</v>
      </c>
      <c r="V308">
        <v>0</v>
      </c>
      <c r="W308">
        <v>0</v>
      </c>
      <c r="X308">
        <v>0</v>
      </c>
      <c r="Y308">
        <v>0</v>
      </c>
      <c r="Z308" t="s">
        <v>1778</v>
      </c>
      <c r="AA308"/>
    </row>
    <row r="309" spans="1:27" ht="15" x14ac:dyDescent="0.25">
      <c r="A309" t="s">
        <v>5</v>
      </c>
      <c r="B309" t="s">
        <v>554</v>
      </c>
      <c r="C309" t="s">
        <v>158</v>
      </c>
      <c r="D309" t="s">
        <v>69</v>
      </c>
      <c r="E309" t="s">
        <v>71</v>
      </c>
      <c r="F309" t="s">
        <v>1137</v>
      </c>
      <c r="G309" t="s">
        <v>1138</v>
      </c>
      <c r="H309" t="s">
        <v>6</v>
      </c>
      <c r="I309" s="41">
        <v>125</v>
      </c>
      <c r="J309" s="40">
        <f>I309*(1-IFERROR(VLOOKUP(H309,Rabat!$D$10:$E$41,2,FALSE),0))</f>
        <v>125</v>
      </c>
      <c r="K309">
        <v>0</v>
      </c>
      <c r="L309" t="s">
        <v>1789</v>
      </c>
      <c r="M309" t="s">
        <v>2107</v>
      </c>
      <c r="N309" t="s">
        <v>2099</v>
      </c>
      <c r="O309" t="s">
        <v>1776</v>
      </c>
      <c r="P309">
        <v>12</v>
      </c>
      <c r="Q309">
        <v>0</v>
      </c>
      <c r="R309" t="s">
        <v>1777</v>
      </c>
      <c r="S309" s="42" t="str">
        <f>HYPERLINK("https://sklep.kobi.pl/produkt/uchwyt-do-nina-hb-200w")</f>
        <v>https://sklep.kobi.pl/produkt/uchwyt-do-nina-hb-200w</v>
      </c>
      <c r="T309" t="s">
        <v>71</v>
      </c>
      <c r="U309">
        <v>0.56999999999999995</v>
      </c>
      <c r="V309">
        <v>0</v>
      </c>
      <c r="W309">
        <v>0</v>
      </c>
      <c r="X309">
        <v>0</v>
      </c>
      <c r="Y309">
        <v>0</v>
      </c>
      <c r="Z309" t="s">
        <v>1778</v>
      </c>
      <c r="AA309"/>
    </row>
    <row r="310" spans="1:27" ht="15" x14ac:dyDescent="0.25">
      <c r="A310" t="s">
        <v>5</v>
      </c>
      <c r="B310" t="s">
        <v>421</v>
      </c>
      <c r="C310"/>
      <c r="D310" t="s">
        <v>69</v>
      </c>
      <c r="E310" t="s">
        <v>71</v>
      </c>
      <c r="F310" t="s">
        <v>688</v>
      </c>
      <c r="G310" t="s">
        <v>689</v>
      </c>
      <c r="H310" t="s">
        <v>6</v>
      </c>
      <c r="I310" s="41">
        <v>27.75</v>
      </c>
      <c r="J310" s="40">
        <f>I310*(1-IFERROR(VLOOKUP(H310,Rabat!$D$10:$E$41,2,FALSE),0))</f>
        <v>27.75</v>
      </c>
      <c r="K310">
        <v>0</v>
      </c>
      <c r="L310" t="s">
        <v>1789</v>
      </c>
      <c r="M310" t="s">
        <v>2108</v>
      </c>
      <c r="N310" t="s">
        <v>2099</v>
      </c>
      <c r="O310" t="s">
        <v>2109</v>
      </c>
      <c r="P310">
        <v>200</v>
      </c>
      <c r="Q310">
        <v>0</v>
      </c>
      <c r="R310" t="s">
        <v>1777</v>
      </c>
      <c r="S310" s="42" t="str">
        <f>HYPERLINK("https://sklep.kobi.pl/produkt/linka-do-panelu-led")</f>
        <v>https://sklep.kobi.pl/produkt/linka-do-panelu-led</v>
      </c>
      <c r="T310" t="s">
        <v>71</v>
      </c>
      <c r="U310">
        <v>9.8000000000000004E-2</v>
      </c>
      <c r="V310">
        <v>0.13100000000000001</v>
      </c>
      <c r="W310">
        <v>50</v>
      </c>
      <c r="X310">
        <v>20</v>
      </c>
      <c r="Y310">
        <v>20</v>
      </c>
      <c r="Z310" t="s">
        <v>1778</v>
      </c>
      <c r="AA310"/>
    </row>
    <row r="311" spans="1:27" ht="15" x14ac:dyDescent="0.25">
      <c r="A311" t="s">
        <v>5</v>
      </c>
      <c r="B311" t="s">
        <v>421</v>
      </c>
      <c r="C311"/>
      <c r="D311" t="s">
        <v>69</v>
      </c>
      <c r="E311" t="s">
        <v>71</v>
      </c>
      <c r="F311" t="s">
        <v>762</v>
      </c>
      <c r="G311" t="s">
        <v>763</v>
      </c>
      <c r="H311" t="s">
        <v>6</v>
      </c>
      <c r="I311" s="41">
        <v>56</v>
      </c>
      <c r="J311" s="40">
        <f>I311*(1-IFERROR(VLOOKUP(H311,Rabat!$D$10:$E$41,2,FALSE),0))</f>
        <v>56</v>
      </c>
      <c r="K311">
        <v>0</v>
      </c>
      <c r="L311" t="s">
        <v>1789</v>
      </c>
      <c r="M311" t="s">
        <v>2110</v>
      </c>
      <c r="N311" t="s">
        <v>2099</v>
      </c>
      <c r="O311" t="s">
        <v>1776</v>
      </c>
      <c r="P311">
        <v>20</v>
      </c>
      <c r="Q311">
        <v>0</v>
      </c>
      <c r="R311" t="s">
        <v>1777</v>
      </c>
      <c r="S311" s="42" t="str">
        <f>HYPERLINK("https://sklep.kobi.pl/produkt/ramka-nt-do-panelu-led-30x120-klik")</f>
        <v>https://sklep.kobi.pl/produkt/ramka-nt-do-panelu-led-30x120-klik</v>
      </c>
      <c r="T311" t="s">
        <v>71</v>
      </c>
      <c r="U311">
        <v>0.7</v>
      </c>
      <c r="V311">
        <v>0.73</v>
      </c>
      <c r="W311">
        <v>1200</v>
      </c>
      <c r="X311">
        <v>40</v>
      </c>
      <c r="Y311">
        <v>65</v>
      </c>
      <c r="Z311" t="s">
        <v>1778</v>
      </c>
      <c r="AA311"/>
    </row>
    <row r="312" spans="1:27" ht="15" x14ac:dyDescent="0.25">
      <c r="A312" t="s">
        <v>5</v>
      </c>
      <c r="B312" t="s">
        <v>421</v>
      </c>
      <c r="C312"/>
      <c r="D312" t="s">
        <v>69</v>
      </c>
      <c r="E312" t="s">
        <v>71</v>
      </c>
      <c r="F312" t="s">
        <v>1011</v>
      </c>
      <c r="G312" t="s">
        <v>1012</v>
      </c>
      <c r="H312" t="s">
        <v>6</v>
      </c>
      <c r="I312" s="41">
        <v>42</v>
      </c>
      <c r="J312" s="40">
        <f>I312*(1-IFERROR(VLOOKUP(H312,Rabat!$D$10:$E$41,2,FALSE),0))</f>
        <v>42</v>
      </c>
      <c r="K312">
        <v>0</v>
      </c>
      <c r="L312" t="s">
        <v>1789</v>
      </c>
      <c r="M312" t="s">
        <v>2111</v>
      </c>
      <c r="N312" t="s">
        <v>2099</v>
      </c>
      <c r="O312" t="s">
        <v>1776</v>
      </c>
      <c r="P312">
        <v>20</v>
      </c>
      <c r="Q312">
        <v>800</v>
      </c>
      <c r="R312" t="s">
        <v>1777</v>
      </c>
      <c r="S312" s="42" t="str">
        <f>HYPERLINK("https://sklep.kobi.pl/produkt/ramka-45mm-do-panelu-led-30x60-klik")</f>
        <v>https://sklep.kobi.pl/produkt/ramka-45mm-do-panelu-led-30x60-klik</v>
      </c>
      <c r="T312" t="s">
        <v>71</v>
      </c>
      <c r="U312">
        <v>0.30499999999999999</v>
      </c>
      <c r="V312">
        <v>0.32</v>
      </c>
      <c r="W312">
        <v>600</v>
      </c>
      <c r="X312">
        <v>50</v>
      </c>
      <c r="Y312">
        <v>50</v>
      </c>
      <c r="Z312" t="s">
        <v>1778</v>
      </c>
      <c r="AA312"/>
    </row>
    <row r="313" spans="1:27" ht="15" x14ac:dyDescent="0.25">
      <c r="A313" t="s">
        <v>5</v>
      </c>
      <c r="B313" t="s">
        <v>421</v>
      </c>
      <c r="C313"/>
      <c r="D313" t="s">
        <v>69</v>
      </c>
      <c r="E313" t="s">
        <v>71</v>
      </c>
      <c r="F313" t="s">
        <v>633</v>
      </c>
      <c r="G313" t="s">
        <v>634</v>
      </c>
      <c r="H313" t="s">
        <v>6</v>
      </c>
      <c r="I313" s="41">
        <v>47.4</v>
      </c>
      <c r="J313" s="40">
        <f>I313*(1-IFERROR(VLOOKUP(H313,Rabat!$D$10:$E$41,2,FALSE),0))</f>
        <v>47.4</v>
      </c>
      <c r="K313">
        <v>0</v>
      </c>
      <c r="L313" t="s">
        <v>1789</v>
      </c>
      <c r="M313" t="s">
        <v>2112</v>
      </c>
      <c r="N313" t="s">
        <v>2099</v>
      </c>
      <c r="O313" t="s">
        <v>1776</v>
      </c>
      <c r="P313">
        <v>20</v>
      </c>
      <c r="Q313">
        <v>800</v>
      </c>
      <c r="R313" t="s">
        <v>1777</v>
      </c>
      <c r="S313" s="42" t="str">
        <f>HYPERLINK("https://sklep.kobi.pl/produkt/ramka-nt-do-panelu-led-60x60-klik")</f>
        <v>https://sklep.kobi.pl/produkt/ramka-nt-do-panelu-led-60x60-klik</v>
      </c>
      <c r="T313" t="s">
        <v>71</v>
      </c>
      <c r="U313">
        <v>0.39</v>
      </c>
      <c r="V313">
        <v>0.6</v>
      </c>
      <c r="W313">
        <v>600</v>
      </c>
      <c r="X313">
        <v>40</v>
      </c>
      <c r="Y313">
        <v>65</v>
      </c>
      <c r="Z313" t="s">
        <v>1778</v>
      </c>
      <c r="AA313"/>
    </row>
    <row r="314" spans="1:27" ht="15" x14ac:dyDescent="0.25">
      <c r="A314" t="s">
        <v>5</v>
      </c>
      <c r="B314" t="s">
        <v>421</v>
      </c>
      <c r="C314"/>
      <c r="D314" t="s">
        <v>69</v>
      </c>
      <c r="E314" t="s">
        <v>71</v>
      </c>
      <c r="F314" t="s">
        <v>760</v>
      </c>
      <c r="G314" t="s">
        <v>761</v>
      </c>
      <c r="H314" t="s">
        <v>6</v>
      </c>
      <c r="I314" s="41">
        <v>82</v>
      </c>
      <c r="J314" s="40">
        <f>I314*(1-IFERROR(VLOOKUP(H314,Rabat!$D$10:$E$41,2,FALSE),0))</f>
        <v>82</v>
      </c>
      <c r="K314">
        <v>0</v>
      </c>
      <c r="L314" t="s">
        <v>1789</v>
      </c>
      <c r="M314" t="s">
        <v>2113</v>
      </c>
      <c r="N314" t="s">
        <v>2099</v>
      </c>
      <c r="O314" t="s">
        <v>1776</v>
      </c>
      <c r="P314">
        <v>20</v>
      </c>
      <c r="Q314">
        <v>360</v>
      </c>
      <c r="R314" t="s">
        <v>1777</v>
      </c>
      <c r="S314" s="42" t="str">
        <f>HYPERLINK("https://sklep.kobi.pl/produkt/ramka-nt-do-panelu-led-30x120")</f>
        <v>https://sklep.kobi.pl/produkt/ramka-nt-do-panelu-led-30x120</v>
      </c>
      <c r="T314" t="s">
        <v>71</v>
      </c>
      <c r="U314">
        <v>0.78700000000000003</v>
      </c>
      <c r="V314">
        <v>0.82</v>
      </c>
      <c r="W314">
        <v>1200</v>
      </c>
      <c r="X314">
        <v>65</v>
      </c>
      <c r="Y314">
        <v>40</v>
      </c>
      <c r="Z314" t="s">
        <v>1778</v>
      </c>
      <c r="AA314"/>
    </row>
    <row r="315" spans="1:27" ht="15" x14ac:dyDescent="0.25">
      <c r="A315" t="s">
        <v>5</v>
      </c>
      <c r="B315" t="s">
        <v>421</v>
      </c>
      <c r="C315"/>
      <c r="D315" t="s">
        <v>69</v>
      </c>
      <c r="E315" t="s">
        <v>71</v>
      </c>
      <c r="F315" t="s">
        <v>732</v>
      </c>
      <c r="G315" t="s">
        <v>733</v>
      </c>
      <c r="H315" t="s">
        <v>6</v>
      </c>
      <c r="I315" s="41">
        <v>60.64</v>
      </c>
      <c r="J315" s="40">
        <f>I315*(1-IFERROR(VLOOKUP(H315,Rabat!$D$10:$E$41,2,FALSE),0))</f>
        <v>60.64</v>
      </c>
      <c r="K315">
        <v>0</v>
      </c>
      <c r="L315" t="s">
        <v>1789</v>
      </c>
      <c r="M315" t="s">
        <v>2114</v>
      </c>
      <c r="N315" t="s">
        <v>2099</v>
      </c>
      <c r="O315" t="s">
        <v>1776</v>
      </c>
      <c r="P315">
        <v>20</v>
      </c>
      <c r="Q315">
        <v>500</v>
      </c>
      <c r="R315" t="s">
        <v>1777</v>
      </c>
      <c r="S315" s="42" t="str">
        <f>HYPERLINK("https://sklep.kobi.pl/produkt/ramka-nt-do-panelu-led-60x60")</f>
        <v>https://sklep.kobi.pl/produkt/ramka-nt-do-panelu-led-60x60</v>
      </c>
      <c r="T315" t="s">
        <v>71</v>
      </c>
      <c r="U315">
        <v>0.65</v>
      </c>
      <c r="V315">
        <v>0.61199999999999999</v>
      </c>
      <c r="W315">
        <v>600</v>
      </c>
      <c r="X315">
        <v>65</v>
      </c>
      <c r="Y315">
        <v>40</v>
      </c>
      <c r="Z315" t="s">
        <v>1778</v>
      </c>
      <c r="AA315"/>
    </row>
    <row r="316" spans="1:27" ht="15" x14ac:dyDescent="0.25">
      <c r="A316" t="s">
        <v>5</v>
      </c>
      <c r="B316" t="s">
        <v>421</v>
      </c>
      <c r="C316"/>
      <c r="D316" t="s">
        <v>69</v>
      </c>
      <c r="E316" t="s">
        <v>71</v>
      </c>
      <c r="F316" t="s">
        <v>422</v>
      </c>
      <c r="G316" t="s">
        <v>423</v>
      </c>
      <c r="H316" t="s">
        <v>6</v>
      </c>
      <c r="I316" s="41">
        <v>27.61</v>
      </c>
      <c r="J316" s="40">
        <f>I316*(1-IFERROR(VLOOKUP(H316,Rabat!$D$10:$E$41,2,FALSE),0))</f>
        <v>27.61</v>
      </c>
      <c r="K316">
        <v>0</v>
      </c>
      <c r="L316" t="s">
        <v>1789</v>
      </c>
      <c r="M316" t="s">
        <v>2115</v>
      </c>
      <c r="N316" t="s">
        <v>2099</v>
      </c>
      <c r="O316" t="s">
        <v>2109</v>
      </c>
      <c r="P316">
        <v>250</v>
      </c>
      <c r="Q316">
        <v>0</v>
      </c>
      <c r="R316" t="s">
        <v>1777</v>
      </c>
      <c r="S316" s="42" t="str">
        <f>HYPERLINK("https://sklep.kobi.pl/produkt/uchwyty-do-kartongipsu-nelio")</f>
        <v>https://sklep.kobi.pl/produkt/uchwyty-do-kartongipsu-nelio</v>
      </c>
      <c r="T316" t="s">
        <v>71</v>
      </c>
      <c r="U316">
        <v>5.6000000000000001E-2</v>
      </c>
      <c r="V316">
        <v>0.06</v>
      </c>
      <c r="W316">
        <v>30</v>
      </c>
      <c r="X316">
        <v>70</v>
      </c>
      <c r="Y316">
        <v>110</v>
      </c>
      <c r="Z316" t="s">
        <v>1778</v>
      </c>
      <c r="AA316"/>
    </row>
    <row r="317" spans="1:27" ht="15" x14ac:dyDescent="0.25">
      <c r="A317" t="s">
        <v>5</v>
      </c>
      <c r="B317" t="s">
        <v>421</v>
      </c>
      <c r="C317"/>
      <c r="D317" t="s">
        <v>69</v>
      </c>
      <c r="E317" t="s">
        <v>71</v>
      </c>
      <c r="F317" t="s">
        <v>439</v>
      </c>
      <c r="G317" t="s">
        <v>440</v>
      </c>
      <c r="H317" t="s">
        <v>6</v>
      </c>
      <c r="I317" s="41">
        <v>30.84</v>
      </c>
      <c r="J317" s="40">
        <f>I317*(1-IFERROR(VLOOKUP(H317,Rabat!$D$10:$E$41,2,FALSE),0))</f>
        <v>30.84</v>
      </c>
      <c r="K317">
        <v>0</v>
      </c>
      <c r="L317" t="s">
        <v>1789</v>
      </c>
      <c r="M317" t="s">
        <v>2116</v>
      </c>
      <c r="N317" t="s">
        <v>2099</v>
      </c>
      <c r="O317" t="s">
        <v>2109</v>
      </c>
      <c r="P317">
        <v>150</v>
      </c>
      <c r="Q317">
        <v>0</v>
      </c>
      <c r="R317" t="s">
        <v>1777</v>
      </c>
      <c r="S317" s="42" t="str">
        <f>HYPERLINK("https://sklep.kobi.pl/produkt/uchwyty-do-kartongipsu-nelio-30x120")</f>
        <v>https://sklep.kobi.pl/produkt/uchwyty-do-kartongipsu-nelio-30x120</v>
      </c>
      <c r="T317" t="s">
        <v>71</v>
      </c>
      <c r="U317">
        <v>8.5999999999999993E-2</v>
      </c>
      <c r="V317">
        <v>0.1</v>
      </c>
      <c r="W317">
        <v>40</v>
      </c>
      <c r="X317">
        <v>86</v>
      </c>
      <c r="Y317">
        <v>140</v>
      </c>
      <c r="Z317" t="s">
        <v>1778</v>
      </c>
      <c r="AA317"/>
    </row>
    <row r="318" spans="1:27" ht="15" x14ac:dyDescent="0.25">
      <c r="A318" t="s">
        <v>5</v>
      </c>
      <c r="B318" t="s">
        <v>421</v>
      </c>
      <c r="C318"/>
      <c r="D318" t="s">
        <v>69</v>
      </c>
      <c r="E318" t="s">
        <v>71</v>
      </c>
      <c r="F318" t="s">
        <v>1345</v>
      </c>
      <c r="G318" t="s">
        <v>1346</v>
      </c>
      <c r="H318" t="s">
        <v>6</v>
      </c>
      <c r="I318" s="41">
        <v>69.69</v>
      </c>
      <c r="J318" s="40">
        <f>I318*(1-IFERROR(VLOOKUP(H318,Rabat!$D$10:$E$41,2,FALSE),0))</f>
        <v>69.69</v>
      </c>
      <c r="K318">
        <v>0</v>
      </c>
      <c r="L318" t="s">
        <v>1789</v>
      </c>
      <c r="M318" t="s">
        <v>2117</v>
      </c>
      <c r="N318" t="s">
        <v>2099</v>
      </c>
      <c r="O318" t="s">
        <v>1776</v>
      </c>
      <c r="P318">
        <v>20</v>
      </c>
      <c r="Q318">
        <v>500</v>
      </c>
      <c r="R318" t="s">
        <v>1777</v>
      </c>
      <c r="S318" s="42" t="str">
        <f>HYPERLINK("https://sklep.kobi.pl/produkt/ramka-63mm-do-panelu-led-60x60-klik-czar")</f>
        <v>https://sklep.kobi.pl/produkt/ramka-63mm-do-panelu-led-60x60-klik-czar</v>
      </c>
      <c r="T318" t="s">
        <v>71</v>
      </c>
      <c r="U318">
        <v>0.65</v>
      </c>
      <c r="V318">
        <v>0.61199999999999999</v>
      </c>
      <c r="W318">
        <v>600</v>
      </c>
      <c r="X318">
        <v>65</v>
      </c>
      <c r="Y318">
        <v>40</v>
      </c>
      <c r="Z318" t="s">
        <v>1778</v>
      </c>
      <c r="AA318"/>
    </row>
    <row r="319" spans="1:27" ht="15" x14ac:dyDescent="0.25">
      <c r="A319" t="s">
        <v>5</v>
      </c>
      <c r="B319" t="s">
        <v>421</v>
      </c>
      <c r="C319"/>
      <c r="D319" t="s">
        <v>69</v>
      </c>
      <c r="E319" t="s">
        <v>71</v>
      </c>
      <c r="F319" t="s">
        <v>1702</v>
      </c>
      <c r="G319" t="s">
        <v>1703</v>
      </c>
      <c r="H319" t="s">
        <v>6</v>
      </c>
      <c r="I319" s="41">
        <v>76</v>
      </c>
      <c r="J319" s="40">
        <f>I319*(1-IFERROR(VLOOKUP(H319,Rabat!$D$10:$E$41,2,FALSE),0))</f>
        <v>76</v>
      </c>
      <c r="K319">
        <v>0</v>
      </c>
      <c r="L319" t="s">
        <v>1789</v>
      </c>
      <c r="M319" t="s">
        <v>2118</v>
      </c>
      <c r="N319" t="s">
        <v>2099</v>
      </c>
      <c r="O319" t="s">
        <v>1776</v>
      </c>
      <c r="P319">
        <v>20</v>
      </c>
      <c r="Q319">
        <v>0</v>
      </c>
      <c r="R319" t="s">
        <v>1777</v>
      </c>
      <c r="S319"/>
      <c r="T319" t="s">
        <v>71</v>
      </c>
      <c r="U319">
        <v>0.65</v>
      </c>
      <c r="V319">
        <v>0</v>
      </c>
      <c r="W319">
        <v>0</v>
      </c>
      <c r="X319">
        <v>0</v>
      </c>
      <c r="Y319">
        <v>0</v>
      </c>
      <c r="Z319" t="s">
        <v>1778</v>
      </c>
      <c r="AA319"/>
    </row>
    <row r="320" spans="1:27" ht="15" x14ac:dyDescent="0.25">
      <c r="A320" t="s">
        <v>5</v>
      </c>
      <c r="B320" t="s">
        <v>421</v>
      </c>
      <c r="C320"/>
      <c r="D320" t="s">
        <v>69</v>
      </c>
      <c r="E320" t="s">
        <v>1289</v>
      </c>
      <c r="F320" t="s">
        <v>1595</v>
      </c>
      <c r="G320" t="s">
        <v>1596</v>
      </c>
      <c r="H320" t="s">
        <v>6</v>
      </c>
      <c r="I320" s="41">
        <v>44</v>
      </c>
      <c r="J320" s="40">
        <f>I320*(1-IFERROR(VLOOKUP(H320,Rabat!$D$10:$E$41,2,FALSE),0))</f>
        <v>44</v>
      </c>
      <c r="K320">
        <v>0.05</v>
      </c>
      <c r="L320" t="s">
        <v>1789</v>
      </c>
      <c r="M320" t="s">
        <v>2119</v>
      </c>
      <c r="N320" t="s">
        <v>2582</v>
      </c>
      <c r="O320" t="s">
        <v>1776</v>
      </c>
      <c r="P320">
        <v>1</v>
      </c>
      <c r="Q320">
        <v>0</v>
      </c>
      <c r="R320" t="s">
        <v>1955</v>
      </c>
      <c r="S320" s="42" t="str">
        <f>HYPERLINK("https://sklep.kobi.pl/produkt/zasilacz-lf-gif040ys900h-lifud")</f>
        <v>https://sklep.kobi.pl/produkt/zasilacz-lf-gif040ys900h-lifud</v>
      </c>
      <c r="T320" t="s">
        <v>71</v>
      </c>
      <c r="U320">
        <v>0.1</v>
      </c>
      <c r="V320">
        <v>0</v>
      </c>
      <c r="W320">
        <v>0</v>
      </c>
      <c r="X320">
        <v>0</v>
      </c>
      <c r="Y320">
        <v>0</v>
      </c>
      <c r="Z320" t="s">
        <v>1778</v>
      </c>
      <c r="AA320"/>
    </row>
    <row r="321" spans="1:27" ht="15" x14ac:dyDescent="0.25">
      <c r="A321" t="s">
        <v>5</v>
      </c>
      <c r="B321" t="s">
        <v>421</v>
      </c>
      <c r="C321"/>
      <c r="D321" t="s">
        <v>69</v>
      </c>
      <c r="E321" t="s">
        <v>1289</v>
      </c>
      <c r="F321" t="s">
        <v>1597</v>
      </c>
      <c r="G321" t="s">
        <v>1598</v>
      </c>
      <c r="H321" t="s">
        <v>6</v>
      </c>
      <c r="I321" s="41">
        <v>45</v>
      </c>
      <c r="J321" s="40">
        <f>I321*(1-IFERROR(VLOOKUP(H321,Rabat!$D$10:$E$41,2,FALSE),0))</f>
        <v>45</v>
      </c>
      <c r="K321">
        <v>0.05</v>
      </c>
      <c r="L321" t="s">
        <v>1789</v>
      </c>
      <c r="M321" t="s">
        <v>2120</v>
      </c>
      <c r="N321" t="s">
        <v>2701</v>
      </c>
      <c r="O321" t="s">
        <v>1776</v>
      </c>
      <c r="P321">
        <v>1</v>
      </c>
      <c r="Q321">
        <v>0</v>
      </c>
      <c r="R321" t="s">
        <v>1955</v>
      </c>
      <c r="S321" s="42" t="str">
        <f>HYPERLINK("https://sklep.kobi.pl/produkt/zasilacz-lf-gif040ys1000h-lifud")</f>
        <v>https://sklep.kobi.pl/produkt/zasilacz-lf-gif040ys1000h-lifud</v>
      </c>
      <c r="T321" t="s">
        <v>71</v>
      </c>
      <c r="U321">
        <v>0.1</v>
      </c>
      <c r="V321">
        <v>0</v>
      </c>
      <c r="W321">
        <v>0</v>
      </c>
      <c r="X321">
        <v>0</v>
      </c>
      <c r="Y321">
        <v>0</v>
      </c>
      <c r="Z321" t="s">
        <v>1778</v>
      </c>
      <c r="AA321"/>
    </row>
    <row r="322" spans="1:27" ht="15" x14ac:dyDescent="0.25">
      <c r="A322" t="s">
        <v>5</v>
      </c>
      <c r="B322" t="s">
        <v>421</v>
      </c>
      <c r="C322"/>
      <c r="D322" t="s">
        <v>69</v>
      </c>
      <c r="E322" t="s">
        <v>1289</v>
      </c>
      <c r="F322" t="s">
        <v>1599</v>
      </c>
      <c r="G322" t="s">
        <v>1600</v>
      </c>
      <c r="H322" t="s">
        <v>6</v>
      </c>
      <c r="I322" s="41">
        <v>215</v>
      </c>
      <c r="J322" s="40">
        <f>I322*(1-IFERROR(VLOOKUP(H322,Rabat!$D$10:$E$41,2,FALSE),0))</f>
        <v>215</v>
      </c>
      <c r="K322">
        <v>0.05</v>
      </c>
      <c r="L322" t="s">
        <v>1789</v>
      </c>
      <c r="M322" t="s">
        <v>2121</v>
      </c>
      <c r="N322" t="s">
        <v>2582</v>
      </c>
      <c r="O322" t="s">
        <v>1776</v>
      </c>
      <c r="P322">
        <v>1</v>
      </c>
      <c r="Q322">
        <v>0</v>
      </c>
      <c r="R322" t="s">
        <v>1955</v>
      </c>
      <c r="S322" s="42" t="str">
        <f>HYPERLINK("https://sklep.kobi.pl/produkt/zasilacz-lf-gsd020yc-lifud-dali")</f>
        <v>https://sklep.kobi.pl/produkt/zasilacz-lf-gsd020yc-lifud-dali</v>
      </c>
      <c r="T322" t="s">
        <v>71</v>
      </c>
      <c r="U322">
        <v>0.13</v>
      </c>
      <c r="V322">
        <v>0</v>
      </c>
      <c r="W322">
        <v>0</v>
      </c>
      <c r="X322">
        <v>0</v>
      </c>
      <c r="Y322">
        <v>0</v>
      </c>
      <c r="Z322" t="s">
        <v>1778</v>
      </c>
      <c r="AA322"/>
    </row>
    <row r="323" spans="1:27" ht="15" x14ac:dyDescent="0.25">
      <c r="A323" t="s">
        <v>5</v>
      </c>
      <c r="B323" t="s">
        <v>289</v>
      </c>
      <c r="C323"/>
      <c r="D323" t="s">
        <v>667</v>
      </c>
      <c r="E323" t="s">
        <v>149</v>
      </c>
      <c r="F323" t="s">
        <v>904</v>
      </c>
      <c r="G323" t="s">
        <v>905</v>
      </c>
      <c r="H323" t="s">
        <v>52</v>
      </c>
      <c r="I323" s="41">
        <v>41</v>
      </c>
      <c r="J323" s="40">
        <f>I323*(1-IFERROR(VLOOKUP(H323,Rabat!$D$10:$E$41,2,FALSE),0))</f>
        <v>41</v>
      </c>
      <c r="K323">
        <v>0.38</v>
      </c>
      <c r="L323" t="s">
        <v>1789</v>
      </c>
      <c r="M323" t="s">
        <v>2122</v>
      </c>
      <c r="N323" t="s">
        <v>2033</v>
      </c>
      <c r="O323" t="s">
        <v>1776</v>
      </c>
      <c r="P323">
        <v>10</v>
      </c>
      <c r="Q323">
        <v>180</v>
      </c>
      <c r="R323" t="s">
        <v>1777</v>
      </c>
      <c r="S323" s="42" t="str">
        <f>HYPERLINK("https://sklep.kobi.pl/produkt/led-hermes-2x120-led2b")</f>
        <v>https://sklep.kobi.pl/produkt/led-hermes-2x120-led2b</v>
      </c>
      <c r="T323" t="s">
        <v>71</v>
      </c>
      <c r="U323">
        <v>0.83</v>
      </c>
      <c r="V323">
        <v>0.86099999999999999</v>
      </c>
      <c r="W323">
        <v>115</v>
      </c>
      <c r="X323">
        <v>45</v>
      </c>
      <c r="Y323">
        <v>1300</v>
      </c>
      <c r="Z323" t="s">
        <v>1778</v>
      </c>
      <c r="AA323"/>
    </row>
    <row r="324" spans="1:27" ht="15" x14ac:dyDescent="0.25">
      <c r="A324" t="s">
        <v>5</v>
      </c>
      <c r="B324" t="s">
        <v>289</v>
      </c>
      <c r="C324"/>
      <c r="D324" t="s">
        <v>69</v>
      </c>
      <c r="E324" t="s">
        <v>71</v>
      </c>
      <c r="F324" t="s">
        <v>402</v>
      </c>
      <c r="G324" t="s">
        <v>403</v>
      </c>
      <c r="H324" t="s">
        <v>52</v>
      </c>
      <c r="I324" s="41">
        <v>36.5</v>
      </c>
      <c r="J324" s="40">
        <f>I324*(1-IFERROR(VLOOKUP(H324,Rabat!$D$10:$E$41,2,FALSE),0))</f>
        <v>36.5</v>
      </c>
      <c r="K324">
        <v>0.15</v>
      </c>
      <c r="L324" t="s">
        <v>1789</v>
      </c>
      <c r="M324" t="s">
        <v>2123</v>
      </c>
      <c r="N324" t="s">
        <v>2033</v>
      </c>
      <c r="O324" t="s">
        <v>1776</v>
      </c>
      <c r="P324">
        <v>18</v>
      </c>
      <c r="Q324">
        <v>360</v>
      </c>
      <c r="R324" t="s">
        <v>1777</v>
      </c>
      <c r="S324" s="42" t="str">
        <f>HYPERLINK("https://sklep.kobi.pl/produkt/led-hermetic-1x60")</f>
        <v>https://sklep.kobi.pl/produkt/led-hermetic-1x60</v>
      </c>
      <c r="T324" t="s">
        <v>71</v>
      </c>
      <c r="U324">
        <v>0.31900000000000001</v>
      </c>
      <c r="V324">
        <v>0.41299999999999998</v>
      </c>
      <c r="W324">
        <v>60</v>
      </c>
      <c r="X324">
        <v>705</v>
      </c>
      <c r="Y324">
        <v>75</v>
      </c>
      <c r="Z324" t="s">
        <v>1778</v>
      </c>
      <c r="AA324"/>
    </row>
    <row r="325" spans="1:27" ht="15" x14ac:dyDescent="0.25">
      <c r="A325" t="s">
        <v>5</v>
      </c>
      <c r="B325" t="s">
        <v>289</v>
      </c>
      <c r="C325"/>
      <c r="D325" t="s">
        <v>69</v>
      </c>
      <c r="E325" t="s">
        <v>71</v>
      </c>
      <c r="F325" t="s">
        <v>406</v>
      </c>
      <c r="G325" t="s">
        <v>407</v>
      </c>
      <c r="H325" t="s">
        <v>52</v>
      </c>
      <c r="I325" s="41">
        <v>45.85</v>
      </c>
      <c r="J325" s="40">
        <f>I325*(1-IFERROR(VLOOKUP(H325,Rabat!$D$10:$E$41,2,FALSE),0))</f>
        <v>45.85</v>
      </c>
      <c r="K325">
        <v>0.26</v>
      </c>
      <c r="L325" t="s">
        <v>1789</v>
      </c>
      <c r="M325" t="s">
        <v>2124</v>
      </c>
      <c r="N325" t="s">
        <v>2033</v>
      </c>
      <c r="O325" t="s">
        <v>1776</v>
      </c>
      <c r="P325">
        <v>12</v>
      </c>
      <c r="Q325">
        <v>216</v>
      </c>
      <c r="R325" t="s">
        <v>1777</v>
      </c>
      <c r="S325" s="42" t="str">
        <f>HYPERLINK("https://sklep.kobi.pl/produkt/led-hermetic-1x120")</f>
        <v>https://sklep.kobi.pl/produkt/led-hermetic-1x120</v>
      </c>
      <c r="T325" t="s">
        <v>71</v>
      </c>
      <c r="U325">
        <v>0.56299999999999994</v>
      </c>
      <c r="V325">
        <v>0.70199999999999996</v>
      </c>
      <c r="W325">
        <v>60</v>
      </c>
      <c r="X325">
        <v>1308</v>
      </c>
      <c r="Y325">
        <v>75</v>
      </c>
      <c r="Z325" t="s">
        <v>1778</v>
      </c>
      <c r="AA325"/>
    </row>
    <row r="326" spans="1:27" ht="15" x14ac:dyDescent="0.25">
      <c r="A326" t="s">
        <v>5</v>
      </c>
      <c r="B326" t="s">
        <v>289</v>
      </c>
      <c r="C326"/>
      <c r="D326" t="s">
        <v>69</v>
      </c>
      <c r="E326" t="s">
        <v>71</v>
      </c>
      <c r="F326" t="s">
        <v>408</v>
      </c>
      <c r="G326" t="s">
        <v>409</v>
      </c>
      <c r="H326" t="s">
        <v>52</v>
      </c>
      <c r="I326" s="41">
        <v>55.94</v>
      </c>
      <c r="J326" s="40">
        <f>I326*(1-IFERROR(VLOOKUP(H326,Rabat!$D$10:$E$41,2,FALSE),0))</f>
        <v>55.94</v>
      </c>
      <c r="K326">
        <v>0.31</v>
      </c>
      <c r="L326" t="s">
        <v>1789</v>
      </c>
      <c r="M326" t="s">
        <v>2125</v>
      </c>
      <c r="N326" t="s">
        <v>2033</v>
      </c>
      <c r="O326" t="s">
        <v>1776</v>
      </c>
      <c r="P326">
        <v>12</v>
      </c>
      <c r="Q326">
        <v>180</v>
      </c>
      <c r="R326" t="s">
        <v>1777</v>
      </c>
      <c r="S326" s="42" t="str">
        <f>HYPERLINK("https://sklep.kobi.pl/produkt/led-hermetic-1x150")</f>
        <v>https://sklep.kobi.pl/produkt/led-hermetic-1x150</v>
      </c>
      <c r="T326" t="s">
        <v>71</v>
      </c>
      <c r="U326">
        <v>0.67700000000000005</v>
      </c>
      <c r="V326">
        <v>0.84299999999999997</v>
      </c>
      <c r="W326">
        <v>63</v>
      </c>
      <c r="X326">
        <v>1615</v>
      </c>
      <c r="Y326">
        <v>70</v>
      </c>
      <c r="Z326" t="s">
        <v>1778</v>
      </c>
      <c r="AA326"/>
    </row>
    <row r="327" spans="1:27" ht="15" x14ac:dyDescent="0.25">
      <c r="A327" t="s">
        <v>5</v>
      </c>
      <c r="B327" t="s">
        <v>289</v>
      </c>
      <c r="C327"/>
      <c r="D327" t="s">
        <v>69</v>
      </c>
      <c r="E327" t="s">
        <v>71</v>
      </c>
      <c r="F327" t="s">
        <v>400</v>
      </c>
      <c r="G327" t="s">
        <v>401</v>
      </c>
      <c r="H327" t="s">
        <v>52</v>
      </c>
      <c r="I327" s="41">
        <v>55.4</v>
      </c>
      <c r="J327" s="40">
        <f>I327*(1-IFERROR(VLOOKUP(H327,Rabat!$D$10:$E$41,2,FALSE),0))</f>
        <v>55.4</v>
      </c>
      <c r="K327">
        <v>0.34</v>
      </c>
      <c r="L327" t="s">
        <v>1789</v>
      </c>
      <c r="M327" t="s">
        <v>2126</v>
      </c>
      <c r="N327" t="s">
        <v>2033</v>
      </c>
      <c r="O327" t="s">
        <v>1776</v>
      </c>
      <c r="P327">
        <v>10</v>
      </c>
      <c r="Q327">
        <v>150</v>
      </c>
      <c r="R327" t="s">
        <v>1777</v>
      </c>
      <c r="S327" s="42" t="str">
        <f>HYPERLINK("https://sklep.kobi.pl/produkt/led-hermetic-2x120")</f>
        <v>https://sklep.kobi.pl/produkt/led-hermetic-2x120</v>
      </c>
      <c r="T327" t="s">
        <v>71</v>
      </c>
      <c r="U327">
        <v>0.74199999999999999</v>
      </c>
      <c r="V327">
        <v>0.91400000000000003</v>
      </c>
      <c r="W327">
        <v>59</v>
      </c>
      <c r="X327">
        <v>1305</v>
      </c>
      <c r="Y327">
        <v>120</v>
      </c>
      <c r="Z327" t="s">
        <v>1778</v>
      </c>
      <c r="AA327"/>
    </row>
    <row r="328" spans="1:27" ht="15" x14ac:dyDescent="0.25">
      <c r="A328" t="s">
        <v>5</v>
      </c>
      <c r="B328" t="s">
        <v>289</v>
      </c>
      <c r="C328"/>
      <c r="D328" t="s">
        <v>69</v>
      </c>
      <c r="E328" t="s">
        <v>71</v>
      </c>
      <c r="F328" t="s">
        <v>410</v>
      </c>
      <c r="G328" t="s">
        <v>411</v>
      </c>
      <c r="H328" t="s">
        <v>52</v>
      </c>
      <c r="I328" s="41">
        <v>73.98</v>
      </c>
      <c r="J328" s="40">
        <f>I328*(1-IFERROR(VLOOKUP(H328,Rabat!$D$10:$E$41,2,FALSE),0))</f>
        <v>73.98</v>
      </c>
      <c r="K328">
        <v>0.44</v>
      </c>
      <c r="L328" t="s">
        <v>1789</v>
      </c>
      <c r="M328" t="s">
        <v>2127</v>
      </c>
      <c r="N328" t="s">
        <v>2033</v>
      </c>
      <c r="O328" t="s">
        <v>1776</v>
      </c>
      <c r="P328">
        <v>8</v>
      </c>
      <c r="Q328">
        <v>120</v>
      </c>
      <c r="R328" t="s">
        <v>1777</v>
      </c>
      <c r="S328" s="42" t="str">
        <f>HYPERLINK("https://sklep.kobi.pl/produkt/led-hermetic-2x150")</f>
        <v>https://sklep.kobi.pl/produkt/led-hermetic-2x150</v>
      </c>
      <c r="T328" t="s">
        <v>71</v>
      </c>
      <c r="U328">
        <v>0.97299999999999998</v>
      </c>
      <c r="V328">
        <v>1.234</v>
      </c>
      <c r="W328">
        <v>60</v>
      </c>
      <c r="X328">
        <v>1594</v>
      </c>
      <c r="Y328">
        <v>120</v>
      </c>
      <c r="Z328" t="s">
        <v>1778</v>
      </c>
      <c r="AA328"/>
    </row>
    <row r="329" spans="1:27" ht="15" x14ac:dyDescent="0.25">
      <c r="A329" t="s">
        <v>5</v>
      </c>
      <c r="B329" t="s">
        <v>289</v>
      </c>
      <c r="C329"/>
      <c r="D329" t="s">
        <v>69</v>
      </c>
      <c r="E329" t="s">
        <v>71</v>
      </c>
      <c r="F329" t="s">
        <v>404</v>
      </c>
      <c r="G329" t="s">
        <v>405</v>
      </c>
      <c r="H329" t="s">
        <v>52</v>
      </c>
      <c r="I329" s="41">
        <v>40.159999999999997</v>
      </c>
      <c r="J329" s="40">
        <f>I329*(1-IFERROR(VLOOKUP(H329,Rabat!$D$10:$E$41,2,FALSE),0))</f>
        <v>40.159999999999997</v>
      </c>
      <c r="K329">
        <v>0.21</v>
      </c>
      <c r="L329" t="s">
        <v>1789</v>
      </c>
      <c r="M329" t="s">
        <v>2128</v>
      </c>
      <c r="N329" t="s">
        <v>2033</v>
      </c>
      <c r="O329" t="s">
        <v>1776</v>
      </c>
      <c r="P329">
        <v>10</v>
      </c>
      <c r="Q329">
        <v>250</v>
      </c>
      <c r="R329" t="s">
        <v>1777</v>
      </c>
      <c r="S329" s="42" t="str">
        <f>HYPERLINK("https://sklep.kobi.pl/produkt/led-hermetic-2x60")</f>
        <v>https://sklep.kobi.pl/produkt/led-hermetic-2x60</v>
      </c>
      <c r="T329" t="s">
        <v>71</v>
      </c>
      <c r="U329">
        <v>0.45200000000000001</v>
      </c>
      <c r="V329">
        <v>0.54800000000000004</v>
      </c>
      <c r="W329">
        <v>60</v>
      </c>
      <c r="X329">
        <v>695</v>
      </c>
      <c r="Y329">
        <v>115</v>
      </c>
      <c r="Z329" t="s">
        <v>1778</v>
      </c>
      <c r="AA329"/>
    </row>
    <row r="330" spans="1:27" ht="15" x14ac:dyDescent="0.25">
      <c r="A330" t="s">
        <v>5</v>
      </c>
      <c r="B330" t="s">
        <v>289</v>
      </c>
      <c r="C330"/>
      <c r="D330" t="s">
        <v>69</v>
      </c>
      <c r="E330" t="s">
        <v>71</v>
      </c>
      <c r="F330" t="s">
        <v>290</v>
      </c>
      <c r="G330" t="s">
        <v>291</v>
      </c>
      <c r="H330" t="s">
        <v>52</v>
      </c>
      <c r="I330" s="41">
        <v>66.790000000000006</v>
      </c>
      <c r="J330" s="40">
        <f>I330*(1-IFERROR(VLOOKUP(H330,Rabat!$D$10:$E$41,2,FALSE),0))</f>
        <v>66.790000000000006</v>
      </c>
      <c r="K330">
        <v>0.43</v>
      </c>
      <c r="L330" t="s">
        <v>1789</v>
      </c>
      <c r="M330" t="s">
        <v>2129</v>
      </c>
      <c r="N330" t="s">
        <v>2033</v>
      </c>
      <c r="O330" t="s">
        <v>1776</v>
      </c>
      <c r="P330">
        <v>8</v>
      </c>
      <c r="Q330">
        <v>192</v>
      </c>
      <c r="R330" t="s">
        <v>1777</v>
      </c>
      <c r="S330" s="42" t="str">
        <f>HYPERLINK("https://sklep.kobi.pl/produkt/led-hermic-1x120")</f>
        <v>https://sklep.kobi.pl/produkt/led-hermic-1x120</v>
      </c>
      <c r="T330" t="s">
        <v>71</v>
      </c>
      <c r="U330">
        <v>0.95</v>
      </c>
      <c r="V330">
        <v>1.129</v>
      </c>
      <c r="W330">
        <v>60</v>
      </c>
      <c r="X330">
        <v>1265</v>
      </c>
      <c r="Y330">
        <v>95</v>
      </c>
      <c r="Z330" t="s">
        <v>1778</v>
      </c>
      <c r="AA330"/>
    </row>
    <row r="331" spans="1:27" ht="15" x14ac:dyDescent="0.25">
      <c r="A331" t="s">
        <v>5</v>
      </c>
      <c r="B331" t="s">
        <v>289</v>
      </c>
      <c r="C331"/>
      <c r="D331" t="s">
        <v>69</v>
      </c>
      <c r="E331" t="s">
        <v>149</v>
      </c>
      <c r="F331" t="s">
        <v>978</v>
      </c>
      <c r="G331" t="s">
        <v>979</v>
      </c>
      <c r="H331" t="s">
        <v>52</v>
      </c>
      <c r="I331" s="41">
        <v>112</v>
      </c>
      <c r="J331" s="40">
        <f>I331*(1-IFERROR(VLOOKUP(H331,Rabat!$D$10:$E$41,2,FALSE),0))</f>
        <v>112</v>
      </c>
      <c r="K331">
        <v>0.54</v>
      </c>
      <c r="L331" t="s">
        <v>1789</v>
      </c>
      <c r="M331" t="s">
        <v>2130</v>
      </c>
      <c r="N331" t="s">
        <v>2033</v>
      </c>
      <c r="O331" t="s">
        <v>1776</v>
      </c>
      <c r="P331">
        <v>8</v>
      </c>
      <c r="Q331">
        <v>128</v>
      </c>
      <c r="R331" t="s">
        <v>1777</v>
      </c>
      <c r="S331" s="42" t="str">
        <f>HYPERLINK("https://sklep.kobi.pl/produkt/hermic-1x150")</f>
        <v>https://sklep.kobi.pl/produkt/hermic-1x150</v>
      </c>
      <c r="T331" t="s">
        <v>71</v>
      </c>
      <c r="U331">
        <v>1.181</v>
      </c>
      <c r="V331">
        <v>1.5</v>
      </c>
      <c r="W331">
        <v>1580</v>
      </c>
      <c r="X331">
        <v>100</v>
      </c>
      <c r="Y331">
        <v>60</v>
      </c>
      <c r="Z331" t="s">
        <v>1778</v>
      </c>
      <c r="AA331"/>
    </row>
    <row r="332" spans="1:27" ht="15" x14ac:dyDescent="0.25">
      <c r="A332" t="s">
        <v>5</v>
      </c>
      <c r="B332" t="s">
        <v>289</v>
      </c>
      <c r="C332"/>
      <c r="D332" t="s">
        <v>69</v>
      </c>
      <c r="E332" t="s">
        <v>149</v>
      </c>
      <c r="F332" t="s">
        <v>976</v>
      </c>
      <c r="G332" t="s">
        <v>977</v>
      </c>
      <c r="H332" t="s">
        <v>52</v>
      </c>
      <c r="I332" s="41">
        <v>77.19</v>
      </c>
      <c r="J332" s="40">
        <f>I332*(1-IFERROR(VLOOKUP(H332,Rabat!$D$10:$E$41,2,FALSE),0))</f>
        <v>77.19</v>
      </c>
      <c r="K332">
        <v>0.31</v>
      </c>
      <c r="L332" t="s">
        <v>1789</v>
      </c>
      <c r="M332" t="s">
        <v>2131</v>
      </c>
      <c r="N332" t="s">
        <v>2033</v>
      </c>
      <c r="O332" t="s">
        <v>1776</v>
      </c>
      <c r="P332">
        <v>8</v>
      </c>
      <c r="Q332">
        <v>240</v>
      </c>
      <c r="R332" t="s">
        <v>1777</v>
      </c>
      <c r="S332" s="42" t="str">
        <f>HYPERLINK("https://sklep.kobi.pl/produkt/hermic-2x60")</f>
        <v>https://sklep.kobi.pl/produkt/hermic-2x60</v>
      </c>
      <c r="T332" t="s">
        <v>71</v>
      </c>
      <c r="U332">
        <v>0.67800000000000005</v>
      </c>
      <c r="V332">
        <v>0.7</v>
      </c>
      <c r="W332">
        <v>650</v>
      </c>
      <c r="X332">
        <v>150</v>
      </c>
      <c r="Y332">
        <v>50</v>
      </c>
      <c r="Z332" t="s">
        <v>1778</v>
      </c>
      <c r="AA332"/>
    </row>
    <row r="333" spans="1:27" ht="15" x14ac:dyDescent="0.25">
      <c r="A333" t="s">
        <v>5</v>
      </c>
      <c r="B333" t="s">
        <v>289</v>
      </c>
      <c r="C333"/>
      <c r="D333" t="s">
        <v>69</v>
      </c>
      <c r="E333" t="s">
        <v>71</v>
      </c>
      <c r="F333" t="s">
        <v>292</v>
      </c>
      <c r="G333" t="s">
        <v>293</v>
      </c>
      <c r="H333" t="s">
        <v>52</v>
      </c>
      <c r="I333" s="41">
        <v>77</v>
      </c>
      <c r="J333" s="40">
        <f>I333*(1-IFERROR(VLOOKUP(H333,Rabat!$D$10:$E$41,2,FALSE),0))</f>
        <v>77</v>
      </c>
      <c r="K333">
        <v>0.59</v>
      </c>
      <c r="L333" t="s">
        <v>1789</v>
      </c>
      <c r="M333" t="s">
        <v>2132</v>
      </c>
      <c r="N333" t="s">
        <v>2033</v>
      </c>
      <c r="O333" t="s">
        <v>1776</v>
      </c>
      <c r="P333">
        <v>6</v>
      </c>
      <c r="Q333">
        <v>144</v>
      </c>
      <c r="R333" t="s">
        <v>1777</v>
      </c>
      <c r="S333" s="42" t="str">
        <f>HYPERLINK("https://sklep.kobi.pl/produkt/led-hermic-2x120")</f>
        <v>https://sklep.kobi.pl/produkt/led-hermic-2x120</v>
      </c>
      <c r="T333" t="s">
        <v>71</v>
      </c>
      <c r="U333">
        <v>1.2929999999999999</v>
      </c>
      <c r="V333">
        <v>1.42</v>
      </c>
      <c r="W333">
        <v>60</v>
      </c>
      <c r="X333">
        <v>1265</v>
      </c>
      <c r="Y333">
        <v>130</v>
      </c>
      <c r="Z333" t="s">
        <v>1778</v>
      </c>
      <c r="AA333"/>
    </row>
    <row r="334" spans="1:27" ht="15" x14ac:dyDescent="0.25">
      <c r="A334" t="s">
        <v>5</v>
      </c>
      <c r="B334" t="s">
        <v>289</v>
      </c>
      <c r="C334" t="s">
        <v>257</v>
      </c>
      <c r="D334" t="s">
        <v>69</v>
      </c>
      <c r="E334" t="s">
        <v>71</v>
      </c>
      <c r="F334" t="s">
        <v>552</v>
      </c>
      <c r="G334" t="s">
        <v>553</v>
      </c>
      <c r="H334" t="s">
        <v>6</v>
      </c>
      <c r="I334" s="41">
        <v>161</v>
      </c>
      <c r="J334" s="40">
        <f>I334*(1-IFERROR(VLOOKUP(H334,Rabat!$D$10:$E$41,2,FALSE),0))</f>
        <v>161</v>
      </c>
      <c r="K334">
        <v>0.46</v>
      </c>
      <c r="L334" t="s">
        <v>1773</v>
      </c>
      <c r="M334" t="s">
        <v>2133</v>
      </c>
      <c r="N334" t="s">
        <v>2033</v>
      </c>
      <c r="O334" t="s">
        <v>1776</v>
      </c>
      <c r="P334">
        <v>10</v>
      </c>
      <c r="Q334">
        <v>240</v>
      </c>
      <c r="R334" t="s">
        <v>1820</v>
      </c>
      <c r="S334" s="42" t="str">
        <f>HYPERLINK("https://sklep.kobi.pl/produkt/oprawa-led-cortez-2-60w-4000k-5400lm-120")</f>
        <v>https://sklep.kobi.pl/produkt/oprawa-led-cortez-2-60w-4000k-5400lm-120</v>
      </c>
      <c r="T334" s="42" t="str">
        <f>HYPERLINK("https://eprel.ec.europa.eu/qr/930100         ")</f>
        <v xml:space="preserve">https://eprel.ec.europa.eu/qr/930100         </v>
      </c>
      <c r="U334">
        <v>0.54</v>
      </c>
      <c r="V334">
        <v>0.56699999999999995</v>
      </c>
      <c r="W334">
        <v>1200</v>
      </c>
      <c r="X334">
        <v>80</v>
      </c>
      <c r="Y334">
        <v>50</v>
      </c>
      <c r="Z334" t="s">
        <v>1778</v>
      </c>
      <c r="AA334"/>
    </row>
    <row r="335" spans="1:27" ht="15" x14ac:dyDescent="0.25">
      <c r="A335" t="s">
        <v>5</v>
      </c>
      <c r="B335" t="s">
        <v>289</v>
      </c>
      <c r="C335" t="s">
        <v>257</v>
      </c>
      <c r="D335" t="s">
        <v>69</v>
      </c>
      <c r="E335" t="s">
        <v>71</v>
      </c>
      <c r="F335" t="s">
        <v>966</v>
      </c>
      <c r="G335" t="s">
        <v>967</v>
      </c>
      <c r="H335" t="s">
        <v>6</v>
      </c>
      <c r="I335" s="41">
        <v>77.08</v>
      </c>
      <c r="J335" s="40">
        <f>I335*(1-IFERROR(VLOOKUP(H335,Rabat!$D$10:$E$41,2,FALSE),0))</f>
        <v>77.08</v>
      </c>
      <c r="K335">
        <v>0.14000000000000001</v>
      </c>
      <c r="L335" t="s">
        <v>1773</v>
      </c>
      <c r="M335" t="s">
        <v>2134</v>
      </c>
      <c r="N335" t="s">
        <v>2033</v>
      </c>
      <c r="O335" t="s">
        <v>1776</v>
      </c>
      <c r="P335">
        <v>20</v>
      </c>
      <c r="Q335">
        <v>600</v>
      </c>
      <c r="R335" t="s">
        <v>1820</v>
      </c>
      <c r="S335" s="42" t="str">
        <f>HYPERLINK("https://sklep.kobi.pl/produkt/led-cortez-3-18w-4000k")</f>
        <v>https://sklep.kobi.pl/produkt/led-cortez-3-18w-4000k</v>
      </c>
      <c r="T335" s="42" t="str">
        <f>HYPERLINK("https://eprel.ec.europa.eu/qr/930183         ")</f>
        <v xml:space="preserve">https://eprel.ec.europa.eu/qr/930183         </v>
      </c>
      <c r="U335">
        <v>0.17</v>
      </c>
      <c r="V335">
        <v>0.222</v>
      </c>
      <c r="W335">
        <v>640</v>
      </c>
      <c r="X335">
        <v>40</v>
      </c>
      <c r="Y335">
        <v>65</v>
      </c>
      <c r="Z335" t="s">
        <v>1778</v>
      </c>
      <c r="AA335"/>
    </row>
    <row r="336" spans="1:27" ht="15" x14ac:dyDescent="0.25">
      <c r="A336" t="s">
        <v>5</v>
      </c>
      <c r="B336" t="s">
        <v>289</v>
      </c>
      <c r="C336" t="s">
        <v>257</v>
      </c>
      <c r="D336" t="s">
        <v>69</v>
      </c>
      <c r="E336" t="s">
        <v>71</v>
      </c>
      <c r="F336" t="s">
        <v>968</v>
      </c>
      <c r="G336" t="s">
        <v>969</v>
      </c>
      <c r="H336" t="s">
        <v>6</v>
      </c>
      <c r="I336" s="41">
        <v>84.88</v>
      </c>
      <c r="J336" s="40">
        <f>I336*(1-IFERROR(VLOOKUP(H336,Rabat!$D$10:$E$41,2,FALSE),0))</f>
        <v>84.88</v>
      </c>
      <c r="K336">
        <v>0.23</v>
      </c>
      <c r="L336" t="s">
        <v>1773</v>
      </c>
      <c r="M336" t="s">
        <v>2135</v>
      </c>
      <c r="N336" t="s">
        <v>2033</v>
      </c>
      <c r="O336" t="s">
        <v>1776</v>
      </c>
      <c r="P336">
        <v>20</v>
      </c>
      <c r="Q336">
        <v>360</v>
      </c>
      <c r="R336" t="s">
        <v>1820</v>
      </c>
      <c r="S336" s="42" t="str">
        <f>HYPERLINK("https://sklep.kobi.pl/produkt/led-cortez-3-36w-4000k")</f>
        <v>https://sklep.kobi.pl/produkt/led-cortez-3-36w-4000k</v>
      </c>
      <c r="T336" s="42" t="str">
        <f>HYPERLINK("https://eprel.ec.europa.eu/qr/932906         ")</f>
        <v xml:space="preserve">https://eprel.ec.europa.eu/qr/932906         </v>
      </c>
      <c r="U336">
        <v>0.27</v>
      </c>
      <c r="V336">
        <v>0.45</v>
      </c>
      <c r="W336">
        <v>1230</v>
      </c>
      <c r="X336">
        <v>65</v>
      </c>
      <c r="Y336">
        <v>40</v>
      </c>
      <c r="Z336" t="s">
        <v>1778</v>
      </c>
      <c r="AA336"/>
    </row>
    <row r="337" spans="1:27" ht="15" x14ac:dyDescent="0.25">
      <c r="A337" t="s">
        <v>5</v>
      </c>
      <c r="B337" t="s">
        <v>289</v>
      </c>
      <c r="C337" t="s">
        <v>257</v>
      </c>
      <c r="D337" t="s">
        <v>69</v>
      </c>
      <c r="E337" t="s">
        <v>71</v>
      </c>
      <c r="F337" t="s">
        <v>1240</v>
      </c>
      <c r="G337" t="s">
        <v>1241</v>
      </c>
      <c r="H337" t="s">
        <v>6</v>
      </c>
      <c r="I337" s="41">
        <v>97.71</v>
      </c>
      <c r="J337" s="40">
        <f>I337*(1-IFERROR(VLOOKUP(H337,Rabat!$D$10:$E$41,2,FALSE),0))</f>
        <v>97.71</v>
      </c>
      <c r="K337">
        <v>0.34</v>
      </c>
      <c r="L337" t="s">
        <v>1773</v>
      </c>
      <c r="M337" t="s">
        <v>2136</v>
      </c>
      <c r="N337" t="s">
        <v>2033</v>
      </c>
      <c r="O337" t="s">
        <v>1776</v>
      </c>
      <c r="P337">
        <v>20</v>
      </c>
      <c r="Q337">
        <v>0</v>
      </c>
      <c r="R337" t="s">
        <v>1820</v>
      </c>
      <c r="S337" s="42" t="str">
        <f>HYPERLINK("https://sklep.kobi.pl/produkt/led-cortez-3-45w-4000k")</f>
        <v>https://sklep.kobi.pl/produkt/led-cortez-3-45w-4000k</v>
      </c>
      <c r="T337" s="42" t="str">
        <f>HYPERLINK("https://eprel.ec.europa.eu/qr/1565174        ")</f>
        <v xml:space="preserve">https://eprel.ec.europa.eu/qr/1565174        </v>
      </c>
      <c r="U337">
        <v>0.4</v>
      </c>
      <c r="V337">
        <v>0</v>
      </c>
      <c r="W337">
        <v>0</v>
      </c>
      <c r="X337">
        <v>0</v>
      </c>
      <c r="Y337">
        <v>0</v>
      </c>
      <c r="Z337" t="s">
        <v>1778</v>
      </c>
      <c r="AA337"/>
    </row>
    <row r="338" spans="1:27" ht="15" x14ac:dyDescent="0.25">
      <c r="A338" t="s">
        <v>5</v>
      </c>
      <c r="B338" t="s">
        <v>289</v>
      </c>
      <c r="C338" t="s">
        <v>257</v>
      </c>
      <c r="D338" t="s">
        <v>667</v>
      </c>
      <c r="E338" t="s">
        <v>1289</v>
      </c>
      <c r="F338" t="s">
        <v>2624</v>
      </c>
      <c r="G338" t="s">
        <v>2625</v>
      </c>
      <c r="H338" t="s">
        <v>6</v>
      </c>
      <c r="I338" s="41">
        <v>57.25</v>
      </c>
      <c r="J338" s="40">
        <f>I338*(1-IFERROR(VLOOKUP(H338,Rabat!$D$10:$E$41,2,FALSE),0))</f>
        <v>57.25</v>
      </c>
      <c r="K338">
        <v>0.21</v>
      </c>
      <c r="L338" t="s">
        <v>1789</v>
      </c>
      <c r="M338" t="s">
        <v>2645</v>
      </c>
      <c r="N338" t="s">
        <v>2033</v>
      </c>
      <c r="O338" t="s">
        <v>1776</v>
      </c>
      <c r="P338">
        <v>30</v>
      </c>
      <c r="Q338">
        <v>0</v>
      </c>
      <c r="R338" t="s">
        <v>1777</v>
      </c>
      <c r="S338" s="42" t="str">
        <f>HYPERLINK("https://sklep.kobi.pl/produkt/led-mivro-36w-4000k-led2b")</f>
        <v>https://sklep.kobi.pl/produkt/led-mivro-36w-4000k-led2b</v>
      </c>
      <c r="T338" t="s">
        <v>71</v>
      </c>
      <c r="U338">
        <v>0.25</v>
      </c>
      <c r="V338">
        <v>0</v>
      </c>
      <c r="W338">
        <v>0</v>
      </c>
      <c r="X338">
        <v>0</v>
      </c>
      <c r="Y338">
        <v>0</v>
      </c>
      <c r="Z338" t="s">
        <v>1778</v>
      </c>
      <c r="AA338"/>
    </row>
    <row r="339" spans="1:27" ht="15" x14ac:dyDescent="0.25">
      <c r="A339" t="s">
        <v>5</v>
      </c>
      <c r="B339" t="s">
        <v>289</v>
      </c>
      <c r="C339" t="s">
        <v>257</v>
      </c>
      <c r="D339" t="s">
        <v>69</v>
      </c>
      <c r="E339" t="s">
        <v>71</v>
      </c>
      <c r="F339" t="s">
        <v>690</v>
      </c>
      <c r="G339" t="s">
        <v>691</v>
      </c>
      <c r="H339" t="s">
        <v>6</v>
      </c>
      <c r="I339" s="41">
        <v>163.78</v>
      </c>
      <c r="J339" s="40">
        <f>I339*(1-IFERROR(VLOOKUP(H339,Rabat!$D$10:$E$41,2,FALSE),0))</f>
        <v>163.78</v>
      </c>
      <c r="K339">
        <v>0.86</v>
      </c>
      <c r="L339" t="s">
        <v>1779</v>
      </c>
      <c r="M339" t="s">
        <v>2137</v>
      </c>
      <c r="N339" t="s">
        <v>2033</v>
      </c>
      <c r="O339" t="s">
        <v>1776</v>
      </c>
      <c r="P339">
        <v>16</v>
      </c>
      <c r="Q339">
        <v>240</v>
      </c>
      <c r="R339" t="s">
        <v>1820</v>
      </c>
      <c r="S339" s="42" t="str">
        <f>HYPERLINK("https://sklep.kobi.pl/produkt/led-negro-36w-4000k-pl")</f>
        <v>https://sklep.kobi.pl/produkt/led-negro-36w-4000k-pl</v>
      </c>
      <c r="T339" s="42" t="str">
        <f>HYPERLINK("https://eprel.ec.europa.eu/qr/1822239        ")</f>
        <v xml:space="preserve">https://eprel.ec.europa.eu/qr/1822239        </v>
      </c>
      <c r="U339">
        <v>1.022</v>
      </c>
      <c r="V339">
        <v>1.73</v>
      </c>
      <c r="W339">
        <v>70</v>
      </c>
      <c r="X339">
        <v>50</v>
      </c>
      <c r="Y339">
        <v>1220</v>
      </c>
      <c r="Z339" t="s">
        <v>1778</v>
      </c>
      <c r="AA339"/>
    </row>
    <row r="340" spans="1:27" ht="15" x14ac:dyDescent="0.25">
      <c r="A340" t="s">
        <v>5</v>
      </c>
      <c r="B340" t="s">
        <v>289</v>
      </c>
      <c r="C340" t="s">
        <v>257</v>
      </c>
      <c r="D340" t="s">
        <v>69</v>
      </c>
      <c r="E340" t="s">
        <v>71</v>
      </c>
      <c r="F340" t="s">
        <v>692</v>
      </c>
      <c r="G340" t="s">
        <v>693</v>
      </c>
      <c r="H340" t="s">
        <v>6</v>
      </c>
      <c r="I340" s="41">
        <v>215.25</v>
      </c>
      <c r="J340" s="40">
        <f>I340*(1-IFERROR(VLOOKUP(H340,Rabat!$D$10:$E$41,2,FALSE),0))</f>
        <v>215.25</v>
      </c>
      <c r="K340">
        <v>0.86</v>
      </c>
      <c r="L340" t="s">
        <v>1779</v>
      </c>
      <c r="M340" t="s">
        <v>2138</v>
      </c>
      <c r="N340" t="s">
        <v>2033</v>
      </c>
      <c r="O340" t="s">
        <v>1776</v>
      </c>
      <c r="P340">
        <v>16</v>
      </c>
      <c r="Q340">
        <v>240</v>
      </c>
      <c r="R340" t="s">
        <v>1820</v>
      </c>
      <c r="S340" s="42" t="str">
        <f>HYPERLINK("https://sklep.kobi.pl/produkt/led-negro-36w-6000k")</f>
        <v>https://sklep.kobi.pl/produkt/led-negro-36w-6000k</v>
      </c>
      <c r="T340" s="42" t="str">
        <f>HYPERLINK("https://eprel.ec.europa.eu/qr/1822222        ")</f>
        <v xml:space="preserve">https://eprel.ec.europa.eu/qr/1822222        </v>
      </c>
      <c r="U340">
        <v>1.022</v>
      </c>
      <c r="V340">
        <v>1.73</v>
      </c>
      <c r="W340">
        <v>70</v>
      </c>
      <c r="X340">
        <v>50</v>
      </c>
      <c r="Y340">
        <v>1220</v>
      </c>
      <c r="Z340" t="s">
        <v>1778</v>
      </c>
      <c r="AA340"/>
    </row>
    <row r="341" spans="1:27" ht="15" x14ac:dyDescent="0.25">
      <c r="A341" t="s">
        <v>5</v>
      </c>
      <c r="B341" t="s">
        <v>289</v>
      </c>
      <c r="C341" t="s">
        <v>257</v>
      </c>
      <c r="D341" t="s">
        <v>69</v>
      </c>
      <c r="E341" t="s">
        <v>71</v>
      </c>
      <c r="F341" t="s">
        <v>1244</v>
      </c>
      <c r="G341" t="s">
        <v>1245</v>
      </c>
      <c r="H341" t="s">
        <v>52</v>
      </c>
      <c r="I341" s="41">
        <v>63.44</v>
      </c>
      <c r="J341" s="40">
        <f>I341*(1-IFERROR(VLOOKUP(H341,Rabat!$D$10:$E$41,2,FALSE),0))</f>
        <v>63.44</v>
      </c>
      <c r="K341">
        <v>0.63</v>
      </c>
      <c r="L341" t="s">
        <v>1789</v>
      </c>
      <c r="M341" t="s">
        <v>2139</v>
      </c>
      <c r="N341" t="s">
        <v>2033</v>
      </c>
      <c r="O341" t="s">
        <v>1776</v>
      </c>
      <c r="P341">
        <v>12</v>
      </c>
      <c r="Q341">
        <v>0</v>
      </c>
      <c r="R341" t="s">
        <v>1777</v>
      </c>
      <c r="S341" s="42" t="str">
        <f>HYPERLINK("https://sklep.kobi.pl/produkt/zestaw-hermetic-1x120-led-t8-18w-4000k")</f>
        <v>https://sklep.kobi.pl/produkt/zestaw-hermetic-1x120-led-t8-18w-4000k</v>
      </c>
      <c r="T341" t="s">
        <v>71</v>
      </c>
      <c r="U341">
        <v>0.74</v>
      </c>
      <c r="V341">
        <v>0.85</v>
      </c>
      <c r="W341">
        <v>1300</v>
      </c>
      <c r="X341">
        <v>70</v>
      </c>
      <c r="Y341">
        <v>50</v>
      </c>
      <c r="Z341" t="s">
        <v>1778</v>
      </c>
      <c r="AA341"/>
    </row>
    <row r="342" spans="1:27" ht="15" x14ac:dyDescent="0.25">
      <c r="A342" t="s">
        <v>5</v>
      </c>
      <c r="B342" t="s">
        <v>289</v>
      </c>
      <c r="C342" t="s">
        <v>257</v>
      </c>
      <c r="D342" t="s">
        <v>69</v>
      </c>
      <c r="E342" t="s">
        <v>71</v>
      </c>
      <c r="F342" t="s">
        <v>1242</v>
      </c>
      <c r="G342" t="s">
        <v>1243</v>
      </c>
      <c r="H342" t="s">
        <v>52</v>
      </c>
      <c r="I342" s="41">
        <v>66.69</v>
      </c>
      <c r="J342" s="40">
        <f>I342*(1-IFERROR(VLOOKUP(H342,Rabat!$D$10:$E$41,2,FALSE),0))</f>
        <v>66.69</v>
      </c>
      <c r="K342">
        <v>0.52</v>
      </c>
      <c r="L342" t="s">
        <v>1789</v>
      </c>
      <c r="M342" t="s">
        <v>2140</v>
      </c>
      <c r="N342" t="s">
        <v>2033</v>
      </c>
      <c r="O342" t="s">
        <v>1776</v>
      </c>
      <c r="P342">
        <v>10</v>
      </c>
      <c r="Q342">
        <v>0</v>
      </c>
      <c r="R342" t="s">
        <v>1777</v>
      </c>
      <c r="S342" s="42" t="str">
        <f>HYPERLINK("https://sklep.kobi.pl/produkt/zestaw-hermetic-2x60-led-t8-9w-4000k")</f>
        <v>https://sklep.kobi.pl/produkt/zestaw-hermetic-2x60-led-t8-9w-4000k</v>
      </c>
      <c r="T342" t="s">
        <v>71</v>
      </c>
      <c r="U342">
        <v>0.61</v>
      </c>
      <c r="V342">
        <v>0.71</v>
      </c>
      <c r="W342">
        <v>60</v>
      </c>
      <c r="X342">
        <v>695</v>
      </c>
      <c r="Y342">
        <v>115</v>
      </c>
      <c r="Z342" t="s">
        <v>1778</v>
      </c>
      <c r="AA342"/>
    </row>
    <row r="343" spans="1:27" ht="15" x14ac:dyDescent="0.25">
      <c r="A343" t="s">
        <v>5</v>
      </c>
      <c r="B343" t="s">
        <v>289</v>
      </c>
      <c r="C343" t="s">
        <v>257</v>
      </c>
      <c r="D343" t="s">
        <v>69</v>
      </c>
      <c r="E343" t="s">
        <v>71</v>
      </c>
      <c r="F343" t="s">
        <v>1080</v>
      </c>
      <c r="G343" t="s">
        <v>1081</v>
      </c>
      <c r="H343" t="s">
        <v>52</v>
      </c>
      <c r="I343" s="41">
        <v>88.76</v>
      </c>
      <c r="J343" s="40">
        <f>I343*(1-IFERROR(VLOOKUP(H343,Rabat!$D$10:$E$41,2,FALSE),0))</f>
        <v>88.76</v>
      </c>
      <c r="K343">
        <v>0.93</v>
      </c>
      <c r="L343" t="s">
        <v>1789</v>
      </c>
      <c r="M343" t="s">
        <v>2141</v>
      </c>
      <c r="N343" t="s">
        <v>2033</v>
      </c>
      <c r="O343" t="s">
        <v>1776</v>
      </c>
      <c r="P343">
        <v>10</v>
      </c>
      <c r="Q343">
        <v>150</v>
      </c>
      <c r="R343" t="s">
        <v>1777</v>
      </c>
      <c r="S343" s="42" t="str">
        <f>HYPERLINK("https://sklep.kobi.pl/produkt/zestaw-hermetic-2x120-led-t8-18w-4000k")</f>
        <v>https://sklep.kobi.pl/produkt/zestaw-hermetic-2x120-led-t8-18w-4000k</v>
      </c>
      <c r="T343" t="s">
        <v>71</v>
      </c>
      <c r="U343">
        <v>1.095</v>
      </c>
      <c r="V343">
        <v>1.2969999999999999</v>
      </c>
      <c r="W343">
        <v>1300</v>
      </c>
      <c r="X343">
        <v>115</v>
      </c>
      <c r="Y343">
        <v>50</v>
      </c>
      <c r="Z343" t="s">
        <v>1778</v>
      </c>
      <c r="AA343"/>
    </row>
    <row r="344" spans="1:27" ht="15" x14ac:dyDescent="0.25">
      <c r="A344" t="s">
        <v>5</v>
      </c>
      <c r="B344" t="s">
        <v>289</v>
      </c>
      <c r="C344" t="s">
        <v>257</v>
      </c>
      <c r="D344" t="s">
        <v>69</v>
      </c>
      <c r="E344" t="s">
        <v>71</v>
      </c>
      <c r="F344" t="s">
        <v>1047</v>
      </c>
      <c r="G344" t="s">
        <v>1048</v>
      </c>
      <c r="H344" t="s">
        <v>52</v>
      </c>
      <c r="I344" s="41">
        <v>88.76</v>
      </c>
      <c r="J344" s="40">
        <f>I344*(1-IFERROR(VLOOKUP(H344,Rabat!$D$10:$E$41,2,FALSE),0))</f>
        <v>88.76</v>
      </c>
      <c r="K344">
        <v>0.93</v>
      </c>
      <c r="L344" t="s">
        <v>1789</v>
      </c>
      <c r="M344" t="s">
        <v>2142</v>
      </c>
      <c r="N344" t="s">
        <v>2033</v>
      </c>
      <c r="O344" t="s">
        <v>1776</v>
      </c>
      <c r="P344">
        <v>10</v>
      </c>
      <c r="Q344">
        <v>150</v>
      </c>
      <c r="R344" t="s">
        <v>1777</v>
      </c>
      <c r="S344" s="42" t="str">
        <f>HYPERLINK("https://sklep.kobi.pl/produkt/zestaw-hermetic-2x120-led-t8-18w-6500k")</f>
        <v>https://sklep.kobi.pl/produkt/zestaw-hermetic-2x120-led-t8-18w-6500k</v>
      </c>
      <c r="T344" t="s">
        <v>71</v>
      </c>
      <c r="U344">
        <v>1.095</v>
      </c>
      <c r="V344">
        <v>1.2969999999999999</v>
      </c>
      <c r="W344">
        <v>1300</v>
      </c>
      <c r="X344">
        <v>115</v>
      </c>
      <c r="Y344">
        <v>50</v>
      </c>
      <c r="Z344" t="s">
        <v>1778</v>
      </c>
      <c r="AA344"/>
    </row>
    <row r="345" spans="1:27" ht="15" x14ac:dyDescent="0.25">
      <c r="A345" t="s">
        <v>5</v>
      </c>
      <c r="B345" t="s">
        <v>712</v>
      </c>
      <c r="C345" t="s">
        <v>257</v>
      </c>
      <c r="D345" t="s">
        <v>741</v>
      </c>
      <c r="E345" t="s">
        <v>71</v>
      </c>
      <c r="F345" t="s">
        <v>1292</v>
      </c>
      <c r="G345" t="s">
        <v>1293</v>
      </c>
      <c r="H345" t="s">
        <v>6</v>
      </c>
      <c r="I345" s="41">
        <v>342</v>
      </c>
      <c r="J345" s="40">
        <f>I345*(1-IFERROR(VLOOKUP(H345,Rabat!$D$10:$E$41,2,FALSE),0))</f>
        <v>342</v>
      </c>
      <c r="K345">
        <v>1.61</v>
      </c>
      <c r="L345" t="s">
        <v>1779</v>
      </c>
      <c r="M345" t="s">
        <v>2143</v>
      </c>
      <c r="N345" t="s">
        <v>2000</v>
      </c>
      <c r="O345" t="s">
        <v>1776</v>
      </c>
      <c r="P345">
        <v>5</v>
      </c>
      <c r="Q345">
        <v>0</v>
      </c>
      <c r="R345" t="s">
        <v>1955</v>
      </c>
      <c r="S345" s="42" t="str">
        <f>HYPERLINK("https://sklep.kobi.pl/produkt/led-kobi-seul-100w-4000k")</f>
        <v>https://sklep.kobi.pl/produkt/led-kobi-seul-100w-4000k</v>
      </c>
      <c r="T345" s="42" t="str">
        <f>HYPERLINK("https://eprel.ec.europa.eu/qr/1690329        ")</f>
        <v xml:space="preserve">https://eprel.ec.europa.eu/qr/1690329        </v>
      </c>
      <c r="U345">
        <v>1.9</v>
      </c>
      <c r="V345">
        <v>1.7769999999999999</v>
      </c>
      <c r="W345">
        <v>245</v>
      </c>
      <c r="X345">
        <v>320</v>
      </c>
      <c r="Y345">
        <v>50</v>
      </c>
      <c r="Z345" t="s">
        <v>1778</v>
      </c>
      <c r="AA345"/>
    </row>
    <row r="346" spans="1:27" ht="15" x14ac:dyDescent="0.25">
      <c r="A346" t="s">
        <v>5</v>
      </c>
      <c r="B346" t="s">
        <v>712</v>
      </c>
      <c r="C346" t="s">
        <v>257</v>
      </c>
      <c r="D346" t="s">
        <v>741</v>
      </c>
      <c r="E346" t="s">
        <v>71</v>
      </c>
      <c r="F346" t="s">
        <v>1294</v>
      </c>
      <c r="G346" t="s">
        <v>1295</v>
      </c>
      <c r="H346" t="s">
        <v>6</v>
      </c>
      <c r="I346" s="41">
        <v>464</v>
      </c>
      <c r="J346" s="40">
        <f>I346*(1-IFERROR(VLOOKUP(H346,Rabat!$D$10:$E$41,2,FALSE),0))</f>
        <v>464</v>
      </c>
      <c r="K346">
        <v>2.4500000000000002</v>
      </c>
      <c r="L346" t="s">
        <v>1779</v>
      </c>
      <c r="M346" t="s">
        <v>2144</v>
      </c>
      <c r="N346" t="s">
        <v>2000</v>
      </c>
      <c r="O346" t="s">
        <v>1776</v>
      </c>
      <c r="P346">
        <v>4</v>
      </c>
      <c r="Q346">
        <v>144</v>
      </c>
      <c r="R346" t="s">
        <v>1955</v>
      </c>
      <c r="S346" s="42" t="str">
        <f>HYPERLINK("https://sklep.kobi.pl/produkt/led-kobi-seul-150w-4000k")</f>
        <v>https://sklep.kobi.pl/produkt/led-kobi-seul-150w-4000k</v>
      </c>
      <c r="T346" s="42" t="str">
        <f>HYPERLINK("https://eprel.ec.europa.eu/qr/1690405        ")</f>
        <v xml:space="preserve">https://eprel.ec.europa.eu/qr/1690405        </v>
      </c>
      <c r="U346">
        <v>2.9</v>
      </c>
      <c r="V346">
        <v>2.8109999999999999</v>
      </c>
      <c r="W346">
        <v>300</v>
      </c>
      <c r="X346">
        <v>400</v>
      </c>
      <c r="Y346">
        <v>60</v>
      </c>
      <c r="Z346" t="s">
        <v>1778</v>
      </c>
      <c r="AA346"/>
    </row>
    <row r="347" spans="1:27" ht="15" x14ac:dyDescent="0.25">
      <c r="A347" t="s">
        <v>5</v>
      </c>
      <c r="B347" t="s">
        <v>712</v>
      </c>
      <c r="C347" t="s">
        <v>257</v>
      </c>
      <c r="D347" t="s">
        <v>741</v>
      </c>
      <c r="E347" t="s">
        <v>71</v>
      </c>
      <c r="F347" t="s">
        <v>1296</v>
      </c>
      <c r="G347" t="s">
        <v>1297</v>
      </c>
      <c r="H347" t="s">
        <v>6</v>
      </c>
      <c r="I347" s="41">
        <v>504</v>
      </c>
      <c r="J347" s="40">
        <f>I347*(1-IFERROR(VLOOKUP(H347,Rabat!$D$10:$E$41,2,FALSE),0))</f>
        <v>504</v>
      </c>
      <c r="K347">
        <v>2.4500000000000002</v>
      </c>
      <c r="L347" t="s">
        <v>1779</v>
      </c>
      <c r="M347" t="s">
        <v>2145</v>
      </c>
      <c r="N347" t="s">
        <v>2000</v>
      </c>
      <c r="O347" t="s">
        <v>1776</v>
      </c>
      <c r="P347">
        <v>4</v>
      </c>
      <c r="Q347">
        <v>0</v>
      </c>
      <c r="R347" t="s">
        <v>1955</v>
      </c>
      <c r="S347" s="42" t="str">
        <f>HYPERLINK("https://sklep.kobi.pl/produkt/led-kobi-seul-200w-4000k")</f>
        <v>https://sklep.kobi.pl/produkt/led-kobi-seul-200w-4000k</v>
      </c>
      <c r="T347" s="42" t="str">
        <f>HYPERLINK("https://eprel.ec.europa.eu/qr/1690430        ")</f>
        <v xml:space="preserve">https://eprel.ec.europa.eu/qr/1690430        </v>
      </c>
      <c r="U347">
        <v>2.9</v>
      </c>
      <c r="V347">
        <v>2.915</v>
      </c>
      <c r="W347">
        <v>400</v>
      </c>
      <c r="X347">
        <v>300</v>
      </c>
      <c r="Y347">
        <v>60</v>
      </c>
      <c r="Z347" t="s">
        <v>1778</v>
      </c>
      <c r="AA347"/>
    </row>
    <row r="348" spans="1:27" ht="15" x14ac:dyDescent="0.25">
      <c r="A348" t="s">
        <v>5</v>
      </c>
      <c r="B348" t="s">
        <v>712</v>
      </c>
      <c r="C348" t="s">
        <v>257</v>
      </c>
      <c r="D348" t="s">
        <v>741</v>
      </c>
      <c r="E348" t="s">
        <v>71</v>
      </c>
      <c r="F348" t="s">
        <v>1290</v>
      </c>
      <c r="G348" t="s">
        <v>1291</v>
      </c>
      <c r="H348" t="s">
        <v>6</v>
      </c>
      <c r="I348" s="41">
        <v>213</v>
      </c>
      <c r="J348" s="40">
        <f>I348*(1-IFERROR(VLOOKUP(H348,Rabat!$D$10:$E$41,2,FALSE),0))</f>
        <v>213</v>
      </c>
      <c r="K348">
        <v>1.01</v>
      </c>
      <c r="L348" t="s">
        <v>1779</v>
      </c>
      <c r="M348" t="s">
        <v>2146</v>
      </c>
      <c r="N348" t="s">
        <v>2000</v>
      </c>
      <c r="O348" t="s">
        <v>1776</v>
      </c>
      <c r="P348">
        <v>10</v>
      </c>
      <c r="Q348">
        <v>0</v>
      </c>
      <c r="R348" t="s">
        <v>1955</v>
      </c>
      <c r="S348" s="42" t="str">
        <f>HYPERLINK("https://sklep.kobi.pl/produkt/led-kobi-seul-50w-4000k")</f>
        <v>https://sklep.kobi.pl/produkt/led-kobi-seul-50w-4000k</v>
      </c>
      <c r="T348" s="42" t="str">
        <f>HYPERLINK("https://eprel.ec.europa.eu/qr/1690198        ")</f>
        <v xml:space="preserve">https://eprel.ec.europa.eu/qr/1690198        </v>
      </c>
      <c r="U348">
        <v>1.2</v>
      </c>
      <c r="V348">
        <v>1.153</v>
      </c>
      <c r="W348">
        <v>265</v>
      </c>
      <c r="X348">
        <v>185</v>
      </c>
      <c r="Y348">
        <v>50</v>
      </c>
      <c r="Z348" t="s">
        <v>1778</v>
      </c>
      <c r="AA348"/>
    </row>
    <row r="349" spans="1:27" ht="15" x14ac:dyDescent="0.25">
      <c r="A349" t="s">
        <v>5</v>
      </c>
      <c r="B349" t="s">
        <v>740</v>
      </c>
      <c r="C349" t="s">
        <v>257</v>
      </c>
      <c r="D349" t="s">
        <v>69</v>
      </c>
      <c r="E349" t="s">
        <v>149</v>
      </c>
      <c r="F349" t="s">
        <v>1315</v>
      </c>
      <c r="G349" t="s">
        <v>1316</v>
      </c>
      <c r="H349" t="s">
        <v>6</v>
      </c>
      <c r="I349" s="41">
        <v>620</v>
      </c>
      <c r="J349" s="40">
        <f>I349*(1-IFERROR(VLOOKUP(H349,Rabat!$D$10:$E$41,2,FALSE),0))</f>
        <v>620</v>
      </c>
      <c r="K349">
        <v>1.7</v>
      </c>
      <c r="L349" t="s">
        <v>1978</v>
      </c>
      <c r="M349" t="s">
        <v>2147</v>
      </c>
      <c r="N349" t="s">
        <v>2000</v>
      </c>
      <c r="O349" t="s">
        <v>1776</v>
      </c>
      <c r="P349">
        <v>1</v>
      </c>
      <c r="Q349">
        <v>0</v>
      </c>
      <c r="R349" t="s">
        <v>1955</v>
      </c>
      <c r="S349" s="42" t="str">
        <f>HYPERLINK("https://sklep.kobi.pl/produkt/led-nina-high-bay-100w-90-4000k-ip65")</f>
        <v>https://sklep.kobi.pl/produkt/led-nina-high-bay-100w-90-4000k-ip65</v>
      </c>
      <c r="T349" s="42" t="str">
        <f>HYPERLINK("https://eprel.ec.europa.eu/qr/1521950        ")</f>
        <v xml:space="preserve">https://eprel.ec.europa.eu/qr/1521950        </v>
      </c>
      <c r="U349">
        <v>2.0099999999999998</v>
      </c>
      <c r="V349">
        <v>0</v>
      </c>
      <c r="W349">
        <v>140</v>
      </c>
      <c r="X349">
        <v>280</v>
      </c>
      <c r="Y349">
        <v>280</v>
      </c>
      <c r="Z349" t="s">
        <v>1778</v>
      </c>
      <c r="AA349"/>
    </row>
    <row r="350" spans="1:27" ht="15" x14ac:dyDescent="0.25">
      <c r="A350" t="s">
        <v>5</v>
      </c>
      <c r="B350" t="s">
        <v>740</v>
      </c>
      <c r="C350" t="s">
        <v>257</v>
      </c>
      <c r="D350" t="s">
        <v>69</v>
      </c>
      <c r="E350" t="s">
        <v>71</v>
      </c>
      <c r="F350" t="s">
        <v>1317</v>
      </c>
      <c r="G350" t="s">
        <v>1318</v>
      </c>
      <c r="H350" t="s">
        <v>6</v>
      </c>
      <c r="I350" s="41">
        <v>760</v>
      </c>
      <c r="J350" s="40">
        <f>I350*(1-IFERROR(VLOOKUP(H350,Rabat!$D$10:$E$41,2,FALSE),0))</f>
        <v>760</v>
      </c>
      <c r="K350">
        <v>1.99</v>
      </c>
      <c r="L350" t="s">
        <v>1978</v>
      </c>
      <c r="M350" t="s">
        <v>2148</v>
      </c>
      <c r="N350" t="s">
        <v>2000</v>
      </c>
      <c r="O350" t="s">
        <v>1776</v>
      </c>
      <c r="P350">
        <v>1</v>
      </c>
      <c r="Q350">
        <v>0</v>
      </c>
      <c r="R350" t="s">
        <v>1955</v>
      </c>
      <c r="S350" s="42" t="str">
        <f>HYPERLINK("https://sklep.kobi.pl/produkt/led-nina-high-bay-150w-90-4000k-ip65")</f>
        <v>https://sklep.kobi.pl/produkt/led-nina-high-bay-150w-90-4000k-ip65</v>
      </c>
      <c r="T350" s="42" t="str">
        <f>HYPERLINK("https://eprel.ec.europa.eu/qr/1521961        ")</f>
        <v xml:space="preserve">https://eprel.ec.europa.eu/qr/1521961        </v>
      </c>
      <c r="U350">
        <v>2.36</v>
      </c>
      <c r="V350">
        <v>0</v>
      </c>
      <c r="W350">
        <v>140</v>
      </c>
      <c r="X350">
        <v>320</v>
      </c>
      <c r="Y350">
        <v>320</v>
      </c>
      <c r="Z350" t="s">
        <v>1778</v>
      </c>
      <c r="AA350"/>
    </row>
    <row r="351" spans="1:27" ht="15" x14ac:dyDescent="0.25">
      <c r="A351" t="s">
        <v>5</v>
      </c>
      <c r="B351" t="s">
        <v>740</v>
      </c>
      <c r="C351" t="s">
        <v>257</v>
      </c>
      <c r="D351" t="s">
        <v>69</v>
      </c>
      <c r="E351" t="s">
        <v>71</v>
      </c>
      <c r="F351" t="s">
        <v>1319</v>
      </c>
      <c r="G351" t="s">
        <v>1320</v>
      </c>
      <c r="H351" t="s">
        <v>6</v>
      </c>
      <c r="I351" s="41">
        <v>1100</v>
      </c>
      <c r="J351" s="40">
        <f>I351*(1-IFERROR(VLOOKUP(H351,Rabat!$D$10:$E$41,2,FALSE),0))</f>
        <v>1100</v>
      </c>
      <c r="K351">
        <v>2.52</v>
      </c>
      <c r="L351" t="s">
        <v>1978</v>
      </c>
      <c r="M351" t="s">
        <v>2149</v>
      </c>
      <c r="N351" t="s">
        <v>2000</v>
      </c>
      <c r="O351" t="s">
        <v>1776</v>
      </c>
      <c r="P351">
        <v>1</v>
      </c>
      <c r="Q351">
        <v>0</v>
      </c>
      <c r="R351" t="s">
        <v>1955</v>
      </c>
      <c r="S351" s="42" t="str">
        <f>HYPERLINK("https://sklep.kobi.pl/produkt/led-nina-high-bay-200w-90-4000k-ip65")</f>
        <v>https://sklep.kobi.pl/produkt/led-nina-high-bay-200w-90-4000k-ip65</v>
      </c>
      <c r="T351" s="42" t="str">
        <f>HYPERLINK("https://eprel.ec.europa.eu/qr/1522011        ")</f>
        <v xml:space="preserve">https://eprel.ec.europa.eu/qr/1522011        </v>
      </c>
      <c r="U351">
        <v>2.98</v>
      </c>
      <c r="V351">
        <v>0</v>
      </c>
      <c r="W351">
        <v>140</v>
      </c>
      <c r="X351">
        <v>360</v>
      </c>
      <c r="Y351">
        <v>350</v>
      </c>
      <c r="Z351" t="s">
        <v>1778</v>
      </c>
      <c r="AA351"/>
    </row>
    <row r="352" spans="1:27" ht="15" x14ac:dyDescent="0.25">
      <c r="A352" t="s">
        <v>5</v>
      </c>
      <c r="B352" t="s">
        <v>740</v>
      </c>
      <c r="C352" t="s">
        <v>257</v>
      </c>
      <c r="D352" t="s">
        <v>69</v>
      </c>
      <c r="E352" t="s">
        <v>149</v>
      </c>
      <c r="F352" t="s">
        <v>1153</v>
      </c>
      <c r="G352" t="s">
        <v>1154</v>
      </c>
      <c r="H352" t="s">
        <v>6</v>
      </c>
      <c r="I352" s="41">
        <v>620</v>
      </c>
      <c r="J352" s="40">
        <f>I352*(1-IFERROR(VLOOKUP(H352,Rabat!$D$10:$E$41,2,FALSE),0))</f>
        <v>620</v>
      </c>
      <c r="K352">
        <v>1.7</v>
      </c>
      <c r="L352" t="s">
        <v>1978</v>
      </c>
      <c r="M352" t="s">
        <v>2150</v>
      </c>
      <c r="N352" t="s">
        <v>2000</v>
      </c>
      <c r="O352" t="s">
        <v>1776</v>
      </c>
      <c r="P352">
        <v>1</v>
      </c>
      <c r="Q352">
        <v>0</v>
      </c>
      <c r="R352" t="s">
        <v>1955</v>
      </c>
      <c r="S352" s="42" t="str">
        <f>HYPERLINK("https://sklep.kobi.pl/produkt/led-nina-high-bay-100w-110-4000k-ip65")</f>
        <v>https://sklep.kobi.pl/produkt/led-nina-high-bay-100w-110-4000k-ip65</v>
      </c>
      <c r="T352" s="42" t="str">
        <f>HYPERLINK("https://eprel.ec.europa.eu/qr/1252696        ")</f>
        <v xml:space="preserve">https://eprel.ec.europa.eu/qr/1252696        </v>
      </c>
      <c r="U352">
        <v>2.0099999999999998</v>
      </c>
      <c r="V352">
        <v>0</v>
      </c>
      <c r="W352">
        <v>140</v>
      </c>
      <c r="X352">
        <v>280</v>
      </c>
      <c r="Y352">
        <v>280</v>
      </c>
      <c r="Z352" t="s">
        <v>1778</v>
      </c>
      <c r="AA352"/>
    </row>
    <row r="353" spans="1:27" ht="15" x14ac:dyDescent="0.25">
      <c r="A353" t="s">
        <v>5</v>
      </c>
      <c r="B353" t="s">
        <v>740</v>
      </c>
      <c r="C353" t="s">
        <v>257</v>
      </c>
      <c r="D353" t="s">
        <v>69</v>
      </c>
      <c r="E353" t="s">
        <v>71</v>
      </c>
      <c r="F353" t="s">
        <v>1155</v>
      </c>
      <c r="G353" t="s">
        <v>1156</v>
      </c>
      <c r="H353" t="s">
        <v>6</v>
      </c>
      <c r="I353" s="41">
        <v>760</v>
      </c>
      <c r="J353" s="40">
        <f>I353*(1-IFERROR(VLOOKUP(H353,Rabat!$D$10:$E$41,2,FALSE),0))</f>
        <v>760</v>
      </c>
      <c r="K353">
        <v>1.99</v>
      </c>
      <c r="L353" t="s">
        <v>1978</v>
      </c>
      <c r="M353" t="s">
        <v>2151</v>
      </c>
      <c r="N353" t="s">
        <v>2000</v>
      </c>
      <c r="O353" t="s">
        <v>1776</v>
      </c>
      <c r="P353">
        <v>1</v>
      </c>
      <c r="Q353">
        <v>0</v>
      </c>
      <c r="R353" t="s">
        <v>1955</v>
      </c>
      <c r="S353" s="42" t="str">
        <f>HYPERLINK("https://sklep.kobi.pl/produkt/led-nina-high-bay-150w-110-4000k-ip65")</f>
        <v>https://sklep.kobi.pl/produkt/led-nina-high-bay-150w-110-4000k-ip65</v>
      </c>
      <c r="T353" s="42" t="str">
        <f>HYPERLINK("https://eprel.ec.europa.eu/qr/1252697        ")</f>
        <v xml:space="preserve">https://eprel.ec.europa.eu/qr/1252697        </v>
      </c>
      <c r="U353">
        <v>2.36</v>
      </c>
      <c r="V353">
        <v>0</v>
      </c>
      <c r="W353">
        <v>140</v>
      </c>
      <c r="X353">
        <v>320</v>
      </c>
      <c r="Y353">
        <v>320</v>
      </c>
      <c r="Z353" t="s">
        <v>1778</v>
      </c>
      <c r="AA353"/>
    </row>
    <row r="354" spans="1:27" ht="15" x14ac:dyDescent="0.25">
      <c r="A354" t="s">
        <v>5</v>
      </c>
      <c r="B354" t="s">
        <v>740</v>
      </c>
      <c r="C354" t="s">
        <v>257</v>
      </c>
      <c r="D354" t="s">
        <v>69</v>
      </c>
      <c r="E354" t="s">
        <v>71</v>
      </c>
      <c r="F354" t="s">
        <v>1157</v>
      </c>
      <c r="G354" t="s">
        <v>1158</v>
      </c>
      <c r="H354" t="s">
        <v>6</v>
      </c>
      <c r="I354" s="41">
        <v>1100</v>
      </c>
      <c r="J354" s="40">
        <f>I354*(1-IFERROR(VLOOKUP(H354,Rabat!$D$10:$E$41,2,FALSE),0))</f>
        <v>1100</v>
      </c>
      <c r="K354">
        <v>2.52</v>
      </c>
      <c r="L354" t="s">
        <v>1978</v>
      </c>
      <c r="M354" t="s">
        <v>2152</v>
      </c>
      <c r="N354" t="s">
        <v>2000</v>
      </c>
      <c r="O354" t="s">
        <v>1776</v>
      </c>
      <c r="P354">
        <v>1</v>
      </c>
      <c r="Q354">
        <v>0</v>
      </c>
      <c r="R354" t="s">
        <v>1955</v>
      </c>
      <c r="S354" s="42" t="str">
        <f>HYPERLINK("https://sklep.kobi.pl/produkt/led-nina-high-bay-200w-110-4000k-ip65")</f>
        <v>https://sklep.kobi.pl/produkt/led-nina-high-bay-200w-110-4000k-ip65</v>
      </c>
      <c r="T354" s="42" t="str">
        <f>HYPERLINK("https://eprel.ec.europa.eu/qr/1252699        ")</f>
        <v xml:space="preserve">https://eprel.ec.europa.eu/qr/1252699        </v>
      </c>
      <c r="U354">
        <v>2.98</v>
      </c>
      <c r="V354">
        <v>0</v>
      </c>
      <c r="W354">
        <v>140</v>
      </c>
      <c r="X354">
        <v>360</v>
      </c>
      <c r="Y354">
        <v>350</v>
      </c>
      <c r="Z354" t="s">
        <v>1778</v>
      </c>
      <c r="AA354"/>
    </row>
    <row r="355" spans="1:27" ht="15" x14ac:dyDescent="0.25">
      <c r="A355" t="s">
        <v>5</v>
      </c>
      <c r="B355" t="s">
        <v>740</v>
      </c>
      <c r="C355" t="s">
        <v>257</v>
      </c>
      <c r="D355" t="s">
        <v>424</v>
      </c>
      <c r="E355" t="s">
        <v>149</v>
      </c>
      <c r="F355" t="s">
        <v>888</v>
      </c>
      <c r="G355" t="s">
        <v>889</v>
      </c>
      <c r="H355" t="s">
        <v>6</v>
      </c>
      <c r="I355" s="41">
        <v>522</v>
      </c>
      <c r="J355" s="40">
        <f>I355*(1-IFERROR(VLOOKUP(H355,Rabat!$D$10:$E$41,2,FALSE),0))</f>
        <v>522</v>
      </c>
      <c r="K355">
        <v>1.64</v>
      </c>
      <c r="L355" t="s">
        <v>1773</v>
      </c>
      <c r="M355" t="s">
        <v>2153</v>
      </c>
      <c r="N355" t="s">
        <v>2000</v>
      </c>
      <c r="O355" t="s">
        <v>1776</v>
      </c>
      <c r="P355">
        <v>4</v>
      </c>
      <c r="Q355">
        <v>160</v>
      </c>
      <c r="R355" t="s">
        <v>1820</v>
      </c>
      <c r="S355" s="42" t="str">
        <f>HYPERLINK("https://sklep.kobi.pl/produkt/led-rio-high-bay-150w-4000k")</f>
        <v>https://sklep.kobi.pl/produkt/led-rio-high-bay-150w-4000k</v>
      </c>
      <c r="T355" s="42" t="str">
        <f>HYPERLINK("https://eprel.ec.europa.eu/qr/669417         ")</f>
        <v xml:space="preserve">https://eprel.ec.europa.eu/qr/669417         </v>
      </c>
      <c r="U355">
        <v>1.9419999999999999</v>
      </c>
      <c r="V355">
        <v>2.1819999999999999</v>
      </c>
      <c r="W355">
        <v>300</v>
      </c>
      <c r="X355">
        <v>300</v>
      </c>
      <c r="Y355">
        <v>100</v>
      </c>
      <c r="Z355" t="s">
        <v>1778</v>
      </c>
      <c r="AA355"/>
    </row>
    <row r="356" spans="1:27" ht="15" x14ac:dyDescent="0.25">
      <c r="A356" t="s">
        <v>5</v>
      </c>
      <c r="B356" t="s">
        <v>740</v>
      </c>
      <c r="C356" t="s">
        <v>257</v>
      </c>
      <c r="D356" t="s">
        <v>424</v>
      </c>
      <c r="E356" t="s">
        <v>1289</v>
      </c>
      <c r="F356" t="s">
        <v>1333</v>
      </c>
      <c r="G356" t="s">
        <v>1334</v>
      </c>
      <c r="H356" t="s">
        <v>6</v>
      </c>
      <c r="I356" s="41">
        <v>310</v>
      </c>
      <c r="J356" s="40">
        <f>I356*(1-IFERROR(VLOOKUP(H356,Rabat!$D$10:$E$41,2,FALSE),0))</f>
        <v>310</v>
      </c>
      <c r="K356">
        <v>1.18</v>
      </c>
      <c r="L356" t="s">
        <v>1978</v>
      </c>
      <c r="M356" t="s">
        <v>2154</v>
      </c>
      <c r="N356" t="s">
        <v>2000</v>
      </c>
      <c r="O356" t="s">
        <v>1776</v>
      </c>
      <c r="P356">
        <v>1</v>
      </c>
      <c r="Q356">
        <v>0</v>
      </c>
      <c r="R356" t="s">
        <v>1955</v>
      </c>
      <c r="S356" s="42" t="str">
        <f>HYPERLINK("https://sklep.kobi.pl/produkt/led-rio-pro-100w-4000k")</f>
        <v>https://sklep.kobi.pl/produkt/led-rio-pro-100w-4000k</v>
      </c>
      <c r="T356" s="42" t="str">
        <f>HYPERLINK("https://eprel.ec.europa.eu/qr/1809159        ")</f>
        <v xml:space="preserve">https://eprel.ec.europa.eu/qr/1809159        </v>
      </c>
      <c r="U356">
        <v>1.4</v>
      </c>
      <c r="V356">
        <v>0</v>
      </c>
      <c r="W356">
        <v>0</v>
      </c>
      <c r="X356">
        <v>0</v>
      </c>
      <c r="Y356">
        <v>0</v>
      </c>
      <c r="Z356" t="s">
        <v>1778</v>
      </c>
      <c r="AA356"/>
    </row>
    <row r="357" spans="1:27" ht="15" x14ac:dyDescent="0.25">
      <c r="A357" t="s">
        <v>5</v>
      </c>
      <c r="B357" t="s">
        <v>740</v>
      </c>
      <c r="C357" t="s">
        <v>257</v>
      </c>
      <c r="D357" t="s">
        <v>424</v>
      </c>
      <c r="E357" t="s">
        <v>1289</v>
      </c>
      <c r="F357" t="s">
        <v>1741</v>
      </c>
      <c r="G357" t="s">
        <v>1742</v>
      </c>
      <c r="H357" t="s">
        <v>6</v>
      </c>
      <c r="I357" s="41">
        <v>410</v>
      </c>
      <c r="J357" s="40">
        <f>I357*(1-IFERROR(VLOOKUP(H357,Rabat!$D$10:$E$41,2,FALSE),0))</f>
        <v>410</v>
      </c>
      <c r="K357">
        <v>1.57</v>
      </c>
      <c r="L357" t="s">
        <v>1978</v>
      </c>
      <c r="M357" t="s">
        <v>2155</v>
      </c>
      <c r="N357" t="s">
        <v>2000</v>
      </c>
      <c r="O357" t="s">
        <v>1776</v>
      </c>
      <c r="P357">
        <v>1</v>
      </c>
      <c r="Q357">
        <v>0</v>
      </c>
      <c r="R357" t="s">
        <v>1955</v>
      </c>
      <c r="S357" s="42" t="str">
        <f>HYPERLINK("https://sklep.kobi.pl/produkt/led-rio-pro-150w-4000k")</f>
        <v>https://sklep.kobi.pl/produkt/led-rio-pro-150w-4000k</v>
      </c>
      <c r="T357" s="42" t="str">
        <f>HYPERLINK("https://eprel.ec.europa.eu/qr/1809192        ")</f>
        <v xml:space="preserve">https://eprel.ec.europa.eu/qr/1809192        </v>
      </c>
      <c r="U357">
        <v>1.86</v>
      </c>
      <c r="V357">
        <v>0</v>
      </c>
      <c r="W357">
        <v>0</v>
      </c>
      <c r="X357">
        <v>0</v>
      </c>
      <c r="Y357">
        <v>0</v>
      </c>
      <c r="Z357" t="s">
        <v>1778</v>
      </c>
      <c r="AA357"/>
    </row>
    <row r="358" spans="1:27" ht="15" x14ac:dyDescent="0.25">
      <c r="A358" t="s">
        <v>5</v>
      </c>
      <c r="B358" t="s">
        <v>740</v>
      </c>
      <c r="C358" t="s">
        <v>257</v>
      </c>
      <c r="D358" t="s">
        <v>424</v>
      </c>
      <c r="E358" t="s">
        <v>1289</v>
      </c>
      <c r="F358" t="s">
        <v>1609</v>
      </c>
      <c r="G358" t="s">
        <v>1610</v>
      </c>
      <c r="H358" t="s">
        <v>6</v>
      </c>
      <c r="I358" s="41">
        <v>490</v>
      </c>
      <c r="J358" s="40">
        <f>I358*(1-IFERROR(VLOOKUP(H358,Rabat!$D$10:$E$41,2,FALSE),0))</f>
        <v>490</v>
      </c>
      <c r="K358">
        <v>2.2200000000000002</v>
      </c>
      <c r="L358" t="s">
        <v>1978</v>
      </c>
      <c r="M358" t="s">
        <v>2156</v>
      </c>
      <c r="N358" t="s">
        <v>2000</v>
      </c>
      <c r="O358" t="s">
        <v>1776</v>
      </c>
      <c r="P358">
        <v>1</v>
      </c>
      <c r="Q358">
        <v>60</v>
      </c>
      <c r="R358" t="s">
        <v>1955</v>
      </c>
      <c r="S358" s="42" t="str">
        <f>HYPERLINK("https://sklep.kobi.pl/produkt/led-rio-pro-200w-4000k")</f>
        <v>https://sklep.kobi.pl/produkt/led-rio-pro-200w-4000k</v>
      </c>
      <c r="T358" s="42" t="str">
        <f>HYPERLINK("https://eprel.ec.europa.eu/qr/1809233        ")</f>
        <v xml:space="preserve">https://eprel.ec.europa.eu/qr/1809233        </v>
      </c>
      <c r="U358">
        <v>2.63</v>
      </c>
      <c r="V358">
        <v>0</v>
      </c>
      <c r="W358">
        <v>0</v>
      </c>
      <c r="X358">
        <v>0</v>
      </c>
      <c r="Y358">
        <v>0</v>
      </c>
      <c r="Z358" t="s">
        <v>1778</v>
      </c>
      <c r="AA358"/>
    </row>
    <row r="359" spans="1:27" ht="15" x14ac:dyDescent="0.25">
      <c r="A359" t="s">
        <v>5</v>
      </c>
      <c r="B359" t="s">
        <v>740</v>
      </c>
      <c r="C359" t="s">
        <v>257</v>
      </c>
      <c r="D359" t="s">
        <v>69</v>
      </c>
      <c r="E359" t="s">
        <v>1289</v>
      </c>
      <c r="F359" t="s">
        <v>1472</v>
      </c>
      <c r="G359" t="s">
        <v>1473</v>
      </c>
      <c r="H359" t="s">
        <v>6</v>
      </c>
      <c r="I359" s="41">
        <v>650</v>
      </c>
      <c r="J359" s="40">
        <f>I359*(1-IFERROR(VLOOKUP(H359,Rabat!$D$10:$E$41,2,FALSE),0))</f>
        <v>650</v>
      </c>
      <c r="K359">
        <v>2.11</v>
      </c>
      <c r="L359" t="s">
        <v>1789</v>
      </c>
      <c r="M359" t="s">
        <v>2157</v>
      </c>
      <c r="N359" t="s">
        <v>2000</v>
      </c>
      <c r="O359" t="s">
        <v>1776</v>
      </c>
      <c r="P359">
        <v>1</v>
      </c>
      <c r="Q359">
        <v>0</v>
      </c>
      <c r="R359" t="s">
        <v>2158</v>
      </c>
      <c r="S359" s="42" t="str">
        <f>HYPERLINK("https://sklep.kobi.pl/produkt/led-anica-high-bay-100w-120-4000k-ip65")</f>
        <v>https://sklep.kobi.pl/produkt/led-anica-high-bay-100w-120-4000k-ip65</v>
      </c>
      <c r="T359" t="s">
        <v>71</v>
      </c>
      <c r="U359">
        <v>2.5</v>
      </c>
      <c r="V359">
        <v>0</v>
      </c>
      <c r="W359">
        <v>0</v>
      </c>
      <c r="X359">
        <v>0</v>
      </c>
      <c r="Y359">
        <v>0</v>
      </c>
      <c r="Z359" t="s">
        <v>1778</v>
      </c>
      <c r="AA359"/>
    </row>
    <row r="360" spans="1:27" ht="15" x14ac:dyDescent="0.25">
      <c r="A360" t="s">
        <v>5</v>
      </c>
      <c r="B360" t="s">
        <v>740</v>
      </c>
      <c r="C360" t="s">
        <v>257</v>
      </c>
      <c r="D360" t="s">
        <v>69</v>
      </c>
      <c r="E360" t="s">
        <v>1289</v>
      </c>
      <c r="F360" t="s">
        <v>1470</v>
      </c>
      <c r="G360" t="s">
        <v>1471</v>
      </c>
      <c r="H360" t="s">
        <v>6</v>
      </c>
      <c r="I360" s="41">
        <v>650</v>
      </c>
      <c r="J360" s="40">
        <f>I360*(1-IFERROR(VLOOKUP(H360,Rabat!$D$10:$E$41,2,FALSE),0))</f>
        <v>650</v>
      </c>
      <c r="K360">
        <v>2.11</v>
      </c>
      <c r="L360" t="s">
        <v>1789</v>
      </c>
      <c r="M360" t="s">
        <v>2159</v>
      </c>
      <c r="N360" t="s">
        <v>2000</v>
      </c>
      <c r="O360" t="s">
        <v>1776</v>
      </c>
      <c r="P360">
        <v>1</v>
      </c>
      <c r="Q360">
        <v>0</v>
      </c>
      <c r="R360" t="s">
        <v>2158</v>
      </c>
      <c r="S360" s="42" t="str">
        <f>HYPERLINK("https://sklep.kobi.pl/produkt/led-anica-high-bay-100w-90-4000k-ip65")</f>
        <v>https://sklep.kobi.pl/produkt/led-anica-high-bay-100w-90-4000k-ip65</v>
      </c>
      <c r="T360" t="s">
        <v>71</v>
      </c>
      <c r="U360">
        <v>2.5</v>
      </c>
      <c r="V360">
        <v>0</v>
      </c>
      <c r="W360">
        <v>0</v>
      </c>
      <c r="X360">
        <v>0</v>
      </c>
      <c r="Y360">
        <v>0</v>
      </c>
      <c r="Z360" t="s">
        <v>1778</v>
      </c>
      <c r="AA360"/>
    </row>
    <row r="361" spans="1:27" ht="15" x14ac:dyDescent="0.25">
      <c r="A361" t="s">
        <v>5</v>
      </c>
      <c r="B361" t="s">
        <v>740</v>
      </c>
      <c r="C361" t="s">
        <v>257</v>
      </c>
      <c r="D361" t="s">
        <v>69</v>
      </c>
      <c r="E361" t="s">
        <v>1289</v>
      </c>
      <c r="F361" t="s">
        <v>1474</v>
      </c>
      <c r="G361" t="s">
        <v>1475</v>
      </c>
      <c r="H361" t="s">
        <v>6</v>
      </c>
      <c r="I361" s="41">
        <v>630</v>
      </c>
      <c r="J361" s="40">
        <f>I361*(1-IFERROR(VLOOKUP(H361,Rabat!$D$10:$E$41,2,FALSE),0))</f>
        <v>630</v>
      </c>
      <c r="K361">
        <v>2.54</v>
      </c>
      <c r="L361" t="s">
        <v>1789</v>
      </c>
      <c r="M361" t="s">
        <v>2160</v>
      </c>
      <c r="N361" t="s">
        <v>2000</v>
      </c>
      <c r="O361" t="s">
        <v>1776</v>
      </c>
      <c r="P361">
        <v>1</v>
      </c>
      <c r="Q361">
        <v>0</v>
      </c>
      <c r="R361" t="s">
        <v>1955</v>
      </c>
      <c r="S361" s="42" t="str">
        <f>HYPERLINK("https://sklep.kobi.pl/produkt/led-nico-high-bay-120w-60x90-4000k-ip65")</f>
        <v>https://sklep.kobi.pl/produkt/led-nico-high-bay-120w-60x90-4000k-ip65</v>
      </c>
      <c r="T361" t="s">
        <v>71</v>
      </c>
      <c r="U361">
        <v>3</v>
      </c>
      <c r="V361">
        <v>0</v>
      </c>
      <c r="W361">
        <v>0</v>
      </c>
      <c r="X361">
        <v>0</v>
      </c>
      <c r="Y361">
        <v>0</v>
      </c>
      <c r="Z361" t="s">
        <v>1778</v>
      </c>
      <c r="AA361"/>
    </row>
    <row r="362" spans="1:27" ht="15" x14ac:dyDescent="0.25">
      <c r="A362" t="s">
        <v>5</v>
      </c>
      <c r="B362" t="s">
        <v>712</v>
      </c>
      <c r="C362" t="s">
        <v>257</v>
      </c>
      <c r="D362" t="s">
        <v>667</v>
      </c>
      <c r="E362" t="s">
        <v>71</v>
      </c>
      <c r="F362" t="s">
        <v>1017</v>
      </c>
      <c r="G362" t="s">
        <v>1018</v>
      </c>
      <c r="H362" t="s">
        <v>6</v>
      </c>
      <c r="I362" s="41">
        <v>150.97</v>
      </c>
      <c r="J362" s="40">
        <f>I362*(1-IFERROR(VLOOKUP(H362,Rabat!$D$10:$E$41,2,FALSE),0))</f>
        <v>150.97</v>
      </c>
      <c r="K362">
        <v>1</v>
      </c>
      <c r="L362" t="s">
        <v>1773</v>
      </c>
      <c r="M362" t="s">
        <v>2161</v>
      </c>
      <c r="N362" t="s">
        <v>2000</v>
      </c>
      <c r="O362" t="s">
        <v>1776</v>
      </c>
      <c r="P362">
        <v>10</v>
      </c>
      <c r="Q362">
        <v>400</v>
      </c>
      <c r="R362" t="s">
        <v>1777</v>
      </c>
      <c r="S362" s="42" t="str">
        <f>HYPERLINK("https://sklep.kobi.pl/produkt/led-mh-100w-czarna-4000k-led2b")</f>
        <v>https://sklep.kobi.pl/produkt/led-mh-100w-czarna-4000k-led2b</v>
      </c>
      <c r="T362" s="42" t="str">
        <f>HYPERLINK("https://eprel.ec.europa.eu/qr/760373         ")</f>
        <v xml:space="preserve">https://eprel.ec.europa.eu/qr/760373         </v>
      </c>
      <c r="U362">
        <v>1.181</v>
      </c>
      <c r="V362">
        <v>1.48</v>
      </c>
      <c r="W362">
        <v>250</v>
      </c>
      <c r="X362">
        <v>290</v>
      </c>
      <c r="Y362">
        <v>40</v>
      </c>
      <c r="Z362" t="s">
        <v>1778</v>
      </c>
      <c r="AA362"/>
    </row>
    <row r="363" spans="1:27" ht="15" x14ac:dyDescent="0.25">
      <c r="A363" t="s">
        <v>5</v>
      </c>
      <c r="B363" t="s">
        <v>712</v>
      </c>
      <c r="C363" t="s">
        <v>257</v>
      </c>
      <c r="D363" t="s">
        <v>667</v>
      </c>
      <c r="E363" t="s">
        <v>71</v>
      </c>
      <c r="F363" t="s">
        <v>721</v>
      </c>
      <c r="G363" t="s">
        <v>722</v>
      </c>
      <c r="H363" t="s">
        <v>6</v>
      </c>
      <c r="I363" s="41">
        <v>150.97</v>
      </c>
      <c r="J363" s="40">
        <f>I363*(1-IFERROR(VLOOKUP(H363,Rabat!$D$10:$E$41,2,FALSE),0))</f>
        <v>150.97</v>
      </c>
      <c r="K363">
        <v>1</v>
      </c>
      <c r="L363" t="s">
        <v>1773</v>
      </c>
      <c r="M363" t="s">
        <v>2162</v>
      </c>
      <c r="N363" t="s">
        <v>2000</v>
      </c>
      <c r="O363" t="s">
        <v>1776</v>
      </c>
      <c r="P363">
        <v>10</v>
      </c>
      <c r="Q363">
        <v>400</v>
      </c>
      <c r="R363" t="s">
        <v>1777</v>
      </c>
      <c r="S363" s="42" t="str">
        <f>HYPERLINK("https://sklep.kobi.pl/produkt/oprawa-led-mh-100w-czarna-6000k-led2b")</f>
        <v>https://sklep.kobi.pl/produkt/oprawa-led-mh-100w-czarna-6000k-led2b</v>
      </c>
      <c r="T363" s="42" t="str">
        <f>HYPERLINK("https://eprel.ec.europa.eu/qr/760374         ")</f>
        <v xml:space="preserve">https://eprel.ec.europa.eu/qr/760374         </v>
      </c>
      <c r="U363">
        <v>1.181</v>
      </c>
      <c r="V363">
        <v>1.48</v>
      </c>
      <c r="W363">
        <v>250</v>
      </c>
      <c r="X363">
        <v>290</v>
      </c>
      <c r="Y363">
        <v>40</v>
      </c>
      <c r="Z363" t="s">
        <v>1778</v>
      </c>
      <c r="AA363"/>
    </row>
    <row r="364" spans="1:27" ht="15" x14ac:dyDescent="0.25">
      <c r="A364" t="s">
        <v>5</v>
      </c>
      <c r="B364" t="s">
        <v>712</v>
      </c>
      <c r="C364" t="s">
        <v>257</v>
      </c>
      <c r="D364" t="s">
        <v>667</v>
      </c>
      <c r="E364" t="s">
        <v>71</v>
      </c>
      <c r="F364" t="s">
        <v>1632</v>
      </c>
      <c r="G364" t="s">
        <v>1633</v>
      </c>
      <c r="H364" t="s">
        <v>6</v>
      </c>
      <c r="I364" s="41">
        <v>32.9</v>
      </c>
      <c r="J364" s="40">
        <f>I364*(1-IFERROR(VLOOKUP(H364,Rabat!$D$10:$E$41,2,FALSE),0))</f>
        <v>32.9</v>
      </c>
      <c r="K364">
        <v>0.15</v>
      </c>
      <c r="L364" t="s">
        <v>1773</v>
      </c>
      <c r="M364" t="s">
        <v>2163</v>
      </c>
      <c r="N364" t="s">
        <v>2000</v>
      </c>
      <c r="O364" t="s">
        <v>1776</v>
      </c>
      <c r="P364">
        <v>60</v>
      </c>
      <c r="Q364">
        <v>1800</v>
      </c>
      <c r="R364" t="s">
        <v>1777</v>
      </c>
      <c r="S364"/>
      <c r="T364" s="42" t="str">
        <f>HYPERLINK("https://eprel.ec.europa.eu/qr/934475         ")</f>
        <v xml:space="preserve">https://eprel.ec.europa.eu/qr/934475         </v>
      </c>
      <c r="U364">
        <v>0.18099999999999999</v>
      </c>
      <c r="V364">
        <v>0.216</v>
      </c>
      <c r="W364">
        <v>115</v>
      </c>
      <c r="X364">
        <v>110</v>
      </c>
      <c r="Y364">
        <v>35</v>
      </c>
      <c r="Z364" t="s">
        <v>1778</v>
      </c>
      <c r="AA364"/>
    </row>
    <row r="365" spans="1:27" ht="15" x14ac:dyDescent="0.25">
      <c r="A365" t="s">
        <v>5</v>
      </c>
      <c r="B365" t="s">
        <v>712</v>
      </c>
      <c r="C365" t="s">
        <v>257</v>
      </c>
      <c r="D365" t="s">
        <v>667</v>
      </c>
      <c r="E365" t="s">
        <v>71</v>
      </c>
      <c r="F365" t="s">
        <v>780</v>
      </c>
      <c r="G365" t="s">
        <v>781</v>
      </c>
      <c r="H365" t="s">
        <v>6</v>
      </c>
      <c r="I365" s="41">
        <v>32.9</v>
      </c>
      <c r="J365" s="40">
        <f>I365*(1-IFERROR(VLOOKUP(H365,Rabat!$D$10:$E$41,2,FALSE),0))</f>
        <v>32.9</v>
      </c>
      <c r="K365">
        <v>0.15</v>
      </c>
      <c r="L365" t="s">
        <v>1773</v>
      </c>
      <c r="M365" t="s">
        <v>2164</v>
      </c>
      <c r="N365" t="s">
        <v>2000</v>
      </c>
      <c r="O365" t="s">
        <v>1776</v>
      </c>
      <c r="P365">
        <v>60</v>
      </c>
      <c r="Q365">
        <v>1800</v>
      </c>
      <c r="R365" t="s">
        <v>1777</v>
      </c>
      <c r="S365" s="42" t="str">
        <f>HYPERLINK("https://sklep.kobi.pl/produkt/oprawa-led-mh-10w-czarna-4000k-led2b")</f>
        <v>https://sklep.kobi.pl/produkt/oprawa-led-mh-10w-czarna-4000k-led2b</v>
      </c>
      <c r="T365" s="42" t="str">
        <f>HYPERLINK("https://eprel.ec.europa.eu/qr/760350         ")</f>
        <v xml:space="preserve">https://eprel.ec.europa.eu/qr/760350         </v>
      </c>
      <c r="U365">
        <v>0.18099999999999999</v>
      </c>
      <c r="V365">
        <v>0.216</v>
      </c>
      <c r="W365">
        <v>115</v>
      </c>
      <c r="X365">
        <v>110</v>
      </c>
      <c r="Y365">
        <v>35</v>
      </c>
      <c r="Z365" t="s">
        <v>1778</v>
      </c>
      <c r="AA365"/>
    </row>
    <row r="366" spans="1:27" ht="15" x14ac:dyDescent="0.25">
      <c r="A366" t="s">
        <v>5</v>
      </c>
      <c r="B366" t="s">
        <v>712</v>
      </c>
      <c r="C366" t="s">
        <v>257</v>
      </c>
      <c r="D366" t="s">
        <v>667</v>
      </c>
      <c r="E366" t="s">
        <v>71</v>
      </c>
      <c r="F366" t="s">
        <v>713</v>
      </c>
      <c r="G366" t="s">
        <v>714</v>
      </c>
      <c r="H366" t="s">
        <v>6</v>
      </c>
      <c r="I366" s="41">
        <v>32.9</v>
      </c>
      <c r="J366" s="40">
        <f>I366*(1-IFERROR(VLOOKUP(H366,Rabat!$D$10:$E$41,2,FALSE),0))</f>
        <v>32.9</v>
      </c>
      <c r="K366">
        <v>0.15</v>
      </c>
      <c r="L366" t="s">
        <v>1773</v>
      </c>
      <c r="M366" t="s">
        <v>2165</v>
      </c>
      <c r="N366" t="s">
        <v>2000</v>
      </c>
      <c r="O366" t="s">
        <v>1776</v>
      </c>
      <c r="P366">
        <v>60</v>
      </c>
      <c r="Q366">
        <v>1800</v>
      </c>
      <c r="R366" t="s">
        <v>1777</v>
      </c>
      <c r="S366" s="42" t="str">
        <f>HYPERLINK("https://sklep.kobi.pl/produkt/oprawa-led-mh-10w-czarna-6000k-led2b")</f>
        <v>https://sklep.kobi.pl/produkt/oprawa-led-mh-10w-czarna-6000k-led2b</v>
      </c>
      <c r="T366" s="42" t="str">
        <f>HYPERLINK("https://eprel.ec.europa.eu/qr/760357         ")</f>
        <v xml:space="preserve">https://eprel.ec.europa.eu/qr/760357         </v>
      </c>
      <c r="U366">
        <v>0.18099999999999999</v>
      </c>
      <c r="V366">
        <v>0.216</v>
      </c>
      <c r="W366">
        <v>115</v>
      </c>
      <c r="X366">
        <v>110</v>
      </c>
      <c r="Y366">
        <v>35</v>
      </c>
      <c r="Z366" t="s">
        <v>1778</v>
      </c>
      <c r="AA366"/>
    </row>
    <row r="367" spans="1:27" ht="15" x14ac:dyDescent="0.25">
      <c r="A367" t="s">
        <v>5</v>
      </c>
      <c r="B367" t="s">
        <v>712</v>
      </c>
      <c r="C367" t="s">
        <v>257</v>
      </c>
      <c r="D367" t="s">
        <v>667</v>
      </c>
      <c r="E367" t="s">
        <v>71</v>
      </c>
      <c r="F367" t="s">
        <v>1634</v>
      </c>
      <c r="G367" t="s">
        <v>1635</v>
      </c>
      <c r="H367" t="s">
        <v>6</v>
      </c>
      <c r="I367" s="41">
        <v>47</v>
      </c>
      <c r="J367" s="40">
        <f>I367*(1-IFERROR(VLOOKUP(H367,Rabat!$D$10:$E$41,2,FALSE),0))</f>
        <v>47</v>
      </c>
      <c r="K367">
        <v>0.23</v>
      </c>
      <c r="L367" t="s">
        <v>1773</v>
      </c>
      <c r="M367" t="s">
        <v>2166</v>
      </c>
      <c r="N367" t="s">
        <v>2000</v>
      </c>
      <c r="O367" t="s">
        <v>1776</v>
      </c>
      <c r="P367">
        <v>40</v>
      </c>
      <c r="Q367">
        <v>1600</v>
      </c>
      <c r="R367" t="s">
        <v>1777</v>
      </c>
      <c r="S367"/>
      <c r="T367" s="42" t="str">
        <f>HYPERLINK("https://eprel.ec.europa.eu/qr/941464         ")</f>
        <v xml:space="preserve">https://eprel.ec.europa.eu/qr/941464         </v>
      </c>
      <c r="U367">
        <v>0.26800000000000002</v>
      </c>
      <c r="V367">
        <v>0.316</v>
      </c>
      <c r="W367">
        <v>150</v>
      </c>
      <c r="X367">
        <v>135</v>
      </c>
      <c r="Y367">
        <v>30</v>
      </c>
      <c r="Z367" t="s">
        <v>1778</v>
      </c>
      <c r="AA367"/>
    </row>
    <row r="368" spans="1:27" ht="15" x14ac:dyDescent="0.25">
      <c r="A368" t="s">
        <v>5</v>
      </c>
      <c r="B368" t="s">
        <v>712</v>
      </c>
      <c r="C368" t="s">
        <v>257</v>
      </c>
      <c r="D368" t="s">
        <v>667</v>
      </c>
      <c r="E368" t="s">
        <v>71</v>
      </c>
      <c r="F368" t="s">
        <v>782</v>
      </c>
      <c r="G368" t="s">
        <v>783</v>
      </c>
      <c r="H368" t="s">
        <v>6</v>
      </c>
      <c r="I368" s="41">
        <v>47</v>
      </c>
      <c r="J368" s="40">
        <f>I368*(1-IFERROR(VLOOKUP(H368,Rabat!$D$10:$E$41,2,FALSE),0))</f>
        <v>47</v>
      </c>
      <c r="K368">
        <v>0.23</v>
      </c>
      <c r="L368" t="s">
        <v>1773</v>
      </c>
      <c r="M368" t="s">
        <v>2167</v>
      </c>
      <c r="N368" t="s">
        <v>2000</v>
      </c>
      <c r="O368" t="s">
        <v>1776</v>
      </c>
      <c r="P368">
        <v>40</v>
      </c>
      <c r="Q368">
        <v>1600</v>
      </c>
      <c r="R368" t="s">
        <v>1777</v>
      </c>
      <c r="S368" s="42" t="str">
        <f>HYPERLINK("https://sklep.kobi.pl/produkt/oprawa-led-mh-20w-czarna-4000k-led2b")</f>
        <v>https://sklep.kobi.pl/produkt/oprawa-led-mh-20w-czarna-4000k-led2b</v>
      </c>
      <c r="T368" s="42" t="str">
        <f>HYPERLINK("https://eprel.ec.europa.eu/qr/760359         ")</f>
        <v xml:space="preserve">https://eprel.ec.europa.eu/qr/760359         </v>
      </c>
      <c r="U368">
        <v>0.26800000000000002</v>
      </c>
      <c r="V368">
        <v>0.316</v>
      </c>
      <c r="W368">
        <v>150</v>
      </c>
      <c r="X368">
        <v>135</v>
      </c>
      <c r="Y368">
        <v>30</v>
      </c>
      <c r="Z368" t="s">
        <v>1778</v>
      </c>
      <c r="AA368"/>
    </row>
    <row r="369" spans="1:27" ht="15" x14ac:dyDescent="0.25">
      <c r="A369" t="s">
        <v>5</v>
      </c>
      <c r="B369" t="s">
        <v>712</v>
      </c>
      <c r="C369" t="s">
        <v>257</v>
      </c>
      <c r="D369" t="s">
        <v>667</v>
      </c>
      <c r="E369" t="s">
        <v>71</v>
      </c>
      <c r="F369" t="s">
        <v>715</v>
      </c>
      <c r="G369" t="s">
        <v>716</v>
      </c>
      <c r="H369" t="s">
        <v>6</v>
      </c>
      <c r="I369" s="41">
        <v>47</v>
      </c>
      <c r="J369" s="40">
        <f>I369*(1-IFERROR(VLOOKUP(H369,Rabat!$D$10:$E$41,2,FALSE),0))</f>
        <v>47</v>
      </c>
      <c r="K369">
        <v>0.23</v>
      </c>
      <c r="L369" t="s">
        <v>1773</v>
      </c>
      <c r="M369" t="s">
        <v>2168</v>
      </c>
      <c r="N369" t="s">
        <v>2000</v>
      </c>
      <c r="O369" t="s">
        <v>1776</v>
      </c>
      <c r="P369">
        <v>40</v>
      </c>
      <c r="Q369">
        <v>1600</v>
      </c>
      <c r="R369" t="s">
        <v>1777</v>
      </c>
      <c r="S369" s="42" t="str">
        <f>HYPERLINK("https://sklep.kobi.pl/produkt/oprawa-led-mh-20w-czarna-6000k-led2b")</f>
        <v>https://sklep.kobi.pl/produkt/oprawa-led-mh-20w-czarna-6000k-led2b</v>
      </c>
      <c r="T369" s="42" t="str">
        <f>HYPERLINK("https://eprel.ec.europa.eu/qr/760361         ")</f>
        <v xml:space="preserve">https://eprel.ec.europa.eu/qr/760361         </v>
      </c>
      <c r="U369">
        <v>0.26800000000000002</v>
      </c>
      <c r="V369">
        <v>0.316</v>
      </c>
      <c r="W369">
        <v>150</v>
      </c>
      <c r="X369">
        <v>135</v>
      </c>
      <c r="Y369">
        <v>30</v>
      </c>
      <c r="Z369" t="s">
        <v>1778</v>
      </c>
      <c r="AA369"/>
    </row>
    <row r="370" spans="1:27" ht="15" x14ac:dyDescent="0.25">
      <c r="A370" t="s">
        <v>5</v>
      </c>
      <c r="B370" t="s">
        <v>712</v>
      </c>
      <c r="C370" t="s">
        <v>257</v>
      </c>
      <c r="D370" t="s">
        <v>667</v>
      </c>
      <c r="E370" t="s">
        <v>71</v>
      </c>
      <c r="F370" t="s">
        <v>1636</v>
      </c>
      <c r="G370" t="s">
        <v>1637</v>
      </c>
      <c r="H370" t="s">
        <v>6</v>
      </c>
      <c r="I370" s="41">
        <v>68</v>
      </c>
      <c r="J370" s="40">
        <f>I370*(1-IFERROR(VLOOKUP(H370,Rabat!$D$10:$E$41,2,FALSE),0))</f>
        <v>68</v>
      </c>
      <c r="K370">
        <v>0.37</v>
      </c>
      <c r="L370" t="s">
        <v>1773</v>
      </c>
      <c r="M370" t="s">
        <v>2169</v>
      </c>
      <c r="N370" t="s">
        <v>2000</v>
      </c>
      <c r="O370" t="s">
        <v>1776</v>
      </c>
      <c r="P370">
        <v>30</v>
      </c>
      <c r="Q370">
        <v>960</v>
      </c>
      <c r="R370" t="s">
        <v>1777</v>
      </c>
      <c r="S370"/>
      <c r="T370" s="42" t="str">
        <f>HYPERLINK("https://eprel.ec.europa.eu/qr/941551         ")</f>
        <v xml:space="preserve">https://eprel.ec.europa.eu/qr/941551         </v>
      </c>
      <c r="U370">
        <v>0.435</v>
      </c>
      <c r="V370">
        <v>0.501</v>
      </c>
      <c r="W370">
        <v>190</v>
      </c>
      <c r="X370">
        <v>175</v>
      </c>
      <c r="Y370">
        <v>35</v>
      </c>
      <c r="Z370" t="s">
        <v>1778</v>
      </c>
      <c r="AA370"/>
    </row>
    <row r="371" spans="1:27" ht="15" x14ac:dyDescent="0.25">
      <c r="A371" t="s">
        <v>5</v>
      </c>
      <c r="B371" t="s">
        <v>712</v>
      </c>
      <c r="C371" t="s">
        <v>257</v>
      </c>
      <c r="D371" t="s">
        <v>667</v>
      </c>
      <c r="E371" t="s">
        <v>71</v>
      </c>
      <c r="F371" t="s">
        <v>784</v>
      </c>
      <c r="G371" t="s">
        <v>785</v>
      </c>
      <c r="H371" t="s">
        <v>6</v>
      </c>
      <c r="I371" s="41">
        <v>68</v>
      </c>
      <c r="J371" s="40">
        <f>I371*(1-IFERROR(VLOOKUP(H371,Rabat!$D$10:$E$41,2,FALSE),0))</f>
        <v>68</v>
      </c>
      <c r="K371">
        <v>0.37</v>
      </c>
      <c r="L371" t="s">
        <v>1773</v>
      </c>
      <c r="M371" t="s">
        <v>2170</v>
      </c>
      <c r="N371" t="s">
        <v>2000</v>
      </c>
      <c r="O371" t="s">
        <v>1776</v>
      </c>
      <c r="P371">
        <v>30</v>
      </c>
      <c r="Q371">
        <v>960</v>
      </c>
      <c r="R371" t="s">
        <v>1777</v>
      </c>
      <c r="S371" s="42" t="str">
        <f>HYPERLINK("https://sklep.kobi.pl/produkt/oprawa-led-mh-30w-czarna-4000k-led2b")</f>
        <v>https://sklep.kobi.pl/produkt/oprawa-led-mh-30w-czarna-4000k-led2b</v>
      </c>
      <c r="T371" s="42" t="str">
        <f>HYPERLINK("https://eprel.ec.europa.eu/qr/760363         ")</f>
        <v xml:space="preserve">https://eprel.ec.europa.eu/qr/760363         </v>
      </c>
      <c r="U371">
        <v>0.435</v>
      </c>
      <c r="V371">
        <v>0.501</v>
      </c>
      <c r="W371">
        <v>190</v>
      </c>
      <c r="X371">
        <v>175</v>
      </c>
      <c r="Y371">
        <v>35</v>
      </c>
      <c r="Z371" t="s">
        <v>1778</v>
      </c>
      <c r="AA371"/>
    </row>
    <row r="372" spans="1:27" ht="15" x14ac:dyDescent="0.25">
      <c r="A372" t="s">
        <v>5</v>
      </c>
      <c r="B372" t="s">
        <v>712</v>
      </c>
      <c r="C372" t="s">
        <v>257</v>
      </c>
      <c r="D372" t="s">
        <v>667</v>
      </c>
      <c r="E372" t="s">
        <v>71</v>
      </c>
      <c r="F372" t="s">
        <v>719</v>
      </c>
      <c r="G372" t="s">
        <v>720</v>
      </c>
      <c r="H372" t="s">
        <v>6</v>
      </c>
      <c r="I372" s="41">
        <v>68</v>
      </c>
      <c r="J372" s="40">
        <f>I372*(1-IFERROR(VLOOKUP(H372,Rabat!$D$10:$E$41,2,FALSE),0))</f>
        <v>68</v>
      </c>
      <c r="K372">
        <v>0.37</v>
      </c>
      <c r="L372" t="s">
        <v>1773</v>
      </c>
      <c r="M372" t="s">
        <v>2171</v>
      </c>
      <c r="N372" t="s">
        <v>2000</v>
      </c>
      <c r="O372" t="s">
        <v>1776</v>
      </c>
      <c r="P372">
        <v>30</v>
      </c>
      <c r="Q372">
        <v>960</v>
      </c>
      <c r="R372" t="s">
        <v>1777</v>
      </c>
      <c r="S372" s="42" t="str">
        <f>HYPERLINK("https://sklep.kobi.pl/produkt/oprawa-led-mh-30w-czarna-6000k-led2b")</f>
        <v>https://sklep.kobi.pl/produkt/oprawa-led-mh-30w-czarna-6000k-led2b</v>
      </c>
      <c r="T372" s="42" t="str">
        <f>HYPERLINK("https://eprel.ec.europa.eu/qr/760365         ")</f>
        <v xml:space="preserve">https://eprel.ec.europa.eu/qr/760365         </v>
      </c>
      <c r="U372">
        <v>0.435</v>
      </c>
      <c r="V372">
        <v>0.501</v>
      </c>
      <c r="W372">
        <v>190</v>
      </c>
      <c r="X372">
        <v>175</v>
      </c>
      <c r="Y372">
        <v>35</v>
      </c>
      <c r="Z372" t="s">
        <v>1778</v>
      </c>
      <c r="AA372"/>
    </row>
    <row r="373" spans="1:27" ht="15" x14ac:dyDescent="0.25">
      <c r="A373" t="s">
        <v>5</v>
      </c>
      <c r="B373" t="s">
        <v>712</v>
      </c>
      <c r="C373" t="s">
        <v>257</v>
      </c>
      <c r="D373" t="s">
        <v>667</v>
      </c>
      <c r="E373" t="s">
        <v>71</v>
      </c>
      <c r="F373" t="s">
        <v>1638</v>
      </c>
      <c r="G373" t="s">
        <v>1639</v>
      </c>
      <c r="H373" t="s">
        <v>6</v>
      </c>
      <c r="I373" s="41">
        <v>83.11</v>
      </c>
      <c r="J373" s="40">
        <f>I373*(1-IFERROR(VLOOKUP(H373,Rabat!$D$10:$E$41,2,FALSE),0))</f>
        <v>83.11</v>
      </c>
      <c r="K373">
        <v>0.5</v>
      </c>
      <c r="L373" t="s">
        <v>1773</v>
      </c>
      <c r="M373" t="s">
        <v>2172</v>
      </c>
      <c r="N373" t="s">
        <v>2000</v>
      </c>
      <c r="O373" t="s">
        <v>1776</v>
      </c>
      <c r="P373">
        <v>20</v>
      </c>
      <c r="Q373">
        <v>840</v>
      </c>
      <c r="R373" t="s">
        <v>1777</v>
      </c>
      <c r="S373"/>
      <c r="T373" s="42" t="str">
        <f>HYPERLINK("https://eprel.ec.europa.eu/qr/941599         ")</f>
        <v xml:space="preserve">https://eprel.ec.europa.eu/qr/941599         </v>
      </c>
      <c r="U373">
        <v>0.58799999999999997</v>
      </c>
      <c r="V373">
        <v>0.67400000000000004</v>
      </c>
      <c r="W373">
        <v>220</v>
      </c>
      <c r="X373">
        <v>185</v>
      </c>
      <c r="Y373">
        <v>30</v>
      </c>
      <c r="Z373" t="s">
        <v>1778</v>
      </c>
      <c r="AA373"/>
    </row>
    <row r="374" spans="1:27" ht="15" x14ac:dyDescent="0.25">
      <c r="A374" t="s">
        <v>5</v>
      </c>
      <c r="B374" t="s">
        <v>712</v>
      </c>
      <c r="C374" t="s">
        <v>257</v>
      </c>
      <c r="D374" t="s">
        <v>667</v>
      </c>
      <c r="E374" t="s">
        <v>71</v>
      </c>
      <c r="F374" t="s">
        <v>786</v>
      </c>
      <c r="G374" t="s">
        <v>787</v>
      </c>
      <c r="H374" t="s">
        <v>6</v>
      </c>
      <c r="I374" s="41">
        <v>83.11</v>
      </c>
      <c r="J374" s="40">
        <f>I374*(1-IFERROR(VLOOKUP(H374,Rabat!$D$10:$E$41,2,FALSE),0))</f>
        <v>83.11</v>
      </c>
      <c r="K374">
        <v>0.5</v>
      </c>
      <c r="L374" t="s">
        <v>1773</v>
      </c>
      <c r="M374" t="s">
        <v>2173</v>
      </c>
      <c r="N374" t="s">
        <v>2000</v>
      </c>
      <c r="O374" t="s">
        <v>1776</v>
      </c>
      <c r="P374">
        <v>20</v>
      </c>
      <c r="Q374">
        <v>840</v>
      </c>
      <c r="R374" t="s">
        <v>1777</v>
      </c>
      <c r="S374" s="42" t="str">
        <f>HYPERLINK("https://sklep.kobi.pl/produkt/oprawa-led-mh-50w-czarna-4000k-led2b")</f>
        <v>https://sklep.kobi.pl/produkt/oprawa-led-mh-50w-czarna-4000k-led2b</v>
      </c>
      <c r="T374" s="42" t="str">
        <f>HYPERLINK("https://eprel.ec.europa.eu/qr/760369         ")</f>
        <v xml:space="preserve">https://eprel.ec.europa.eu/qr/760369         </v>
      </c>
      <c r="U374">
        <v>0.58799999999999997</v>
      </c>
      <c r="V374">
        <v>0.67400000000000004</v>
      </c>
      <c r="W374">
        <v>220</v>
      </c>
      <c r="X374">
        <v>185</v>
      </c>
      <c r="Y374">
        <v>30</v>
      </c>
      <c r="Z374" t="s">
        <v>1778</v>
      </c>
      <c r="AA374"/>
    </row>
    <row r="375" spans="1:27" ht="15" x14ac:dyDescent="0.25">
      <c r="A375" t="s">
        <v>5</v>
      </c>
      <c r="B375" t="s">
        <v>712</v>
      </c>
      <c r="C375" t="s">
        <v>257</v>
      </c>
      <c r="D375" t="s">
        <v>667</v>
      </c>
      <c r="E375" t="s">
        <v>71</v>
      </c>
      <c r="F375" t="s">
        <v>717</v>
      </c>
      <c r="G375" t="s">
        <v>718</v>
      </c>
      <c r="H375" t="s">
        <v>6</v>
      </c>
      <c r="I375" s="41">
        <v>83.11</v>
      </c>
      <c r="J375" s="40">
        <f>I375*(1-IFERROR(VLOOKUP(H375,Rabat!$D$10:$E$41,2,FALSE),0))</f>
        <v>83.11</v>
      </c>
      <c r="K375">
        <v>0.5</v>
      </c>
      <c r="L375" t="s">
        <v>1773</v>
      </c>
      <c r="M375" t="s">
        <v>2174</v>
      </c>
      <c r="N375" t="s">
        <v>2000</v>
      </c>
      <c r="O375" t="s">
        <v>1776</v>
      </c>
      <c r="P375">
        <v>20</v>
      </c>
      <c r="Q375">
        <v>840</v>
      </c>
      <c r="R375" t="s">
        <v>1777</v>
      </c>
      <c r="S375" s="42" t="str">
        <f>HYPERLINK("https://sklep.kobi.pl/produkt/oprawa-led-mh-50w-czarna-6000k-led2b")</f>
        <v>https://sklep.kobi.pl/produkt/oprawa-led-mh-50w-czarna-6000k-led2b</v>
      </c>
      <c r="T375" s="42" t="str">
        <f>HYPERLINK("https://eprel.ec.europa.eu/qr/760371         ")</f>
        <v xml:space="preserve">https://eprel.ec.europa.eu/qr/760371         </v>
      </c>
      <c r="U375">
        <v>0.58799999999999997</v>
      </c>
      <c r="V375">
        <v>0.67400000000000004</v>
      </c>
      <c r="W375">
        <v>220</v>
      </c>
      <c r="X375">
        <v>185</v>
      </c>
      <c r="Y375">
        <v>30</v>
      </c>
      <c r="Z375" t="s">
        <v>1778</v>
      </c>
      <c r="AA375"/>
    </row>
    <row r="376" spans="1:27" ht="15" x14ac:dyDescent="0.25">
      <c r="A376" t="s">
        <v>5</v>
      </c>
      <c r="B376" t="s">
        <v>712</v>
      </c>
      <c r="C376" t="s">
        <v>257</v>
      </c>
      <c r="D376" t="s">
        <v>69</v>
      </c>
      <c r="E376" t="s">
        <v>149</v>
      </c>
      <c r="F376" t="s">
        <v>908</v>
      </c>
      <c r="G376" t="s">
        <v>909</v>
      </c>
      <c r="H376" t="s">
        <v>6</v>
      </c>
      <c r="I376" s="41">
        <v>44.48</v>
      </c>
      <c r="J376" s="40">
        <f>I376*(1-IFERROR(VLOOKUP(H376,Rabat!$D$10:$E$41,2,FALSE),0))</f>
        <v>44.48</v>
      </c>
      <c r="K376">
        <v>0.25</v>
      </c>
      <c r="L376" t="s">
        <v>1773</v>
      </c>
      <c r="M376" t="s">
        <v>2175</v>
      </c>
      <c r="N376" t="s">
        <v>2000</v>
      </c>
      <c r="O376" t="s">
        <v>1776</v>
      </c>
      <c r="P376">
        <v>40</v>
      </c>
      <c r="Q376">
        <v>0</v>
      </c>
      <c r="R376" t="s">
        <v>1820</v>
      </c>
      <c r="S376" s="42" t="str">
        <f>HYPERLINK("https://sklep.kobi.pl/produkt/led-mhn-10w-4000k")</f>
        <v>https://sklep.kobi.pl/produkt/led-mhn-10w-4000k</v>
      </c>
      <c r="T376" s="42" t="str">
        <f>HYPERLINK("https://eprel.ec.europa.eu/qr/780607         ")</f>
        <v xml:space="preserve">https://eprel.ec.europa.eu/qr/780607         </v>
      </c>
      <c r="U376">
        <v>0.29299999999999998</v>
      </c>
      <c r="V376">
        <v>0.33500000000000002</v>
      </c>
      <c r="W376">
        <v>115</v>
      </c>
      <c r="X376">
        <v>125</v>
      </c>
      <c r="Y376">
        <v>40</v>
      </c>
      <c r="Z376" t="s">
        <v>1778</v>
      </c>
      <c r="AA376"/>
    </row>
    <row r="377" spans="1:27" ht="15" x14ac:dyDescent="0.25">
      <c r="A377" t="s">
        <v>5</v>
      </c>
      <c r="B377" t="s">
        <v>712</v>
      </c>
      <c r="C377" t="s">
        <v>257</v>
      </c>
      <c r="D377" t="s">
        <v>69</v>
      </c>
      <c r="E377" t="s">
        <v>149</v>
      </c>
      <c r="F377" t="s">
        <v>910</v>
      </c>
      <c r="G377" t="s">
        <v>911</v>
      </c>
      <c r="H377" t="s">
        <v>6</v>
      </c>
      <c r="I377" s="41">
        <v>44.48</v>
      </c>
      <c r="J377" s="40">
        <f>I377*(1-IFERROR(VLOOKUP(H377,Rabat!$D$10:$E$41,2,FALSE),0))</f>
        <v>44.48</v>
      </c>
      <c r="K377">
        <v>0.25</v>
      </c>
      <c r="L377" t="s">
        <v>1773</v>
      </c>
      <c r="M377" t="s">
        <v>2176</v>
      </c>
      <c r="N377" t="s">
        <v>2000</v>
      </c>
      <c r="O377" t="s">
        <v>1776</v>
      </c>
      <c r="P377">
        <v>40</v>
      </c>
      <c r="Q377">
        <v>0</v>
      </c>
      <c r="R377" t="s">
        <v>1820</v>
      </c>
      <c r="S377" s="42" t="str">
        <f>HYPERLINK("https://sklep.kobi.pl/produkt/led-mhn-10w-6500k")</f>
        <v>https://sklep.kobi.pl/produkt/led-mhn-10w-6500k</v>
      </c>
      <c r="T377" s="42" t="str">
        <f>HYPERLINK("https://eprel.ec.europa.eu/qr/780615         ")</f>
        <v xml:space="preserve">https://eprel.ec.europa.eu/qr/780615         </v>
      </c>
      <c r="U377">
        <v>0.29299999999999998</v>
      </c>
      <c r="V377">
        <v>0.33500000000000002</v>
      </c>
      <c r="W377">
        <v>115</v>
      </c>
      <c r="X377">
        <v>125</v>
      </c>
      <c r="Y377">
        <v>40</v>
      </c>
      <c r="Z377" t="s">
        <v>1778</v>
      </c>
      <c r="AA377"/>
    </row>
    <row r="378" spans="1:27" ht="15" x14ac:dyDescent="0.25">
      <c r="A378" t="s">
        <v>5</v>
      </c>
      <c r="B378" t="s">
        <v>712</v>
      </c>
      <c r="C378" t="s">
        <v>257</v>
      </c>
      <c r="D378" t="s">
        <v>69</v>
      </c>
      <c r="E378" t="s">
        <v>149</v>
      </c>
      <c r="F378" t="s">
        <v>912</v>
      </c>
      <c r="G378" t="s">
        <v>913</v>
      </c>
      <c r="H378" t="s">
        <v>6</v>
      </c>
      <c r="I378" s="41">
        <v>55.56</v>
      </c>
      <c r="J378" s="40">
        <f>I378*(1-IFERROR(VLOOKUP(H378,Rabat!$D$10:$E$41,2,FALSE),0))</f>
        <v>55.56</v>
      </c>
      <c r="K378">
        <v>0.25</v>
      </c>
      <c r="L378" t="s">
        <v>1773</v>
      </c>
      <c r="M378" t="s">
        <v>2177</v>
      </c>
      <c r="N378" t="s">
        <v>2000</v>
      </c>
      <c r="O378" t="s">
        <v>1776</v>
      </c>
      <c r="P378">
        <v>40</v>
      </c>
      <c r="Q378">
        <v>0</v>
      </c>
      <c r="R378" t="s">
        <v>1820</v>
      </c>
      <c r="S378" s="42" t="str">
        <f>HYPERLINK("https://sklep.kobi.pl/produkt/led-mhn-20w-6500k")</f>
        <v>https://sklep.kobi.pl/produkt/led-mhn-20w-6500k</v>
      </c>
      <c r="T378" s="42" t="str">
        <f>HYPERLINK("https://eprel.ec.europa.eu/qr/780633         ")</f>
        <v xml:space="preserve">https://eprel.ec.europa.eu/qr/780633         </v>
      </c>
      <c r="U378">
        <v>0.29799999999999999</v>
      </c>
      <c r="V378">
        <v>0.34100000000000003</v>
      </c>
      <c r="W378">
        <v>115</v>
      </c>
      <c r="X378">
        <v>125</v>
      </c>
      <c r="Y378">
        <v>40</v>
      </c>
      <c r="Z378" t="s">
        <v>1778</v>
      </c>
      <c r="AA378"/>
    </row>
    <row r="379" spans="1:27" ht="15" x14ac:dyDescent="0.25">
      <c r="A379" t="s">
        <v>5</v>
      </c>
      <c r="B379" t="s">
        <v>712</v>
      </c>
      <c r="C379" t="s">
        <v>257</v>
      </c>
      <c r="D379" t="s">
        <v>69</v>
      </c>
      <c r="E379" t="s">
        <v>149</v>
      </c>
      <c r="F379" t="s">
        <v>914</v>
      </c>
      <c r="G379" t="s">
        <v>915</v>
      </c>
      <c r="H379" t="s">
        <v>6</v>
      </c>
      <c r="I379" s="41">
        <v>83.15</v>
      </c>
      <c r="J379" s="40">
        <f>I379*(1-IFERROR(VLOOKUP(H379,Rabat!$D$10:$E$41,2,FALSE),0))</f>
        <v>83.15</v>
      </c>
      <c r="K379">
        <v>0.35</v>
      </c>
      <c r="L379" t="s">
        <v>1773</v>
      </c>
      <c r="M379" t="s">
        <v>2178</v>
      </c>
      <c r="N379" t="s">
        <v>2000</v>
      </c>
      <c r="O379" t="s">
        <v>1776</v>
      </c>
      <c r="P379">
        <v>30</v>
      </c>
      <c r="Q379">
        <v>0</v>
      </c>
      <c r="R379" t="s">
        <v>1820</v>
      </c>
      <c r="S379" s="42" t="str">
        <f>HYPERLINK("https://sklep.kobi.pl/produkt/led-mhn-30w-6500k")</f>
        <v>https://sklep.kobi.pl/produkt/led-mhn-30w-6500k</v>
      </c>
      <c r="T379" s="42" t="str">
        <f>HYPERLINK("https://eprel.ec.europa.eu/qr/780651         ")</f>
        <v xml:space="preserve">https://eprel.ec.europa.eu/qr/780651         </v>
      </c>
      <c r="U379">
        <v>0.41399999999999998</v>
      </c>
      <c r="V379">
        <v>0.46700000000000003</v>
      </c>
      <c r="W379">
        <v>135</v>
      </c>
      <c r="X379">
        <v>150</v>
      </c>
      <c r="Y379">
        <v>45</v>
      </c>
      <c r="Z379" t="s">
        <v>1778</v>
      </c>
      <c r="AA379"/>
    </row>
    <row r="380" spans="1:27" ht="15" x14ac:dyDescent="0.25">
      <c r="A380" t="s">
        <v>5</v>
      </c>
      <c r="B380" t="s">
        <v>712</v>
      </c>
      <c r="C380" t="s">
        <v>257</v>
      </c>
      <c r="D380" t="s">
        <v>69</v>
      </c>
      <c r="E380" t="s">
        <v>149</v>
      </c>
      <c r="F380" t="s">
        <v>916</v>
      </c>
      <c r="G380" t="s">
        <v>917</v>
      </c>
      <c r="H380" t="s">
        <v>6</v>
      </c>
      <c r="I380" s="41">
        <v>125.25</v>
      </c>
      <c r="J380" s="40">
        <f>I380*(1-IFERROR(VLOOKUP(H380,Rabat!$D$10:$E$41,2,FALSE),0))</f>
        <v>125.25</v>
      </c>
      <c r="K380">
        <v>0.56999999999999995</v>
      </c>
      <c r="L380" t="s">
        <v>1773</v>
      </c>
      <c r="M380" t="s">
        <v>2179</v>
      </c>
      <c r="N380" t="s">
        <v>2000</v>
      </c>
      <c r="O380" t="s">
        <v>1776</v>
      </c>
      <c r="P380">
        <v>20</v>
      </c>
      <c r="Q380">
        <v>0</v>
      </c>
      <c r="R380" t="s">
        <v>1820</v>
      </c>
      <c r="S380" s="42" t="str">
        <f>HYPERLINK("https://sklep.kobi.pl/produkt/led-mhn-50w-6500k")</f>
        <v>https://sklep.kobi.pl/produkt/led-mhn-50w-6500k</v>
      </c>
      <c r="T380" s="42" t="str">
        <f>HYPERLINK("https://eprel.ec.europa.eu/qr/780670         ")</f>
        <v xml:space="preserve">https://eprel.ec.europa.eu/qr/780670         </v>
      </c>
      <c r="U380">
        <v>0.68</v>
      </c>
      <c r="V380">
        <v>0.76100000000000001</v>
      </c>
      <c r="W380">
        <v>165</v>
      </c>
      <c r="X380">
        <v>190</v>
      </c>
      <c r="Y380">
        <v>50</v>
      </c>
      <c r="Z380" t="s">
        <v>1778</v>
      </c>
      <c r="AA380"/>
    </row>
    <row r="381" spans="1:27" ht="15" x14ac:dyDescent="0.25">
      <c r="A381" t="s">
        <v>5</v>
      </c>
      <c r="B381" t="s">
        <v>712</v>
      </c>
      <c r="C381" t="s">
        <v>257</v>
      </c>
      <c r="D381" t="s">
        <v>69</v>
      </c>
      <c r="E381" t="s">
        <v>149</v>
      </c>
      <c r="F381" t="s">
        <v>1071</v>
      </c>
      <c r="G381" t="s">
        <v>1072</v>
      </c>
      <c r="H381" t="s">
        <v>6</v>
      </c>
      <c r="I381" s="41">
        <v>322.23</v>
      </c>
      <c r="J381" s="40">
        <f>I381*(1-IFERROR(VLOOKUP(H381,Rabat!$D$10:$E$41,2,FALSE),0))</f>
        <v>322.23</v>
      </c>
      <c r="K381">
        <v>1.65</v>
      </c>
      <c r="L381" t="s">
        <v>1773</v>
      </c>
      <c r="M381" t="s">
        <v>2180</v>
      </c>
      <c r="N381" t="s">
        <v>2000</v>
      </c>
      <c r="O381" t="s">
        <v>1776</v>
      </c>
      <c r="P381">
        <v>4</v>
      </c>
      <c r="Q381">
        <v>0</v>
      </c>
      <c r="R381" t="s">
        <v>1820</v>
      </c>
      <c r="S381" s="42" t="str">
        <f>HYPERLINK("https://sklep.kobi.pl/produkt/oprawa-led-mhn-smd-100w-zb")</f>
        <v>https://sklep.kobi.pl/produkt/oprawa-led-mhn-smd-100w-zb</v>
      </c>
      <c r="T381" s="42" t="str">
        <f>HYPERLINK("https://eprel.ec.europa.eu/qr/830427         ")</f>
        <v xml:space="preserve">https://eprel.ec.europa.eu/qr/830427         </v>
      </c>
      <c r="U381">
        <v>1.9490000000000001</v>
      </c>
      <c r="V381">
        <v>2.15</v>
      </c>
      <c r="W381">
        <v>55</v>
      </c>
      <c r="X381">
        <v>300</v>
      </c>
      <c r="Y381">
        <v>345</v>
      </c>
      <c r="Z381" t="s">
        <v>1778</v>
      </c>
      <c r="AA381"/>
    </row>
    <row r="382" spans="1:27" ht="15" x14ac:dyDescent="0.25">
      <c r="A382" t="s">
        <v>5</v>
      </c>
      <c r="B382" t="s">
        <v>712</v>
      </c>
      <c r="C382" t="s">
        <v>257</v>
      </c>
      <c r="D382" t="s">
        <v>69</v>
      </c>
      <c r="E382" t="s">
        <v>149</v>
      </c>
      <c r="F382" t="s">
        <v>1173</v>
      </c>
      <c r="G382" t="s">
        <v>1174</v>
      </c>
      <c r="H382" t="s">
        <v>6</v>
      </c>
      <c r="I382" s="41">
        <v>293.77999999999997</v>
      </c>
      <c r="J382" s="40">
        <f>I382*(1-IFERROR(VLOOKUP(H382,Rabat!$D$10:$E$41,2,FALSE),0))</f>
        <v>293.77999999999997</v>
      </c>
      <c r="K382">
        <v>1.44</v>
      </c>
      <c r="L382" t="s">
        <v>1773</v>
      </c>
      <c r="M382" t="s">
        <v>2181</v>
      </c>
      <c r="N382" t="s">
        <v>2000</v>
      </c>
      <c r="O382" t="s">
        <v>1776</v>
      </c>
      <c r="P382">
        <v>4</v>
      </c>
      <c r="Q382">
        <v>0</v>
      </c>
      <c r="R382" t="s">
        <v>1777</v>
      </c>
      <c r="S382" s="42" t="str">
        <f>HYPERLINK("https://sklep.kobi.pl/produkt/led-tigra-p-100w-4000k")</f>
        <v>https://sklep.kobi.pl/produkt/led-tigra-p-100w-4000k</v>
      </c>
      <c r="T382" s="42" t="str">
        <f>HYPERLINK("https://eprel.ec.europa.eu/qr/1201519        ")</f>
        <v xml:space="preserve">https://eprel.ec.europa.eu/qr/1201519        </v>
      </c>
      <c r="U382">
        <v>1.71</v>
      </c>
      <c r="V382">
        <v>0</v>
      </c>
      <c r="W382">
        <v>350</v>
      </c>
      <c r="X382">
        <v>90</v>
      </c>
      <c r="Y382">
        <v>340</v>
      </c>
      <c r="Z382" t="s">
        <v>1778</v>
      </c>
      <c r="AA382"/>
    </row>
    <row r="383" spans="1:27" ht="15" x14ac:dyDescent="0.25">
      <c r="A383" t="s">
        <v>5</v>
      </c>
      <c r="B383" t="s">
        <v>712</v>
      </c>
      <c r="C383" t="s">
        <v>257</v>
      </c>
      <c r="D383" t="s">
        <v>69</v>
      </c>
      <c r="E383" t="s">
        <v>149</v>
      </c>
      <c r="F383" t="s">
        <v>1171</v>
      </c>
      <c r="G383" t="s">
        <v>1172</v>
      </c>
      <c r="H383" t="s">
        <v>6</v>
      </c>
      <c r="I383" s="41">
        <v>194.38</v>
      </c>
      <c r="J383" s="40">
        <f>I383*(1-IFERROR(VLOOKUP(H383,Rabat!$D$10:$E$41,2,FALSE),0))</f>
        <v>194.38</v>
      </c>
      <c r="K383">
        <v>1.44</v>
      </c>
      <c r="L383" t="s">
        <v>1773</v>
      </c>
      <c r="M383" t="s">
        <v>2182</v>
      </c>
      <c r="N383" t="s">
        <v>2000</v>
      </c>
      <c r="O383" t="s">
        <v>1776</v>
      </c>
      <c r="P383">
        <v>8</v>
      </c>
      <c r="Q383">
        <v>0</v>
      </c>
      <c r="R383" t="s">
        <v>1777</v>
      </c>
      <c r="S383" s="42" t="str">
        <f>HYPERLINK("https://sklep.kobi.pl/produkt/led-tigra-p-50w-4000k")</f>
        <v>https://sklep.kobi.pl/produkt/led-tigra-p-50w-4000k</v>
      </c>
      <c r="T383" s="42" t="str">
        <f>HYPERLINK("https://eprel.ec.europa.eu/qr/1201518        ")</f>
        <v xml:space="preserve">https://eprel.ec.europa.eu/qr/1201518        </v>
      </c>
      <c r="U383">
        <v>1.71</v>
      </c>
      <c r="V383">
        <v>0</v>
      </c>
      <c r="W383">
        <v>270</v>
      </c>
      <c r="X383">
        <v>80</v>
      </c>
      <c r="Y383">
        <v>260</v>
      </c>
      <c r="Z383" t="s">
        <v>1778</v>
      </c>
      <c r="AA383"/>
    </row>
    <row r="384" spans="1:27" ht="15" x14ac:dyDescent="0.25">
      <c r="A384" t="s">
        <v>5</v>
      </c>
      <c r="B384" t="s">
        <v>712</v>
      </c>
      <c r="C384" t="s">
        <v>257</v>
      </c>
      <c r="D384" t="s">
        <v>69</v>
      </c>
      <c r="E384" t="s">
        <v>149</v>
      </c>
      <c r="F384" t="s">
        <v>1175</v>
      </c>
      <c r="G384" t="s">
        <v>1176</v>
      </c>
      <c r="H384" t="s">
        <v>6</v>
      </c>
      <c r="I384" s="41">
        <v>376.73</v>
      </c>
      <c r="J384" s="40">
        <f>I384*(1-IFERROR(VLOOKUP(H384,Rabat!$D$10:$E$41,2,FALSE),0))</f>
        <v>376.73</v>
      </c>
      <c r="K384">
        <v>3.1</v>
      </c>
      <c r="L384" t="s">
        <v>1773</v>
      </c>
      <c r="M384" t="s">
        <v>2183</v>
      </c>
      <c r="N384" t="s">
        <v>2000</v>
      </c>
      <c r="O384" t="s">
        <v>1776</v>
      </c>
      <c r="P384">
        <v>4</v>
      </c>
      <c r="Q384">
        <v>0</v>
      </c>
      <c r="R384" t="s">
        <v>1777</v>
      </c>
      <c r="S384" s="42" t="str">
        <f>HYPERLINK("https://sklep.kobi.pl/produkt/led-tigra-s-2x30w-4000k")</f>
        <v>https://sklep.kobi.pl/produkt/led-tigra-s-2x30w-4000k</v>
      </c>
      <c r="T384" s="42" t="str">
        <f>HYPERLINK("https://eprel.ec.europa.eu/qr/1201516        ")</f>
        <v xml:space="preserve">https://eprel.ec.europa.eu/qr/1201516        </v>
      </c>
      <c r="U384">
        <v>3.67</v>
      </c>
      <c r="V384">
        <v>0</v>
      </c>
      <c r="W384">
        <v>150</v>
      </c>
      <c r="X384">
        <v>170</v>
      </c>
      <c r="Y384">
        <v>690</v>
      </c>
      <c r="Z384" t="s">
        <v>1778</v>
      </c>
      <c r="AA384"/>
    </row>
    <row r="385" spans="1:27" ht="15" x14ac:dyDescent="0.25">
      <c r="A385" t="s">
        <v>5</v>
      </c>
      <c r="B385" t="s">
        <v>712</v>
      </c>
      <c r="C385" t="s">
        <v>257</v>
      </c>
      <c r="D385" t="s">
        <v>69</v>
      </c>
      <c r="E385" t="s">
        <v>149</v>
      </c>
      <c r="F385" t="s">
        <v>1177</v>
      </c>
      <c r="G385" t="s">
        <v>1178</v>
      </c>
      <c r="H385" t="s">
        <v>6</v>
      </c>
      <c r="I385" s="41">
        <v>433.49</v>
      </c>
      <c r="J385" s="40">
        <f>I385*(1-IFERROR(VLOOKUP(H385,Rabat!$D$10:$E$41,2,FALSE),0))</f>
        <v>433.49</v>
      </c>
      <c r="K385">
        <v>3.1</v>
      </c>
      <c r="L385" t="s">
        <v>1773</v>
      </c>
      <c r="M385" t="s">
        <v>2184</v>
      </c>
      <c r="N385" t="s">
        <v>2000</v>
      </c>
      <c r="O385" t="s">
        <v>1776</v>
      </c>
      <c r="P385">
        <v>4</v>
      </c>
      <c r="Q385">
        <v>0</v>
      </c>
      <c r="R385" t="s">
        <v>1777</v>
      </c>
      <c r="S385" s="42" t="str">
        <f>HYPERLINK("https://sklep.kobi.pl/produkt/led-tigra-s-2x50w-4000k")</f>
        <v>https://sklep.kobi.pl/produkt/led-tigra-s-2x50w-4000k</v>
      </c>
      <c r="T385" s="42" t="str">
        <f>HYPERLINK("https://eprel.ec.europa.eu/qr/1201518        ")</f>
        <v xml:space="preserve">https://eprel.ec.europa.eu/qr/1201518        </v>
      </c>
      <c r="U385">
        <v>3.67</v>
      </c>
      <c r="V385">
        <v>0</v>
      </c>
      <c r="W385">
        <v>160</v>
      </c>
      <c r="X385">
        <v>180</v>
      </c>
      <c r="Y385">
        <v>690</v>
      </c>
      <c r="Z385" t="s">
        <v>1778</v>
      </c>
      <c r="AA385"/>
    </row>
    <row r="386" spans="1:27" ht="15" x14ac:dyDescent="0.25">
      <c r="A386" t="s">
        <v>5</v>
      </c>
      <c r="B386" t="s">
        <v>513</v>
      </c>
      <c r="C386" t="s">
        <v>257</v>
      </c>
      <c r="D386" t="s">
        <v>69</v>
      </c>
      <c r="E386" t="s">
        <v>71</v>
      </c>
      <c r="F386" t="s">
        <v>516</v>
      </c>
      <c r="G386" t="s">
        <v>517</v>
      </c>
      <c r="H386" t="s">
        <v>6</v>
      </c>
      <c r="I386" s="41">
        <v>193.84</v>
      </c>
      <c r="J386" s="40">
        <f>I386*(1-IFERROR(VLOOKUP(H386,Rabat!$D$10:$E$41,2,FALSE),0))</f>
        <v>193.84</v>
      </c>
      <c r="K386">
        <v>0.55000000000000004</v>
      </c>
      <c r="L386" t="s">
        <v>1789</v>
      </c>
      <c r="M386" t="s">
        <v>2185</v>
      </c>
      <c r="N386" t="s">
        <v>2186</v>
      </c>
      <c r="O386" t="s">
        <v>1776</v>
      </c>
      <c r="P386">
        <v>18</v>
      </c>
      <c r="Q386">
        <v>0</v>
      </c>
      <c r="R386" t="s">
        <v>1777</v>
      </c>
      <c r="S386" s="42" t="str">
        <f>HYPERLINK("https://sklep.kobi.pl/produkt/oprawa-solar-led-mhc-5w-nb")</f>
        <v>https://sklep.kobi.pl/produkt/oprawa-solar-led-mhc-5w-nb</v>
      </c>
      <c r="T386" t="s">
        <v>71</v>
      </c>
      <c r="U386">
        <v>0.65400000000000003</v>
      </c>
      <c r="V386">
        <v>0.72099999999999997</v>
      </c>
      <c r="W386">
        <v>230</v>
      </c>
      <c r="X386">
        <v>210</v>
      </c>
      <c r="Y386">
        <v>10</v>
      </c>
      <c r="Z386" t="s">
        <v>1778</v>
      </c>
      <c r="AA386"/>
    </row>
    <row r="387" spans="1:27" ht="15" x14ac:dyDescent="0.25">
      <c r="A387" t="s">
        <v>5</v>
      </c>
      <c r="B387" t="s">
        <v>513</v>
      </c>
      <c r="C387" t="s">
        <v>257</v>
      </c>
      <c r="D387" t="s">
        <v>69</v>
      </c>
      <c r="E387" t="s">
        <v>71</v>
      </c>
      <c r="F387" t="s">
        <v>514</v>
      </c>
      <c r="G387" t="s">
        <v>515</v>
      </c>
      <c r="H387" t="s">
        <v>6</v>
      </c>
      <c r="I387" s="41">
        <v>388.15</v>
      </c>
      <c r="J387" s="40">
        <f>I387*(1-IFERROR(VLOOKUP(H387,Rabat!$D$10:$E$41,2,FALSE),0))</f>
        <v>388.15</v>
      </c>
      <c r="K387">
        <v>1.18</v>
      </c>
      <c r="L387" t="s">
        <v>1789</v>
      </c>
      <c r="M387" t="s">
        <v>2187</v>
      </c>
      <c r="N387" t="s">
        <v>2186</v>
      </c>
      <c r="O387" t="s">
        <v>1776</v>
      </c>
      <c r="P387">
        <v>8</v>
      </c>
      <c r="Q387">
        <v>240</v>
      </c>
      <c r="R387" t="s">
        <v>1777</v>
      </c>
      <c r="S387" s="42" t="str">
        <f>HYPERLINK("https://sklep.kobi.pl/produkt/oprawa-solar-led-mhc-10w-nb")</f>
        <v>https://sklep.kobi.pl/produkt/oprawa-solar-led-mhc-10w-nb</v>
      </c>
      <c r="T387" t="s">
        <v>71</v>
      </c>
      <c r="U387">
        <v>1.395</v>
      </c>
      <c r="V387">
        <v>1.55</v>
      </c>
      <c r="W387">
        <v>230</v>
      </c>
      <c r="X387">
        <v>210</v>
      </c>
      <c r="Y387">
        <v>10</v>
      </c>
      <c r="Z387" t="s">
        <v>1778</v>
      </c>
      <c r="AA387"/>
    </row>
    <row r="388" spans="1:27" ht="15" x14ac:dyDescent="0.25">
      <c r="A388" t="s">
        <v>5</v>
      </c>
      <c r="B388" t="s">
        <v>513</v>
      </c>
      <c r="C388" t="s">
        <v>257</v>
      </c>
      <c r="D388" t="s">
        <v>424</v>
      </c>
      <c r="E388" t="s">
        <v>71</v>
      </c>
      <c r="F388" t="s">
        <v>1250</v>
      </c>
      <c r="G388" t="s">
        <v>1251</v>
      </c>
      <c r="H388" t="s">
        <v>6</v>
      </c>
      <c r="I388" s="41">
        <v>280</v>
      </c>
      <c r="J388" s="40">
        <f>I388*(1-IFERROR(VLOOKUP(H388,Rabat!$D$10:$E$41,2,FALSE),0))</f>
        <v>280</v>
      </c>
      <c r="K388">
        <v>0.8</v>
      </c>
      <c r="L388" t="s">
        <v>1789</v>
      </c>
      <c r="M388" t="s">
        <v>2188</v>
      </c>
      <c r="N388" t="s">
        <v>2186</v>
      </c>
      <c r="O388" t="s">
        <v>1776</v>
      </c>
      <c r="P388">
        <v>12</v>
      </c>
      <c r="Q388">
        <v>0</v>
      </c>
      <c r="R388" t="s">
        <v>1777</v>
      </c>
      <c r="S388" s="42" t="str">
        <f>HYPERLINK("https://sklep.kobi.pl/produkt/solar-led-mhcs-10w-4000k-")</f>
        <v>https://sklep.kobi.pl/produkt/solar-led-mhcs-10w-4000k-</v>
      </c>
      <c r="T388" t="s">
        <v>71</v>
      </c>
      <c r="U388">
        <v>0.95</v>
      </c>
      <c r="V388">
        <v>2.1</v>
      </c>
      <c r="W388">
        <v>70</v>
      </c>
      <c r="X388">
        <v>270</v>
      </c>
      <c r="Y388">
        <v>380</v>
      </c>
      <c r="Z388" t="s">
        <v>1778</v>
      </c>
      <c r="AA388"/>
    </row>
    <row r="389" spans="1:27" ht="15" x14ac:dyDescent="0.25">
      <c r="A389" t="s">
        <v>5</v>
      </c>
      <c r="B389" t="s">
        <v>513</v>
      </c>
      <c r="C389" t="s">
        <v>257</v>
      </c>
      <c r="D389" t="s">
        <v>424</v>
      </c>
      <c r="E389" t="s">
        <v>71</v>
      </c>
      <c r="F389" t="s">
        <v>1252</v>
      </c>
      <c r="G389" t="s">
        <v>1253</v>
      </c>
      <c r="H389" t="s">
        <v>6</v>
      </c>
      <c r="I389" s="41">
        <v>504</v>
      </c>
      <c r="J389" s="40">
        <f>I389*(1-IFERROR(VLOOKUP(H389,Rabat!$D$10:$E$41,2,FALSE),0))</f>
        <v>504</v>
      </c>
      <c r="K389">
        <v>1.6</v>
      </c>
      <c r="L389" t="s">
        <v>1789</v>
      </c>
      <c r="M389" t="s">
        <v>2189</v>
      </c>
      <c r="N389" t="s">
        <v>2186</v>
      </c>
      <c r="O389" t="s">
        <v>1776</v>
      </c>
      <c r="P389">
        <v>8</v>
      </c>
      <c r="Q389">
        <v>0</v>
      </c>
      <c r="R389" t="s">
        <v>1820</v>
      </c>
      <c r="S389" s="42" t="str">
        <f>HYPERLINK("https://sklep.kobi.pl/produkt/solar-led-mhcs-30w")</f>
        <v>https://sklep.kobi.pl/produkt/solar-led-mhcs-30w</v>
      </c>
      <c r="T389" t="s">
        <v>71</v>
      </c>
      <c r="U389">
        <v>1.89</v>
      </c>
      <c r="V389">
        <v>2.2999999999999998</v>
      </c>
      <c r="W389">
        <v>70</v>
      </c>
      <c r="X389">
        <v>270</v>
      </c>
      <c r="Y389">
        <v>380</v>
      </c>
      <c r="Z389" t="s">
        <v>1778</v>
      </c>
      <c r="AA389"/>
    </row>
    <row r="390" spans="1:27" ht="15" x14ac:dyDescent="0.25">
      <c r="A390" t="s">
        <v>5</v>
      </c>
      <c r="B390" t="s">
        <v>513</v>
      </c>
      <c r="C390" t="s">
        <v>257</v>
      </c>
      <c r="D390" t="s">
        <v>667</v>
      </c>
      <c r="E390" t="s">
        <v>71</v>
      </c>
      <c r="F390" t="s">
        <v>922</v>
      </c>
      <c r="G390" t="s">
        <v>923</v>
      </c>
      <c r="H390" t="s">
        <v>6</v>
      </c>
      <c r="I390" s="41">
        <v>240.57</v>
      </c>
      <c r="J390" s="40">
        <f>I390*(1-IFERROR(VLOOKUP(H390,Rabat!$D$10:$E$41,2,FALSE),0))</f>
        <v>240.57</v>
      </c>
      <c r="K390">
        <v>0.89</v>
      </c>
      <c r="L390" t="s">
        <v>1789</v>
      </c>
      <c r="M390" t="s">
        <v>2190</v>
      </c>
      <c r="N390" t="s">
        <v>2186</v>
      </c>
      <c r="O390" t="s">
        <v>1776</v>
      </c>
      <c r="P390">
        <v>12</v>
      </c>
      <c r="Q390">
        <v>240</v>
      </c>
      <c r="R390" t="s">
        <v>1777</v>
      </c>
      <c r="S390" s="42" t="str">
        <f>HYPERLINK("https://sklep.kobi.pl/produkt/solar-led-ncs-10w-6500k-led2b")</f>
        <v>https://sklep.kobi.pl/produkt/solar-led-ncs-10w-6500k-led2b</v>
      </c>
      <c r="T390" t="s">
        <v>71</v>
      </c>
      <c r="U390">
        <v>1.0489999999999999</v>
      </c>
      <c r="V390">
        <v>1.175</v>
      </c>
      <c r="W390">
        <v>170</v>
      </c>
      <c r="X390">
        <v>200</v>
      </c>
      <c r="Y390">
        <v>100</v>
      </c>
      <c r="Z390" t="s">
        <v>1778</v>
      </c>
      <c r="AA390"/>
    </row>
    <row r="391" spans="1:27" ht="15" x14ac:dyDescent="0.25">
      <c r="A391" t="s">
        <v>5</v>
      </c>
      <c r="B391" t="s">
        <v>513</v>
      </c>
      <c r="C391" t="s">
        <v>257</v>
      </c>
      <c r="D391" t="s">
        <v>667</v>
      </c>
      <c r="E391" t="s">
        <v>71</v>
      </c>
      <c r="F391" t="s">
        <v>924</v>
      </c>
      <c r="G391" t="s">
        <v>925</v>
      </c>
      <c r="H391" t="s">
        <v>6</v>
      </c>
      <c r="I391" s="41">
        <v>309.58</v>
      </c>
      <c r="J391" s="40">
        <f>I391*(1-IFERROR(VLOOKUP(H391,Rabat!$D$10:$E$41,2,FALSE),0))</f>
        <v>309.58</v>
      </c>
      <c r="K391">
        <v>1.1299999999999999</v>
      </c>
      <c r="L391" t="s">
        <v>1789</v>
      </c>
      <c r="M391" t="s">
        <v>2191</v>
      </c>
      <c r="N391" t="s">
        <v>2186</v>
      </c>
      <c r="O391" t="s">
        <v>1776</v>
      </c>
      <c r="P391">
        <v>10</v>
      </c>
      <c r="Q391">
        <v>240</v>
      </c>
      <c r="R391" t="s">
        <v>1777</v>
      </c>
      <c r="S391" s="42" t="str">
        <f>HYPERLINK("https://sklep.kobi.pl/produkt/solar-led-ncs-20w-6500k-led2b")</f>
        <v>https://sklep.kobi.pl/produkt/solar-led-ncs-20w-6500k-led2b</v>
      </c>
      <c r="T391" t="s">
        <v>71</v>
      </c>
      <c r="U391">
        <v>1.343</v>
      </c>
      <c r="V391">
        <v>1.534</v>
      </c>
      <c r="W391">
        <v>200</v>
      </c>
      <c r="X391">
        <v>270</v>
      </c>
      <c r="Y391">
        <v>100</v>
      </c>
      <c r="Z391" t="s">
        <v>1778</v>
      </c>
      <c r="AA391"/>
    </row>
    <row r="392" spans="1:27" ht="15" x14ac:dyDescent="0.25">
      <c r="A392" t="s">
        <v>5</v>
      </c>
      <c r="B392" t="s">
        <v>513</v>
      </c>
      <c r="C392" t="s">
        <v>257</v>
      </c>
      <c r="D392" t="s">
        <v>667</v>
      </c>
      <c r="E392" t="s">
        <v>71</v>
      </c>
      <c r="F392" t="s">
        <v>926</v>
      </c>
      <c r="G392" t="s">
        <v>927</v>
      </c>
      <c r="H392" t="s">
        <v>6</v>
      </c>
      <c r="I392" s="41">
        <v>379.8</v>
      </c>
      <c r="J392" s="40">
        <f>I392*(1-IFERROR(VLOOKUP(H392,Rabat!$D$10:$E$41,2,FALSE),0))</f>
        <v>379.8</v>
      </c>
      <c r="K392">
        <v>1.58</v>
      </c>
      <c r="L392" t="s">
        <v>1789</v>
      </c>
      <c r="M392" t="s">
        <v>2192</v>
      </c>
      <c r="N392" t="s">
        <v>2186</v>
      </c>
      <c r="O392" t="s">
        <v>1776</v>
      </c>
      <c r="P392">
        <v>8</v>
      </c>
      <c r="Q392">
        <v>88</v>
      </c>
      <c r="R392" t="s">
        <v>1777</v>
      </c>
      <c r="S392" s="42" t="str">
        <f>HYPERLINK("https://sklep.kobi.pl/produkt/solar-led-ncs-30w-6500k-led2b")</f>
        <v>https://sklep.kobi.pl/produkt/solar-led-ncs-30w-6500k-led2b</v>
      </c>
      <c r="T392" t="s">
        <v>71</v>
      </c>
      <c r="U392">
        <v>1.8720000000000001</v>
      </c>
      <c r="V392">
        <v>2.1059999999999999</v>
      </c>
      <c r="W392">
        <v>300</v>
      </c>
      <c r="X392">
        <v>295</v>
      </c>
      <c r="Y392">
        <v>100</v>
      </c>
      <c r="Z392" t="s">
        <v>1778</v>
      </c>
      <c r="AA392"/>
    </row>
    <row r="393" spans="1:27" ht="15" x14ac:dyDescent="0.25">
      <c r="A393" t="s">
        <v>5</v>
      </c>
      <c r="B393" t="s">
        <v>513</v>
      </c>
      <c r="C393" t="s">
        <v>257</v>
      </c>
      <c r="D393" t="s">
        <v>69</v>
      </c>
      <c r="E393" t="s">
        <v>71</v>
      </c>
      <c r="F393" t="s">
        <v>622</v>
      </c>
      <c r="G393" t="s">
        <v>623</v>
      </c>
      <c r="H393" t="s">
        <v>6</v>
      </c>
      <c r="I393" s="41">
        <v>379.01</v>
      </c>
      <c r="J393" s="40">
        <f>I393*(1-IFERROR(VLOOKUP(H393,Rabat!$D$10:$E$41,2,FALSE),0))</f>
        <v>379.01</v>
      </c>
      <c r="K393">
        <v>1.87</v>
      </c>
      <c r="L393" t="s">
        <v>1789</v>
      </c>
      <c r="M393" t="s">
        <v>2193</v>
      </c>
      <c r="N393" t="s">
        <v>2194</v>
      </c>
      <c r="O393" t="s">
        <v>1776</v>
      </c>
      <c r="P393">
        <v>8</v>
      </c>
      <c r="Q393">
        <v>144</v>
      </c>
      <c r="R393" t="s">
        <v>1777</v>
      </c>
      <c r="S393" s="42" t="str">
        <f>HYPERLINK("https://sklep.kobi.pl/produkt/solar-led-street-15w-4000k")</f>
        <v>https://sklep.kobi.pl/produkt/solar-led-street-15w-4000k</v>
      </c>
      <c r="T393" t="s">
        <v>71</v>
      </c>
      <c r="U393">
        <v>2.2109999999999999</v>
      </c>
      <c r="V393">
        <v>2.4740000000000002</v>
      </c>
      <c r="W393">
        <v>265</v>
      </c>
      <c r="X393">
        <v>530</v>
      </c>
      <c r="Y393">
        <v>65</v>
      </c>
      <c r="Z393" t="s">
        <v>1778</v>
      </c>
      <c r="AA393"/>
    </row>
    <row r="394" spans="1:27" ht="15" x14ac:dyDescent="0.25">
      <c r="A394" t="s">
        <v>5</v>
      </c>
      <c r="B394" t="s">
        <v>513</v>
      </c>
      <c r="C394" t="s">
        <v>257</v>
      </c>
      <c r="D394" t="s">
        <v>69</v>
      </c>
      <c r="E394" t="s">
        <v>71</v>
      </c>
      <c r="F394" t="s">
        <v>987</v>
      </c>
      <c r="G394" t="s">
        <v>988</v>
      </c>
      <c r="H394" t="s">
        <v>6</v>
      </c>
      <c r="I394" s="41">
        <v>1194.94</v>
      </c>
      <c r="J394" s="40">
        <f>I394*(1-IFERROR(VLOOKUP(H394,Rabat!$D$10:$E$41,2,FALSE),0))</f>
        <v>1194.94</v>
      </c>
      <c r="K394">
        <v>4.43</v>
      </c>
      <c r="L394" t="s">
        <v>1789</v>
      </c>
      <c r="M394" t="s">
        <v>2195</v>
      </c>
      <c r="N394" t="s">
        <v>2194</v>
      </c>
      <c r="O394" t="s">
        <v>1776</v>
      </c>
      <c r="P394">
        <v>4</v>
      </c>
      <c r="Q394">
        <v>48</v>
      </c>
      <c r="R394" t="s">
        <v>1820</v>
      </c>
      <c r="S394" s="42" t="str">
        <f>HYPERLINK("https://sklep.kobi.pl/produkt/solar-led-street-40w-4000k")</f>
        <v>https://sklep.kobi.pl/produkt/solar-led-street-40w-4000k</v>
      </c>
      <c r="T394" t="s">
        <v>71</v>
      </c>
      <c r="U394">
        <v>5.24</v>
      </c>
      <c r="V394">
        <v>6.0759999999999996</v>
      </c>
      <c r="W394">
        <v>730</v>
      </c>
      <c r="X394">
        <v>330</v>
      </c>
      <c r="Y394">
        <v>100</v>
      </c>
      <c r="Z394" t="s">
        <v>1778</v>
      </c>
      <c r="AA394"/>
    </row>
    <row r="395" spans="1:27" ht="15" x14ac:dyDescent="0.25">
      <c r="A395" t="s">
        <v>5</v>
      </c>
      <c r="B395" t="s">
        <v>723</v>
      </c>
      <c r="C395" t="s">
        <v>257</v>
      </c>
      <c r="D395" t="s">
        <v>667</v>
      </c>
      <c r="E395" t="s">
        <v>71</v>
      </c>
      <c r="F395" t="s">
        <v>1640</v>
      </c>
      <c r="G395" t="s">
        <v>1641</v>
      </c>
      <c r="H395" t="s">
        <v>6</v>
      </c>
      <c r="I395" s="41">
        <v>92.5</v>
      </c>
      <c r="J395" s="40">
        <f>I395*(1-IFERROR(VLOOKUP(H395,Rabat!$D$10:$E$41,2,FALSE),0))</f>
        <v>92.5</v>
      </c>
      <c r="K395">
        <v>0.2</v>
      </c>
      <c r="L395" t="s">
        <v>1773</v>
      </c>
      <c r="M395" t="s">
        <v>2196</v>
      </c>
      <c r="N395" t="s">
        <v>2000</v>
      </c>
      <c r="O395" t="s">
        <v>1776</v>
      </c>
      <c r="P395">
        <v>60</v>
      </c>
      <c r="Q395">
        <v>960</v>
      </c>
      <c r="R395" t="s">
        <v>1777</v>
      </c>
      <c r="S395"/>
      <c r="T395" s="42" t="str">
        <f>HYPERLINK("https://eprel.ec.europa.eu/qr/941688         ")</f>
        <v xml:space="preserve">https://eprel.ec.europa.eu/qr/941688         </v>
      </c>
      <c r="U395">
        <v>0.23499999999999999</v>
      </c>
      <c r="V395">
        <v>0.28399999999999997</v>
      </c>
      <c r="W395">
        <v>115</v>
      </c>
      <c r="X395">
        <v>160</v>
      </c>
      <c r="Y395">
        <v>45</v>
      </c>
      <c r="Z395" t="s">
        <v>1778</v>
      </c>
      <c r="AA395"/>
    </row>
    <row r="396" spans="1:27" ht="15" x14ac:dyDescent="0.25">
      <c r="A396" t="s">
        <v>5</v>
      </c>
      <c r="B396" t="s">
        <v>723</v>
      </c>
      <c r="C396" t="s">
        <v>257</v>
      </c>
      <c r="D396" t="s">
        <v>667</v>
      </c>
      <c r="E396" t="s">
        <v>71</v>
      </c>
      <c r="F396" t="s">
        <v>788</v>
      </c>
      <c r="G396" t="s">
        <v>789</v>
      </c>
      <c r="H396" t="s">
        <v>6</v>
      </c>
      <c r="I396" s="41">
        <v>92.5</v>
      </c>
      <c r="J396" s="40">
        <f>I396*(1-IFERROR(VLOOKUP(H396,Rabat!$D$10:$E$41,2,FALSE),0))</f>
        <v>92.5</v>
      </c>
      <c r="K396">
        <v>0.2</v>
      </c>
      <c r="L396" t="s">
        <v>1773</v>
      </c>
      <c r="M396" t="s">
        <v>2197</v>
      </c>
      <c r="N396" t="s">
        <v>2000</v>
      </c>
      <c r="O396" t="s">
        <v>1776</v>
      </c>
      <c r="P396">
        <v>60</v>
      </c>
      <c r="Q396">
        <v>960</v>
      </c>
      <c r="R396" t="s">
        <v>1777</v>
      </c>
      <c r="S396" s="42" t="str">
        <f>HYPERLINK("https://sklep.kobi.pl/produkt/oprawa-led-mhc-10w-czarna-4000k-led2b")</f>
        <v>https://sklep.kobi.pl/produkt/oprawa-led-mhc-10w-czarna-4000k-led2b</v>
      </c>
      <c r="T396" s="42" t="str">
        <f>HYPERLINK("https://eprel.ec.europa.eu/qr/760375         ")</f>
        <v xml:space="preserve">https://eprel.ec.europa.eu/qr/760375         </v>
      </c>
      <c r="U396">
        <v>0.23499999999999999</v>
      </c>
      <c r="V396">
        <v>0.28399999999999997</v>
      </c>
      <c r="W396">
        <v>115</v>
      </c>
      <c r="X396">
        <v>160</v>
      </c>
      <c r="Y396">
        <v>45</v>
      </c>
      <c r="Z396" t="s">
        <v>1778</v>
      </c>
      <c r="AA396"/>
    </row>
    <row r="397" spans="1:27" ht="15" x14ac:dyDescent="0.25">
      <c r="A397" t="s">
        <v>5</v>
      </c>
      <c r="B397" t="s">
        <v>723</v>
      </c>
      <c r="C397" t="s">
        <v>257</v>
      </c>
      <c r="D397" t="s">
        <v>667</v>
      </c>
      <c r="E397" t="s">
        <v>71</v>
      </c>
      <c r="F397" t="s">
        <v>724</v>
      </c>
      <c r="G397" t="s">
        <v>725</v>
      </c>
      <c r="H397" t="s">
        <v>6</v>
      </c>
      <c r="I397" s="41">
        <v>92.5</v>
      </c>
      <c r="J397" s="40">
        <f>I397*(1-IFERROR(VLOOKUP(H397,Rabat!$D$10:$E$41,2,FALSE),0))</f>
        <v>92.5</v>
      </c>
      <c r="K397">
        <v>0.2</v>
      </c>
      <c r="L397" t="s">
        <v>1773</v>
      </c>
      <c r="M397" t="s">
        <v>2198</v>
      </c>
      <c r="N397" t="s">
        <v>2000</v>
      </c>
      <c r="O397" t="s">
        <v>1776</v>
      </c>
      <c r="P397">
        <v>60</v>
      </c>
      <c r="Q397">
        <v>960</v>
      </c>
      <c r="R397" t="s">
        <v>1777</v>
      </c>
      <c r="S397" s="42" t="str">
        <f>HYPERLINK("https://sklep.kobi.pl/produkt/oprawa-led-mhc-10w-czarna-6000k-led2b")</f>
        <v>https://sklep.kobi.pl/produkt/oprawa-led-mhc-10w-czarna-6000k-led2b</v>
      </c>
      <c r="T397" s="42" t="str">
        <f>HYPERLINK("https://eprel.ec.europa.eu/qr/760379         ")</f>
        <v xml:space="preserve">https://eprel.ec.europa.eu/qr/760379         </v>
      </c>
      <c r="U397">
        <v>0.23499999999999999</v>
      </c>
      <c r="V397">
        <v>0.28399999999999997</v>
      </c>
      <c r="W397">
        <v>115</v>
      </c>
      <c r="X397">
        <v>160</v>
      </c>
      <c r="Y397">
        <v>45</v>
      </c>
      <c r="Z397" t="s">
        <v>1778</v>
      </c>
      <c r="AA397"/>
    </row>
    <row r="398" spans="1:27" ht="15" x14ac:dyDescent="0.25">
      <c r="A398" t="s">
        <v>5</v>
      </c>
      <c r="B398" t="s">
        <v>723</v>
      </c>
      <c r="C398" t="s">
        <v>257</v>
      </c>
      <c r="D398" t="s">
        <v>667</v>
      </c>
      <c r="E398" t="s">
        <v>71</v>
      </c>
      <c r="F398" t="s">
        <v>1642</v>
      </c>
      <c r="G398" t="s">
        <v>1643</v>
      </c>
      <c r="H398" t="s">
        <v>6</v>
      </c>
      <c r="I398" s="41">
        <v>106</v>
      </c>
      <c r="J398" s="40">
        <f>I398*(1-IFERROR(VLOOKUP(H398,Rabat!$D$10:$E$41,2,FALSE),0))</f>
        <v>106</v>
      </c>
      <c r="K398">
        <v>0.27</v>
      </c>
      <c r="L398" t="s">
        <v>1773</v>
      </c>
      <c r="M398" t="s">
        <v>2199</v>
      </c>
      <c r="N398" t="s">
        <v>2000</v>
      </c>
      <c r="O398" t="s">
        <v>1776</v>
      </c>
      <c r="P398">
        <v>40</v>
      </c>
      <c r="Q398">
        <v>800</v>
      </c>
      <c r="R398" t="s">
        <v>1777</v>
      </c>
      <c r="S398"/>
      <c r="T398" s="42" t="str">
        <f>HYPERLINK("https://eprel.ec.europa.eu/qr/943473         ")</f>
        <v xml:space="preserve">https://eprel.ec.europa.eu/qr/943473         </v>
      </c>
      <c r="U398">
        <v>0.318</v>
      </c>
      <c r="V398">
        <v>0.39100000000000001</v>
      </c>
      <c r="W398">
        <v>150</v>
      </c>
      <c r="X398">
        <v>180</v>
      </c>
      <c r="Y398">
        <v>45</v>
      </c>
      <c r="Z398" t="s">
        <v>1778</v>
      </c>
      <c r="AA398"/>
    </row>
    <row r="399" spans="1:27" ht="15" x14ac:dyDescent="0.25">
      <c r="A399" t="s">
        <v>5</v>
      </c>
      <c r="B399" t="s">
        <v>723</v>
      </c>
      <c r="C399" t="s">
        <v>257</v>
      </c>
      <c r="D399" t="s">
        <v>667</v>
      </c>
      <c r="E399" t="s">
        <v>71</v>
      </c>
      <c r="F399" t="s">
        <v>790</v>
      </c>
      <c r="G399" t="s">
        <v>791</v>
      </c>
      <c r="H399" t="s">
        <v>6</v>
      </c>
      <c r="I399" s="41">
        <v>106</v>
      </c>
      <c r="J399" s="40">
        <f>I399*(1-IFERROR(VLOOKUP(H399,Rabat!$D$10:$E$41,2,FALSE),0))</f>
        <v>106</v>
      </c>
      <c r="K399">
        <v>0.27</v>
      </c>
      <c r="L399" t="s">
        <v>1773</v>
      </c>
      <c r="M399" t="s">
        <v>2200</v>
      </c>
      <c r="N399" t="s">
        <v>2000</v>
      </c>
      <c r="O399" t="s">
        <v>1776</v>
      </c>
      <c r="P399">
        <v>40</v>
      </c>
      <c r="Q399">
        <v>800</v>
      </c>
      <c r="R399" t="s">
        <v>1777</v>
      </c>
      <c r="S399" s="42" t="str">
        <f>HYPERLINK("https://sklep.kobi.pl/produkt/oprawa-led-mhc-20w-czarna-4000k-led2b")</f>
        <v>https://sklep.kobi.pl/produkt/oprawa-led-mhc-20w-czarna-4000k-led2b</v>
      </c>
      <c r="T399" s="42" t="str">
        <f>HYPERLINK("https://eprel.ec.europa.eu/qr/760438         ")</f>
        <v xml:space="preserve">https://eprel.ec.europa.eu/qr/760438         </v>
      </c>
      <c r="U399">
        <v>0.318</v>
      </c>
      <c r="V399">
        <v>0.39100000000000001</v>
      </c>
      <c r="W399">
        <v>150</v>
      </c>
      <c r="X399">
        <v>180</v>
      </c>
      <c r="Y399">
        <v>45</v>
      </c>
      <c r="Z399" t="s">
        <v>1778</v>
      </c>
      <c r="AA399"/>
    </row>
    <row r="400" spans="1:27" ht="15" x14ac:dyDescent="0.25">
      <c r="A400" t="s">
        <v>5</v>
      </c>
      <c r="B400" t="s">
        <v>723</v>
      </c>
      <c r="C400" t="s">
        <v>257</v>
      </c>
      <c r="D400" t="s">
        <v>667</v>
      </c>
      <c r="E400" t="s">
        <v>71</v>
      </c>
      <c r="F400" t="s">
        <v>726</v>
      </c>
      <c r="G400" t="s">
        <v>727</v>
      </c>
      <c r="H400" t="s">
        <v>6</v>
      </c>
      <c r="I400" s="41">
        <v>106</v>
      </c>
      <c r="J400" s="40">
        <f>I400*(1-IFERROR(VLOOKUP(H400,Rabat!$D$10:$E$41,2,FALSE),0))</f>
        <v>106</v>
      </c>
      <c r="K400">
        <v>0.27</v>
      </c>
      <c r="L400" t="s">
        <v>1773</v>
      </c>
      <c r="M400" t="s">
        <v>2201</v>
      </c>
      <c r="N400" t="s">
        <v>2000</v>
      </c>
      <c r="O400" t="s">
        <v>1776</v>
      </c>
      <c r="P400">
        <v>40</v>
      </c>
      <c r="Q400">
        <v>800</v>
      </c>
      <c r="R400" t="s">
        <v>1777</v>
      </c>
      <c r="S400" s="42" t="str">
        <f>HYPERLINK("https://sklep.kobi.pl/produkt/oprawa-led-mhc-20w-czarna-6000k-led2b")</f>
        <v>https://sklep.kobi.pl/produkt/oprawa-led-mhc-20w-czarna-6000k-led2b</v>
      </c>
      <c r="T400" s="42" t="str">
        <f>HYPERLINK("https://eprel.ec.europa.eu/qr/760441         ")</f>
        <v xml:space="preserve">https://eprel.ec.europa.eu/qr/760441         </v>
      </c>
      <c r="U400">
        <v>0.318</v>
      </c>
      <c r="V400">
        <v>0.39100000000000001</v>
      </c>
      <c r="W400">
        <v>150</v>
      </c>
      <c r="X400">
        <v>180</v>
      </c>
      <c r="Y400">
        <v>45</v>
      </c>
      <c r="Z400" t="s">
        <v>1778</v>
      </c>
      <c r="AA400"/>
    </row>
    <row r="401" spans="1:27" ht="15" x14ac:dyDescent="0.25">
      <c r="A401" t="s">
        <v>5</v>
      </c>
      <c r="B401" t="s">
        <v>723</v>
      </c>
      <c r="C401" t="s">
        <v>257</v>
      </c>
      <c r="D401" t="s">
        <v>667</v>
      </c>
      <c r="E401" t="s">
        <v>71</v>
      </c>
      <c r="F401" t="s">
        <v>1644</v>
      </c>
      <c r="G401" t="s">
        <v>1645</v>
      </c>
      <c r="H401" t="s">
        <v>6</v>
      </c>
      <c r="I401" s="41">
        <v>127</v>
      </c>
      <c r="J401" s="40">
        <f>I401*(1-IFERROR(VLOOKUP(H401,Rabat!$D$10:$E$41,2,FALSE),0))</f>
        <v>127</v>
      </c>
      <c r="K401">
        <v>0.44</v>
      </c>
      <c r="L401" t="s">
        <v>1773</v>
      </c>
      <c r="M401" t="s">
        <v>2202</v>
      </c>
      <c r="N401" t="s">
        <v>2000</v>
      </c>
      <c r="O401" t="s">
        <v>1776</v>
      </c>
      <c r="P401">
        <v>20</v>
      </c>
      <c r="Q401">
        <v>400</v>
      </c>
      <c r="R401" t="s">
        <v>1777</v>
      </c>
      <c r="S401"/>
      <c r="T401" s="42" t="str">
        <f>HYPERLINK("https://eprel.ec.europa.eu/qr/943528         ")</f>
        <v xml:space="preserve">https://eprel.ec.europa.eu/qr/943528         </v>
      </c>
      <c r="U401">
        <v>0.51600000000000001</v>
      </c>
      <c r="V401">
        <v>0.58099999999999996</v>
      </c>
      <c r="W401">
        <v>190</v>
      </c>
      <c r="X401">
        <v>210</v>
      </c>
      <c r="Y401">
        <v>45</v>
      </c>
      <c r="Z401" t="s">
        <v>1778</v>
      </c>
      <c r="AA401"/>
    </row>
    <row r="402" spans="1:27" ht="15" x14ac:dyDescent="0.25">
      <c r="A402" t="s">
        <v>5</v>
      </c>
      <c r="B402" t="s">
        <v>723</v>
      </c>
      <c r="C402" t="s">
        <v>257</v>
      </c>
      <c r="D402" t="s">
        <v>667</v>
      </c>
      <c r="E402" t="s">
        <v>71</v>
      </c>
      <c r="F402" t="s">
        <v>792</v>
      </c>
      <c r="G402" t="s">
        <v>793</v>
      </c>
      <c r="H402" t="s">
        <v>6</v>
      </c>
      <c r="I402" s="41">
        <v>127</v>
      </c>
      <c r="J402" s="40">
        <f>I402*(1-IFERROR(VLOOKUP(H402,Rabat!$D$10:$E$41,2,FALSE),0))</f>
        <v>127</v>
      </c>
      <c r="K402">
        <v>0.44</v>
      </c>
      <c r="L402" t="s">
        <v>1773</v>
      </c>
      <c r="M402" t="s">
        <v>2203</v>
      </c>
      <c r="N402" t="s">
        <v>2000</v>
      </c>
      <c r="O402" t="s">
        <v>1776</v>
      </c>
      <c r="P402">
        <v>20</v>
      </c>
      <c r="Q402">
        <v>400</v>
      </c>
      <c r="R402" t="s">
        <v>1777</v>
      </c>
      <c r="S402" s="42" t="str">
        <f>HYPERLINK("https://sklep.kobi.pl/produkt/oprawa-led-mhc-30w-czarna-4000k-led2b")</f>
        <v>https://sklep.kobi.pl/produkt/oprawa-led-mhc-30w-czarna-4000k-led2b</v>
      </c>
      <c r="T402" s="42" t="str">
        <f>HYPERLINK("https://eprel.ec.europa.eu/qr/760443         ")</f>
        <v xml:space="preserve">https://eprel.ec.europa.eu/qr/760443         </v>
      </c>
      <c r="U402">
        <v>0.51600000000000001</v>
      </c>
      <c r="V402">
        <v>0.58099999999999996</v>
      </c>
      <c r="W402">
        <v>190</v>
      </c>
      <c r="X402">
        <v>210</v>
      </c>
      <c r="Y402">
        <v>45</v>
      </c>
      <c r="Z402" t="s">
        <v>1778</v>
      </c>
      <c r="AA402"/>
    </row>
    <row r="403" spans="1:27" ht="15" x14ac:dyDescent="0.25">
      <c r="A403" t="s">
        <v>5</v>
      </c>
      <c r="B403" t="s">
        <v>723</v>
      </c>
      <c r="C403" t="s">
        <v>257</v>
      </c>
      <c r="D403" t="s">
        <v>667</v>
      </c>
      <c r="E403" t="s">
        <v>71</v>
      </c>
      <c r="F403" t="s">
        <v>728</v>
      </c>
      <c r="G403" t="s">
        <v>729</v>
      </c>
      <c r="H403" t="s">
        <v>6</v>
      </c>
      <c r="I403" s="41">
        <v>127</v>
      </c>
      <c r="J403" s="40">
        <f>I403*(1-IFERROR(VLOOKUP(H403,Rabat!$D$10:$E$41,2,FALSE),0))</f>
        <v>127</v>
      </c>
      <c r="K403">
        <v>0.44</v>
      </c>
      <c r="L403" t="s">
        <v>1773</v>
      </c>
      <c r="M403" t="s">
        <v>2204</v>
      </c>
      <c r="N403" t="s">
        <v>2000</v>
      </c>
      <c r="O403" t="s">
        <v>1776</v>
      </c>
      <c r="P403">
        <v>20</v>
      </c>
      <c r="Q403">
        <v>400</v>
      </c>
      <c r="R403" t="s">
        <v>1777</v>
      </c>
      <c r="S403" s="42" t="str">
        <f>HYPERLINK("https://sklep.kobi.pl/produkt/oprawa-led-mhc-30w-czarna-6000k-led2b")</f>
        <v>https://sklep.kobi.pl/produkt/oprawa-led-mhc-30w-czarna-6000k-led2b</v>
      </c>
      <c r="T403" s="42" t="str">
        <f>HYPERLINK("https://eprel.ec.europa.eu/qr/760445         ")</f>
        <v xml:space="preserve">https://eprel.ec.europa.eu/qr/760445         </v>
      </c>
      <c r="U403">
        <v>0.51600000000000001</v>
      </c>
      <c r="V403">
        <v>0.58099999999999996</v>
      </c>
      <c r="W403">
        <v>190</v>
      </c>
      <c r="X403">
        <v>210</v>
      </c>
      <c r="Y403">
        <v>45</v>
      </c>
      <c r="Z403" t="s">
        <v>1778</v>
      </c>
      <c r="AA403"/>
    </row>
    <row r="404" spans="1:27" ht="15" x14ac:dyDescent="0.25">
      <c r="A404" t="s">
        <v>5</v>
      </c>
      <c r="B404" t="s">
        <v>723</v>
      </c>
      <c r="C404" t="s">
        <v>257</v>
      </c>
      <c r="D404" t="s">
        <v>667</v>
      </c>
      <c r="E404" t="s">
        <v>71</v>
      </c>
      <c r="F404" t="s">
        <v>1646</v>
      </c>
      <c r="G404" t="s">
        <v>1647</v>
      </c>
      <c r="H404" t="s">
        <v>6</v>
      </c>
      <c r="I404" s="41">
        <v>148</v>
      </c>
      <c r="J404" s="40">
        <f>I404*(1-IFERROR(VLOOKUP(H404,Rabat!$D$10:$E$41,2,FALSE),0))</f>
        <v>148</v>
      </c>
      <c r="K404">
        <v>0.53</v>
      </c>
      <c r="L404" t="s">
        <v>1773</v>
      </c>
      <c r="M404" t="s">
        <v>2205</v>
      </c>
      <c r="N404" t="s">
        <v>2000</v>
      </c>
      <c r="O404" t="s">
        <v>1776</v>
      </c>
      <c r="P404">
        <v>20</v>
      </c>
      <c r="Q404">
        <v>400</v>
      </c>
      <c r="R404" t="s">
        <v>1777</v>
      </c>
      <c r="S404"/>
      <c r="T404" s="42" t="str">
        <f>HYPERLINK("https://eprel.ec.europa.eu/qr/943719         ")</f>
        <v xml:space="preserve">https://eprel.ec.europa.eu/qr/943719         </v>
      </c>
      <c r="U404">
        <v>0.63200000000000001</v>
      </c>
      <c r="V404">
        <v>0.72499999999999998</v>
      </c>
      <c r="W404">
        <v>220</v>
      </c>
      <c r="X404">
        <v>235</v>
      </c>
      <c r="Y404">
        <v>45</v>
      </c>
      <c r="Z404" t="s">
        <v>1778</v>
      </c>
      <c r="AA404"/>
    </row>
    <row r="405" spans="1:27" ht="15" x14ac:dyDescent="0.25">
      <c r="A405" t="s">
        <v>5</v>
      </c>
      <c r="B405" t="s">
        <v>723</v>
      </c>
      <c r="C405" t="s">
        <v>257</v>
      </c>
      <c r="D405" t="s">
        <v>667</v>
      </c>
      <c r="E405" t="s">
        <v>71</v>
      </c>
      <c r="F405" t="s">
        <v>794</v>
      </c>
      <c r="G405" t="s">
        <v>795</v>
      </c>
      <c r="H405" t="s">
        <v>6</v>
      </c>
      <c r="I405" s="41">
        <v>148</v>
      </c>
      <c r="J405" s="40">
        <f>I405*(1-IFERROR(VLOOKUP(H405,Rabat!$D$10:$E$41,2,FALSE),0))</f>
        <v>148</v>
      </c>
      <c r="K405">
        <v>0.53</v>
      </c>
      <c r="L405" t="s">
        <v>1773</v>
      </c>
      <c r="M405" t="s">
        <v>2206</v>
      </c>
      <c r="N405" t="s">
        <v>2000</v>
      </c>
      <c r="O405" t="s">
        <v>1776</v>
      </c>
      <c r="P405">
        <v>20</v>
      </c>
      <c r="Q405">
        <v>400</v>
      </c>
      <c r="R405" t="s">
        <v>1777</v>
      </c>
      <c r="S405" s="42" t="str">
        <f>HYPERLINK("https://sklep.kobi.pl/produkt/oprawa-led-mhc-50w-czarna-4000k-led2b")</f>
        <v>https://sklep.kobi.pl/produkt/oprawa-led-mhc-50w-czarna-4000k-led2b</v>
      </c>
      <c r="T405" s="42" t="str">
        <f>HYPERLINK("https://eprel.ec.europa.eu/qr/760446         ")</f>
        <v xml:space="preserve">https://eprel.ec.europa.eu/qr/760446         </v>
      </c>
      <c r="U405">
        <v>0.63200000000000001</v>
      </c>
      <c r="V405">
        <v>0.72499999999999998</v>
      </c>
      <c r="W405">
        <v>220</v>
      </c>
      <c r="X405">
        <v>235</v>
      </c>
      <c r="Y405">
        <v>45</v>
      </c>
      <c r="Z405" t="s">
        <v>1778</v>
      </c>
      <c r="AA405"/>
    </row>
    <row r="406" spans="1:27" ht="15" x14ac:dyDescent="0.25">
      <c r="A406" t="s">
        <v>5</v>
      </c>
      <c r="B406" t="s">
        <v>723</v>
      </c>
      <c r="C406" t="s">
        <v>257</v>
      </c>
      <c r="D406" t="s">
        <v>667</v>
      </c>
      <c r="E406" t="s">
        <v>71</v>
      </c>
      <c r="F406" t="s">
        <v>730</v>
      </c>
      <c r="G406" t="s">
        <v>731</v>
      </c>
      <c r="H406" t="s">
        <v>6</v>
      </c>
      <c r="I406" s="41">
        <v>148</v>
      </c>
      <c r="J406" s="40">
        <f>I406*(1-IFERROR(VLOOKUP(H406,Rabat!$D$10:$E$41,2,FALSE),0))</f>
        <v>148</v>
      </c>
      <c r="K406">
        <v>0.53</v>
      </c>
      <c r="L406" t="s">
        <v>1773</v>
      </c>
      <c r="M406" t="s">
        <v>2207</v>
      </c>
      <c r="N406" t="s">
        <v>2000</v>
      </c>
      <c r="O406" t="s">
        <v>1776</v>
      </c>
      <c r="P406">
        <v>20</v>
      </c>
      <c r="Q406">
        <v>400</v>
      </c>
      <c r="R406" t="s">
        <v>1777</v>
      </c>
      <c r="S406" s="42" t="str">
        <f>HYPERLINK("https://sklep.kobi.pl/produkt/oprawa-led-mhc-50w-czarna-6000k-led2b")</f>
        <v>https://sklep.kobi.pl/produkt/oprawa-led-mhc-50w-czarna-6000k-led2b</v>
      </c>
      <c r="T406" s="42" t="str">
        <f>HYPERLINK("https://eprel.ec.europa.eu/qr/760449         ")</f>
        <v xml:space="preserve">https://eprel.ec.europa.eu/qr/760449         </v>
      </c>
      <c r="U406">
        <v>0.63200000000000001</v>
      </c>
      <c r="V406">
        <v>0.72499999999999998</v>
      </c>
      <c r="W406">
        <v>220</v>
      </c>
      <c r="X406">
        <v>235</v>
      </c>
      <c r="Y406">
        <v>45</v>
      </c>
      <c r="Z406" t="s">
        <v>1778</v>
      </c>
      <c r="AA406"/>
    </row>
    <row r="407" spans="1:27" ht="15" x14ac:dyDescent="0.25">
      <c r="A407" t="s">
        <v>5</v>
      </c>
      <c r="B407" t="s">
        <v>723</v>
      </c>
      <c r="C407" t="s">
        <v>257</v>
      </c>
      <c r="D407" t="s">
        <v>69</v>
      </c>
      <c r="E407" t="s">
        <v>149</v>
      </c>
      <c r="F407" t="s">
        <v>947</v>
      </c>
      <c r="G407" t="s">
        <v>948</v>
      </c>
      <c r="H407" t="s">
        <v>6</v>
      </c>
      <c r="I407" s="41">
        <v>153.82</v>
      </c>
      <c r="J407" s="40">
        <f>I407*(1-IFERROR(VLOOKUP(H407,Rabat!$D$10:$E$41,2,FALSE),0))</f>
        <v>153.82</v>
      </c>
      <c r="K407">
        <v>0.26</v>
      </c>
      <c r="L407" t="s">
        <v>1773</v>
      </c>
      <c r="M407" t="s">
        <v>2208</v>
      </c>
      <c r="N407" t="s">
        <v>2000</v>
      </c>
      <c r="O407" t="s">
        <v>1776</v>
      </c>
      <c r="P407">
        <v>30</v>
      </c>
      <c r="Q407">
        <v>0</v>
      </c>
      <c r="R407" t="s">
        <v>1820</v>
      </c>
      <c r="S407" s="42" t="str">
        <f>HYPERLINK("https://sklep.kobi.pl/produkt/led-mhnc-20w-4000k")</f>
        <v>https://sklep.kobi.pl/produkt/led-mhnc-20w-4000k</v>
      </c>
      <c r="T407" s="42" t="str">
        <f>HYPERLINK("https://eprel.ec.europa.eu/qr/937802         ")</f>
        <v xml:space="preserve">https://eprel.ec.europa.eu/qr/937802         </v>
      </c>
      <c r="U407">
        <v>0.312</v>
      </c>
      <c r="V407">
        <v>0.36799999999999999</v>
      </c>
      <c r="W407">
        <v>120</v>
      </c>
      <c r="X407">
        <v>155</v>
      </c>
      <c r="Y407">
        <v>45</v>
      </c>
      <c r="Z407" t="s">
        <v>1778</v>
      </c>
      <c r="AA407"/>
    </row>
    <row r="408" spans="1:27" ht="15" x14ac:dyDescent="0.25">
      <c r="A408" t="s">
        <v>5</v>
      </c>
      <c r="B408" t="s">
        <v>416</v>
      </c>
      <c r="C408"/>
      <c r="D408" t="s">
        <v>69</v>
      </c>
      <c r="E408" t="s">
        <v>71</v>
      </c>
      <c r="F408" t="s">
        <v>417</v>
      </c>
      <c r="G408" t="s">
        <v>418</v>
      </c>
      <c r="H408" t="s">
        <v>7</v>
      </c>
      <c r="I408" s="41">
        <v>97.05</v>
      </c>
      <c r="J408" s="40">
        <f>I408*(1-IFERROR(VLOOKUP(H408,Rabat!$D$10:$E$41,2,FALSE),0))</f>
        <v>97.05</v>
      </c>
      <c r="K408">
        <v>0.4</v>
      </c>
      <c r="L408" t="s">
        <v>1789</v>
      </c>
      <c r="M408" t="s">
        <v>2209</v>
      </c>
      <c r="N408" t="s">
        <v>1954</v>
      </c>
      <c r="O408" t="s">
        <v>1776</v>
      </c>
      <c r="P408">
        <v>10</v>
      </c>
      <c r="Q408">
        <v>150</v>
      </c>
      <c r="R408" t="s">
        <v>1777</v>
      </c>
      <c r="S408" s="42" t="str">
        <f>HYPERLINK("https://sklep.kobi.pl/produkt/oprawa-led-delfia-2x120")</f>
        <v>https://sklep.kobi.pl/produkt/oprawa-led-delfia-2x120</v>
      </c>
      <c r="T408" t="s">
        <v>71</v>
      </c>
      <c r="U408">
        <v>0.878</v>
      </c>
      <c r="V408">
        <v>1.6</v>
      </c>
      <c r="W408">
        <v>75</v>
      </c>
      <c r="X408">
        <v>1280</v>
      </c>
      <c r="Y408">
        <v>160</v>
      </c>
      <c r="Z408" t="s">
        <v>1778</v>
      </c>
      <c r="AA408"/>
    </row>
    <row r="409" spans="1:27" ht="15" x14ac:dyDescent="0.25">
      <c r="A409" t="s">
        <v>5</v>
      </c>
      <c r="B409" t="s">
        <v>416</v>
      </c>
      <c r="C409"/>
      <c r="D409" t="s">
        <v>69</v>
      </c>
      <c r="E409" t="s">
        <v>71</v>
      </c>
      <c r="F409" t="s">
        <v>429</v>
      </c>
      <c r="G409" t="s">
        <v>430</v>
      </c>
      <c r="H409" t="s">
        <v>7</v>
      </c>
      <c r="I409" s="41">
        <v>59.5</v>
      </c>
      <c r="J409" s="40">
        <f>I409*(1-IFERROR(VLOOKUP(H409,Rabat!$D$10:$E$41,2,FALSE),0))</f>
        <v>59.5</v>
      </c>
      <c r="K409">
        <v>0.28999999999999998</v>
      </c>
      <c r="L409" t="s">
        <v>1789</v>
      </c>
      <c r="M409" t="s">
        <v>2210</v>
      </c>
      <c r="N409" t="s">
        <v>2000</v>
      </c>
      <c r="O409" t="s">
        <v>1776</v>
      </c>
      <c r="P409">
        <v>12</v>
      </c>
      <c r="Q409">
        <v>204</v>
      </c>
      <c r="R409" t="s">
        <v>1777</v>
      </c>
      <c r="S409" s="42" t="str">
        <f>HYPERLINK("https://sklep.kobi.pl/produkt/oprawa-led-zebra-1x120")</f>
        <v>https://sklep.kobi.pl/produkt/oprawa-led-zebra-1x120</v>
      </c>
      <c r="T409" t="s">
        <v>71</v>
      </c>
      <c r="U409">
        <v>0.63700000000000001</v>
      </c>
      <c r="V409">
        <v>0.82299999999999995</v>
      </c>
      <c r="W409">
        <v>20</v>
      </c>
      <c r="X409">
        <v>1268</v>
      </c>
      <c r="Y409">
        <v>100</v>
      </c>
      <c r="Z409" t="s">
        <v>1778</v>
      </c>
      <c r="AA409"/>
    </row>
    <row r="410" spans="1:27" ht="15" x14ac:dyDescent="0.25">
      <c r="A410" t="s">
        <v>5</v>
      </c>
      <c r="B410" t="s">
        <v>416</v>
      </c>
      <c r="C410"/>
      <c r="D410" t="s">
        <v>69</v>
      </c>
      <c r="E410" t="s">
        <v>71</v>
      </c>
      <c r="F410" t="s">
        <v>427</v>
      </c>
      <c r="G410" t="s">
        <v>428</v>
      </c>
      <c r="H410" t="s">
        <v>7</v>
      </c>
      <c r="I410" s="41">
        <v>74.61</v>
      </c>
      <c r="J410" s="40">
        <f>I410*(1-IFERROR(VLOOKUP(H410,Rabat!$D$10:$E$41,2,FALSE),0))</f>
        <v>74.61</v>
      </c>
      <c r="K410">
        <v>0.36</v>
      </c>
      <c r="L410" t="s">
        <v>1789</v>
      </c>
      <c r="M410" t="s">
        <v>2211</v>
      </c>
      <c r="N410" t="s">
        <v>2000</v>
      </c>
      <c r="O410" t="s">
        <v>1776</v>
      </c>
      <c r="P410">
        <v>6</v>
      </c>
      <c r="Q410">
        <v>150</v>
      </c>
      <c r="R410" t="s">
        <v>1777</v>
      </c>
      <c r="S410" s="42" t="str">
        <f>HYPERLINK("https://sklep.kobi.pl/produkt/oprawa-led-zebra-2x120")</f>
        <v>https://sklep.kobi.pl/produkt/oprawa-led-zebra-2x120</v>
      </c>
      <c r="T410" t="s">
        <v>71</v>
      </c>
      <c r="U410">
        <v>0.78400000000000003</v>
      </c>
      <c r="V410">
        <v>0.98</v>
      </c>
      <c r="W410">
        <v>51</v>
      </c>
      <c r="X410">
        <v>1270</v>
      </c>
      <c r="Y410">
        <v>140</v>
      </c>
      <c r="Z410" t="s">
        <v>1778</v>
      </c>
      <c r="AA410"/>
    </row>
    <row r="411" spans="1:27" ht="15" x14ac:dyDescent="0.25">
      <c r="A411" t="s">
        <v>5</v>
      </c>
      <c r="B411" t="s">
        <v>954</v>
      </c>
      <c r="C411"/>
      <c r="D411" t="s">
        <v>741</v>
      </c>
      <c r="E411" t="s">
        <v>71</v>
      </c>
      <c r="F411" t="s">
        <v>955</v>
      </c>
      <c r="G411" t="s">
        <v>956</v>
      </c>
      <c r="H411" t="s">
        <v>6</v>
      </c>
      <c r="I411" s="41">
        <v>161</v>
      </c>
      <c r="J411" s="40">
        <f>I411*(1-IFERROR(VLOOKUP(H411,Rabat!$D$10:$E$41,2,FALSE),0))</f>
        <v>161</v>
      </c>
      <c r="K411">
        <v>0.67</v>
      </c>
      <c r="L411" t="s">
        <v>1789</v>
      </c>
      <c r="M411" t="s">
        <v>2212</v>
      </c>
      <c r="N411" t="s">
        <v>2033</v>
      </c>
      <c r="O411" t="s">
        <v>1776</v>
      </c>
      <c r="P411">
        <v>4</v>
      </c>
      <c r="Q411">
        <v>120</v>
      </c>
      <c r="R411" t="s">
        <v>1955</v>
      </c>
      <c r="S411" s="42" t="str">
        <f>HYPERLINK("https://sklep.kobi.pl/produkt/led-defender-18w-4000k-ip65")</f>
        <v>https://sklep.kobi.pl/produkt/led-defender-18w-4000k-ip65</v>
      </c>
      <c r="T411" t="s">
        <v>71</v>
      </c>
      <c r="U411">
        <v>0.79800000000000004</v>
      </c>
      <c r="V411">
        <v>0.91900000000000004</v>
      </c>
      <c r="W411">
        <v>300</v>
      </c>
      <c r="X411">
        <v>300</v>
      </c>
      <c r="Y411">
        <v>100</v>
      </c>
      <c r="Z411" t="s">
        <v>1778</v>
      </c>
      <c r="AA411"/>
    </row>
    <row r="412" spans="1:27" ht="15" x14ac:dyDescent="0.25">
      <c r="A412" t="s">
        <v>5</v>
      </c>
      <c r="B412" t="s">
        <v>954</v>
      </c>
      <c r="C412"/>
      <c r="D412" t="s">
        <v>741</v>
      </c>
      <c r="E412" t="s">
        <v>71</v>
      </c>
      <c r="F412" t="s">
        <v>957</v>
      </c>
      <c r="G412" t="s">
        <v>958</v>
      </c>
      <c r="H412" t="s">
        <v>6</v>
      </c>
      <c r="I412" s="41">
        <v>185</v>
      </c>
      <c r="J412" s="40">
        <f>I412*(1-IFERROR(VLOOKUP(H412,Rabat!$D$10:$E$41,2,FALSE),0))</f>
        <v>185</v>
      </c>
      <c r="K412">
        <v>0.67</v>
      </c>
      <c r="L412" t="s">
        <v>1789</v>
      </c>
      <c r="M412" t="s">
        <v>2213</v>
      </c>
      <c r="N412" t="s">
        <v>2033</v>
      </c>
      <c r="O412" t="s">
        <v>1776</v>
      </c>
      <c r="P412">
        <v>4</v>
      </c>
      <c r="Q412">
        <v>100</v>
      </c>
      <c r="R412" t="s">
        <v>1955</v>
      </c>
      <c r="S412" s="42" t="str">
        <f>HYPERLINK("https://sklep.kobi.pl/produkt/led-defender-24w-4000k-ip65")</f>
        <v>https://sklep.kobi.pl/produkt/led-defender-24w-4000k-ip65</v>
      </c>
      <c r="T412" t="s">
        <v>71</v>
      </c>
      <c r="U412">
        <v>0.78700000000000003</v>
      </c>
      <c r="V412">
        <v>0.97299999999999998</v>
      </c>
      <c r="W412">
        <v>300</v>
      </c>
      <c r="X412">
        <v>300</v>
      </c>
      <c r="Y412">
        <v>100</v>
      </c>
      <c r="Z412" t="s">
        <v>1778</v>
      </c>
      <c r="AA412"/>
    </row>
    <row r="413" spans="1:27" ht="15" x14ac:dyDescent="0.25">
      <c r="A413" t="s">
        <v>5</v>
      </c>
      <c r="B413" t="s">
        <v>959</v>
      </c>
      <c r="C413"/>
      <c r="D413" t="s">
        <v>741</v>
      </c>
      <c r="E413" t="s">
        <v>71</v>
      </c>
      <c r="F413" t="s">
        <v>960</v>
      </c>
      <c r="G413" t="s">
        <v>961</v>
      </c>
      <c r="H413" t="s">
        <v>6</v>
      </c>
      <c r="I413" s="41">
        <v>216</v>
      </c>
      <c r="J413" s="40">
        <f>I413*(1-IFERROR(VLOOKUP(H413,Rabat!$D$10:$E$41,2,FALSE),0))</f>
        <v>216</v>
      </c>
      <c r="K413">
        <v>0.7</v>
      </c>
      <c r="L413" t="s">
        <v>1789</v>
      </c>
      <c r="M413" t="s">
        <v>2214</v>
      </c>
      <c r="N413" t="s">
        <v>2033</v>
      </c>
      <c r="O413" t="s">
        <v>1776</v>
      </c>
      <c r="P413">
        <v>4</v>
      </c>
      <c r="Q413">
        <v>120</v>
      </c>
      <c r="R413" t="s">
        <v>1955</v>
      </c>
      <c r="S413" s="42" t="str">
        <f>HYPERLINK("https://sklep.kobi.pl/produkt/led-defender-lx-18w-4000k-ip65")</f>
        <v>https://sklep.kobi.pl/produkt/led-defender-lx-18w-4000k-ip65</v>
      </c>
      <c r="T413" t="s">
        <v>71</v>
      </c>
      <c r="U413">
        <v>0.82399999999999995</v>
      </c>
      <c r="V413"/>
      <c r="W413"/>
      <c r="X413"/>
      <c r="Y413"/>
      <c r="Z413" t="s">
        <v>1778</v>
      </c>
      <c r="AA413"/>
    </row>
    <row r="414" spans="1:27" ht="15" x14ac:dyDescent="0.25">
      <c r="A414" t="s">
        <v>5</v>
      </c>
      <c r="B414" t="s">
        <v>959</v>
      </c>
      <c r="C414"/>
      <c r="D414" t="s">
        <v>741</v>
      </c>
      <c r="E414" t="s">
        <v>71</v>
      </c>
      <c r="F414" t="s">
        <v>962</v>
      </c>
      <c r="G414" t="s">
        <v>963</v>
      </c>
      <c r="H414" t="s">
        <v>6</v>
      </c>
      <c r="I414" s="41">
        <v>224</v>
      </c>
      <c r="J414" s="40">
        <f>I414*(1-IFERROR(VLOOKUP(H414,Rabat!$D$10:$E$41,2,FALSE),0))</f>
        <v>224</v>
      </c>
      <c r="K414">
        <v>0.71</v>
      </c>
      <c r="L414" t="s">
        <v>1789</v>
      </c>
      <c r="M414" t="s">
        <v>2215</v>
      </c>
      <c r="N414" t="s">
        <v>2033</v>
      </c>
      <c r="O414" t="s">
        <v>1776</v>
      </c>
      <c r="P414">
        <v>4</v>
      </c>
      <c r="Q414">
        <v>100</v>
      </c>
      <c r="R414" t="s">
        <v>1955</v>
      </c>
      <c r="S414" s="42" t="str">
        <f>HYPERLINK("https://sklep.kobi.pl/produkt/led-defender-lx-24w-4000k-ip65")</f>
        <v>https://sklep.kobi.pl/produkt/led-defender-lx-24w-4000k-ip65</v>
      </c>
      <c r="T414" t="s">
        <v>71</v>
      </c>
      <c r="U414">
        <v>0.84099999999999997</v>
      </c>
      <c r="V414"/>
      <c r="W414"/>
      <c r="X414"/>
      <c r="Y414"/>
      <c r="Z414" t="s">
        <v>1778</v>
      </c>
      <c r="AA414"/>
    </row>
    <row r="415" spans="1:27" ht="15" x14ac:dyDescent="0.25">
      <c r="A415" t="s">
        <v>5</v>
      </c>
      <c r="B415" t="s">
        <v>63</v>
      </c>
      <c r="C415"/>
      <c r="D415" t="s">
        <v>741</v>
      </c>
      <c r="E415" t="s">
        <v>1289</v>
      </c>
      <c r="F415" t="s">
        <v>1337</v>
      </c>
      <c r="G415" t="s">
        <v>1338</v>
      </c>
      <c r="H415" t="s">
        <v>6</v>
      </c>
      <c r="I415" s="41">
        <v>345</v>
      </c>
      <c r="J415" s="40">
        <f>I415*(1-IFERROR(VLOOKUP(H415,Rabat!$D$10:$E$41,2,FALSE),0))</f>
        <v>345</v>
      </c>
      <c r="K415">
        <v>1.31</v>
      </c>
      <c r="L415" t="s">
        <v>1789</v>
      </c>
      <c r="M415" t="s">
        <v>2216</v>
      </c>
      <c r="N415" t="s">
        <v>2000</v>
      </c>
      <c r="O415" t="s">
        <v>1776</v>
      </c>
      <c r="P415">
        <v>9</v>
      </c>
      <c r="Q415">
        <v>0</v>
      </c>
      <c r="R415" t="s">
        <v>1955</v>
      </c>
      <c r="S415" s="42" t="str">
        <f>HYPERLINK("https://sklep.kobi.pl/produkt/led-koline-k1-20w-4000k-biala-profession")</f>
        <v>https://sklep.kobi.pl/produkt/led-koline-k1-20w-4000k-biala-profession</v>
      </c>
      <c r="T415" t="s">
        <v>71</v>
      </c>
      <c r="U415">
        <v>1.55</v>
      </c>
      <c r="V415">
        <v>0</v>
      </c>
      <c r="W415">
        <v>0</v>
      </c>
      <c r="X415">
        <v>0</v>
      </c>
      <c r="Y415">
        <v>0</v>
      </c>
      <c r="Z415" t="s">
        <v>1778</v>
      </c>
      <c r="AA415"/>
    </row>
    <row r="416" spans="1:27" ht="15" x14ac:dyDescent="0.25">
      <c r="A416" t="s">
        <v>5</v>
      </c>
      <c r="B416" t="s">
        <v>63</v>
      </c>
      <c r="C416"/>
      <c r="D416" t="s">
        <v>741</v>
      </c>
      <c r="E416" t="s">
        <v>1289</v>
      </c>
      <c r="F416" t="s">
        <v>1339</v>
      </c>
      <c r="G416" t="s">
        <v>1340</v>
      </c>
      <c r="H416" t="s">
        <v>6</v>
      </c>
      <c r="I416" s="41">
        <v>345</v>
      </c>
      <c r="J416" s="40">
        <f>I416*(1-IFERROR(VLOOKUP(H416,Rabat!$D$10:$E$41,2,FALSE),0))</f>
        <v>345</v>
      </c>
      <c r="K416">
        <v>1.31</v>
      </c>
      <c r="L416" t="s">
        <v>1789</v>
      </c>
      <c r="M416" t="s">
        <v>2217</v>
      </c>
      <c r="N416" t="s">
        <v>2000</v>
      </c>
      <c r="O416" t="s">
        <v>1776</v>
      </c>
      <c r="P416">
        <v>9</v>
      </c>
      <c r="Q416">
        <v>0</v>
      </c>
      <c r="R416" t="s">
        <v>1955</v>
      </c>
      <c r="S416" s="42" t="str">
        <f>HYPERLINK("https://sklep.kobi.pl/produkt/led-koline-k1-20w-4000k-czarna-professio")</f>
        <v>https://sklep.kobi.pl/produkt/led-koline-k1-20w-4000k-czarna-professio</v>
      </c>
      <c r="T416" t="s">
        <v>71</v>
      </c>
      <c r="U416">
        <v>1.55</v>
      </c>
      <c r="V416">
        <v>0</v>
      </c>
      <c r="W416">
        <v>0</v>
      </c>
      <c r="X416">
        <v>0</v>
      </c>
      <c r="Y416">
        <v>0</v>
      </c>
      <c r="Z416" t="s">
        <v>1778</v>
      </c>
      <c r="AA416"/>
    </row>
    <row r="417" spans="1:27" ht="15" x14ac:dyDescent="0.25">
      <c r="A417" t="s">
        <v>5</v>
      </c>
      <c r="B417" t="s">
        <v>63</v>
      </c>
      <c r="C417"/>
      <c r="D417" t="s">
        <v>741</v>
      </c>
      <c r="E417" t="s">
        <v>1289</v>
      </c>
      <c r="F417" t="s">
        <v>1341</v>
      </c>
      <c r="G417" t="s">
        <v>1342</v>
      </c>
      <c r="H417" t="s">
        <v>6</v>
      </c>
      <c r="I417" s="41">
        <v>390</v>
      </c>
      <c r="J417" s="40">
        <f>I417*(1-IFERROR(VLOOKUP(H417,Rabat!$D$10:$E$41,2,FALSE),0))</f>
        <v>390</v>
      </c>
      <c r="K417">
        <v>1.31</v>
      </c>
      <c r="L417" t="s">
        <v>1789</v>
      </c>
      <c r="M417" t="s">
        <v>2218</v>
      </c>
      <c r="N417" t="s">
        <v>2000</v>
      </c>
      <c r="O417" t="s">
        <v>1776</v>
      </c>
      <c r="P417">
        <v>9</v>
      </c>
      <c r="Q417">
        <v>198</v>
      </c>
      <c r="R417" t="s">
        <v>1955</v>
      </c>
      <c r="S417" s="42" t="str">
        <f>HYPERLINK("https://sklep.kobi.pl/produkt/led-koline-k1-40w-4000k-biala-profession")</f>
        <v>https://sklep.kobi.pl/produkt/led-koline-k1-40w-4000k-biala-profession</v>
      </c>
      <c r="T417" t="s">
        <v>71</v>
      </c>
      <c r="U417">
        <v>1.55</v>
      </c>
      <c r="V417">
        <v>0</v>
      </c>
      <c r="W417">
        <v>0</v>
      </c>
      <c r="X417">
        <v>0</v>
      </c>
      <c r="Y417">
        <v>0</v>
      </c>
      <c r="Z417" t="s">
        <v>1778</v>
      </c>
      <c r="AA417"/>
    </row>
    <row r="418" spans="1:27" ht="15" x14ac:dyDescent="0.25">
      <c r="A418" t="s">
        <v>5</v>
      </c>
      <c r="B418" t="s">
        <v>63</v>
      </c>
      <c r="C418"/>
      <c r="D418" t="s">
        <v>741</v>
      </c>
      <c r="E418" t="s">
        <v>1289</v>
      </c>
      <c r="F418" t="s">
        <v>1343</v>
      </c>
      <c r="G418" t="s">
        <v>1344</v>
      </c>
      <c r="H418" t="s">
        <v>6</v>
      </c>
      <c r="I418" s="41">
        <v>390</v>
      </c>
      <c r="J418" s="40">
        <f>I418*(1-IFERROR(VLOOKUP(H418,Rabat!$D$10:$E$41,2,FALSE),0))</f>
        <v>390</v>
      </c>
      <c r="K418">
        <v>1.31</v>
      </c>
      <c r="L418" t="s">
        <v>1789</v>
      </c>
      <c r="M418" t="s">
        <v>2219</v>
      </c>
      <c r="N418" t="s">
        <v>2000</v>
      </c>
      <c r="O418" t="s">
        <v>1776</v>
      </c>
      <c r="P418">
        <v>9</v>
      </c>
      <c r="Q418">
        <v>198</v>
      </c>
      <c r="R418" t="s">
        <v>1955</v>
      </c>
      <c r="S418" s="42" t="str">
        <f>HYPERLINK("https://sklep.kobi.pl/produkt/led-koline-k1-40w-4000k-czarna-professio")</f>
        <v>https://sklep.kobi.pl/produkt/led-koline-k1-40w-4000k-czarna-professio</v>
      </c>
      <c r="T418" t="s">
        <v>71</v>
      </c>
      <c r="U418">
        <v>1.55</v>
      </c>
      <c r="V418">
        <v>0</v>
      </c>
      <c r="W418">
        <v>0</v>
      </c>
      <c r="X418">
        <v>0</v>
      </c>
      <c r="Y418">
        <v>0</v>
      </c>
      <c r="Z418" t="s">
        <v>1778</v>
      </c>
      <c r="AA418"/>
    </row>
    <row r="419" spans="1:27" ht="15" x14ac:dyDescent="0.25">
      <c r="A419" t="s">
        <v>5</v>
      </c>
      <c r="B419" t="s">
        <v>63</v>
      </c>
      <c r="C419"/>
      <c r="D419" t="s">
        <v>59</v>
      </c>
      <c r="E419" t="s">
        <v>71</v>
      </c>
      <c r="F419" t="s">
        <v>1616</v>
      </c>
      <c r="G419" t="s">
        <v>1617</v>
      </c>
      <c r="H419" t="s">
        <v>59</v>
      </c>
      <c r="I419" s="41">
        <v>954</v>
      </c>
      <c r="J419" s="40">
        <f>I419*(1-IFERROR(VLOOKUP(H419,Rabat!$D$10:$E$41,2,FALSE),0))</f>
        <v>954</v>
      </c>
      <c r="K419">
        <v>3.13</v>
      </c>
      <c r="L419" t="s">
        <v>1978</v>
      </c>
      <c r="M419" t="s">
        <v>2220</v>
      </c>
      <c r="N419" t="s">
        <v>2000</v>
      </c>
      <c r="O419" t="s">
        <v>1776</v>
      </c>
      <c r="P419">
        <v>1</v>
      </c>
      <c r="Q419">
        <v>0</v>
      </c>
      <c r="R419" t="s">
        <v>1955</v>
      </c>
      <c r="S419"/>
      <c r="T419" s="42" t="str">
        <f>HYPERLINK("https://eprel.ec.europa.eu/qr/953680         ")</f>
        <v xml:space="preserve">https://eprel.ec.europa.eu/qr/953680         </v>
      </c>
      <c r="U419">
        <v>3.7</v>
      </c>
      <c r="V419"/>
      <c r="W419"/>
      <c r="X419"/>
      <c r="Y419"/>
      <c r="Z419" t="s">
        <v>1778</v>
      </c>
      <c r="AA419"/>
    </row>
    <row r="420" spans="1:27" ht="15" x14ac:dyDescent="0.25">
      <c r="A420" t="s">
        <v>5</v>
      </c>
      <c r="B420" t="s">
        <v>63</v>
      </c>
      <c r="C420"/>
      <c r="D420" t="s">
        <v>59</v>
      </c>
      <c r="E420" t="s">
        <v>71</v>
      </c>
      <c r="F420" t="s">
        <v>1696</v>
      </c>
      <c r="G420" t="s">
        <v>1697</v>
      </c>
      <c r="H420" t="s">
        <v>59</v>
      </c>
      <c r="I420" s="41">
        <v>1089</v>
      </c>
      <c r="J420" s="40">
        <f>I420*(1-IFERROR(VLOOKUP(H420,Rabat!$D$10:$E$41,2,FALSE),0))</f>
        <v>1089</v>
      </c>
      <c r="K420">
        <v>3.13</v>
      </c>
      <c r="L420" t="s">
        <v>1978</v>
      </c>
      <c r="M420" t="s">
        <v>2221</v>
      </c>
      <c r="N420" t="s">
        <v>2000</v>
      </c>
      <c r="O420" t="s">
        <v>1776</v>
      </c>
      <c r="P420">
        <v>1</v>
      </c>
      <c r="Q420">
        <v>0</v>
      </c>
      <c r="R420" t="s">
        <v>1955</v>
      </c>
      <c r="S420"/>
      <c r="T420" s="42" t="str">
        <f>HYPERLINK("https://eprel.ec.europa.eu/qr/953680         ")</f>
        <v xml:space="preserve">https://eprel.ec.europa.eu/qr/953680         </v>
      </c>
      <c r="U420">
        <v>3.7</v>
      </c>
      <c r="V420">
        <v>0</v>
      </c>
      <c r="W420"/>
      <c r="X420"/>
      <c r="Y420"/>
      <c r="Z420" t="s">
        <v>1778</v>
      </c>
      <c r="AA420"/>
    </row>
    <row r="421" spans="1:27" ht="15" x14ac:dyDescent="0.25">
      <c r="A421" t="s">
        <v>5</v>
      </c>
      <c r="B421" t="s">
        <v>63</v>
      </c>
      <c r="C421"/>
      <c r="D421" t="s">
        <v>59</v>
      </c>
      <c r="E421" t="s">
        <v>71</v>
      </c>
      <c r="F421" t="s">
        <v>1662</v>
      </c>
      <c r="G421" t="s">
        <v>1663</v>
      </c>
      <c r="H421" t="s">
        <v>59</v>
      </c>
      <c r="I421" s="41">
        <v>1089</v>
      </c>
      <c r="J421" s="40">
        <f>I421*(1-IFERROR(VLOOKUP(H421,Rabat!$D$10:$E$41,2,FALSE),0))</f>
        <v>1089</v>
      </c>
      <c r="K421">
        <v>3.13</v>
      </c>
      <c r="L421" t="s">
        <v>1978</v>
      </c>
      <c r="M421" t="s">
        <v>2222</v>
      </c>
      <c r="N421" t="s">
        <v>2000</v>
      </c>
      <c r="O421" t="s">
        <v>1776</v>
      </c>
      <c r="P421">
        <v>1</v>
      </c>
      <c r="Q421">
        <v>40</v>
      </c>
      <c r="R421" t="s">
        <v>1955</v>
      </c>
      <c r="S421"/>
      <c r="T421" s="42" t="str">
        <f>HYPERLINK("https://eprel.ec.europa.eu/qr/953680         ")</f>
        <v xml:space="preserve">https://eprel.ec.europa.eu/qr/953680         </v>
      </c>
      <c r="U421">
        <v>3.7</v>
      </c>
      <c r="V421">
        <v>0</v>
      </c>
      <c r="W421"/>
      <c r="X421"/>
      <c r="Y421"/>
      <c r="Z421" t="s">
        <v>1778</v>
      </c>
      <c r="AA421"/>
    </row>
    <row r="422" spans="1:27" ht="15" x14ac:dyDescent="0.25">
      <c r="A422" t="s">
        <v>5</v>
      </c>
      <c r="B422" t="s">
        <v>63</v>
      </c>
      <c r="C422"/>
      <c r="D422" t="s">
        <v>59</v>
      </c>
      <c r="E422" t="s">
        <v>71</v>
      </c>
      <c r="F422" t="s">
        <v>1618</v>
      </c>
      <c r="G422" t="s">
        <v>1619</v>
      </c>
      <c r="H422" t="s">
        <v>59</v>
      </c>
      <c r="I422" s="41">
        <v>1725</v>
      </c>
      <c r="J422" s="40">
        <f>I422*(1-IFERROR(VLOOKUP(H422,Rabat!$D$10:$E$41,2,FALSE),0))</f>
        <v>1725</v>
      </c>
      <c r="K422">
        <v>5.92</v>
      </c>
      <c r="L422" t="s">
        <v>1978</v>
      </c>
      <c r="M422" t="s">
        <v>2223</v>
      </c>
      <c r="N422" t="s">
        <v>2000</v>
      </c>
      <c r="O422" t="s">
        <v>1776</v>
      </c>
      <c r="P422">
        <v>1</v>
      </c>
      <c r="Q422">
        <v>0</v>
      </c>
      <c r="R422" t="s">
        <v>1955</v>
      </c>
      <c r="S422"/>
      <c r="T422" s="42" t="str">
        <f>HYPERLINK("https://eprel.ec.europa.eu/qr/953694         ")</f>
        <v xml:space="preserve">https://eprel.ec.europa.eu/qr/953694         </v>
      </c>
      <c r="U422">
        <v>7</v>
      </c>
      <c r="V422"/>
      <c r="W422"/>
      <c r="X422"/>
      <c r="Y422"/>
      <c r="Z422" t="s">
        <v>1778</v>
      </c>
      <c r="AA422"/>
    </row>
    <row r="423" spans="1:27" ht="15" x14ac:dyDescent="0.25">
      <c r="A423" t="s">
        <v>5</v>
      </c>
      <c r="B423" t="s">
        <v>63</v>
      </c>
      <c r="C423"/>
      <c r="D423" t="s">
        <v>59</v>
      </c>
      <c r="E423" t="s">
        <v>71</v>
      </c>
      <c r="F423" t="s">
        <v>1698</v>
      </c>
      <c r="G423" t="s">
        <v>1699</v>
      </c>
      <c r="H423" t="s">
        <v>59</v>
      </c>
      <c r="I423" s="41">
        <v>1817</v>
      </c>
      <c r="J423" s="40">
        <f>I423*(1-IFERROR(VLOOKUP(H423,Rabat!$D$10:$E$41,2,FALSE),0))</f>
        <v>1817</v>
      </c>
      <c r="K423">
        <v>5.92</v>
      </c>
      <c r="L423" t="s">
        <v>1978</v>
      </c>
      <c r="M423" t="s">
        <v>2224</v>
      </c>
      <c r="N423" t="s">
        <v>2000</v>
      </c>
      <c r="O423" t="s">
        <v>1776</v>
      </c>
      <c r="P423">
        <v>1</v>
      </c>
      <c r="Q423">
        <v>0</v>
      </c>
      <c r="R423" t="s">
        <v>1955</v>
      </c>
      <c r="S423"/>
      <c r="T423" s="42" t="str">
        <f>HYPERLINK("https://eprel.ec.europa.eu/qr/953694         ")</f>
        <v xml:space="preserve">https://eprel.ec.europa.eu/qr/953694         </v>
      </c>
      <c r="U423">
        <v>7</v>
      </c>
      <c r="V423">
        <v>0</v>
      </c>
      <c r="W423"/>
      <c r="X423"/>
      <c r="Y423"/>
      <c r="Z423" t="s">
        <v>1778</v>
      </c>
      <c r="AA423"/>
    </row>
    <row r="424" spans="1:27" ht="15" x14ac:dyDescent="0.25">
      <c r="A424" t="s">
        <v>5</v>
      </c>
      <c r="B424" t="s">
        <v>63</v>
      </c>
      <c r="C424"/>
      <c r="D424" t="s">
        <v>59</v>
      </c>
      <c r="E424" t="s">
        <v>71</v>
      </c>
      <c r="F424" t="s">
        <v>1664</v>
      </c>
      <c r="G424" t="s">
        <v>1665</v>
      </c>
      <c r="H424" t="s">
        <v>59</v>
      </c>
      <c r="I424" s="41">
        <v>1661</v>
      </c>
      <c r="J424" s="40">
        <f>I424*(1-IFERROR(VLOOKUP(H424,Rabat!$D$10:$E$41,2,FALSE),0))</f>
        <v>1661</v>
      </c>
      <c r="K424">
        <v>5.92</v>
      </c>
      <c r="L424" t="s">
        <v>1978</v>
      </c>
      <c r="M424" t="s">
        <v>2225</v>
      </c>
      <c r="N424" t="s">
        <v>2000</v>
      </c>
      <c r="O424" t="s">
        <v>1776</v>
      </c>
      <c r="P424">
        <v>1</v>
      </c>
      <c r="Q424">
        <v>40</v>
      </c>
      <c r="R424" t="s">
        <v>1955</v>
      </c>
      <c r="S424"/>
      <c r="T424" s="42" t="str">
        <f>HYPERLINK("https://eprel.ec.europa.eu/qr/953694         ")</f>
        <v xml:space="preserve">https://eprel.ec.europa.eu/qr/953694         </v>
      </c>
      <c r="U424">
        <v>7</v>
      </c>
      <c r="V424">
        <v>0</v>
      </c>
      <c r="W424"/>
      <c r="X424"/>
      <c r="Y424"/>
      <c r="Z424" t="s">
        <v>1778</v>
      </c>
      <c r="AA424"/>
    </row>
    <row r="425" spans="1:27" ht="15" x14ac:dyDescent="0.25">
      <c r="A425" t="s">
        <v>5</v>
      </c>
      <c r="B425" t="s">
        <v>46</v>
      </c>
      <c r="C425"/>
      <c r="D425" t="s">
        <v>741</v>
      </c>
      <c r="E425" t="s">
        <v>1289</v>
      </c>
      <c r="F425" t="s">
        <v>1522</v>
      </c>
      <c r="G425" t="s">
        <v>1523</v>
      </c>
      <c r="H425" t="s">
        <v>6</v>
      </c>
      <c r="I425" s="41">
        <v>1524</v>
      </c>
      <c r="J425" s="40">
        <f>I425*(1-IFERROR(VLOOKUP(H425,Rabat!$D$10:$E$41,2,FALSE),0))</f>
        <v>1524</v>
      </c>
      <c r="K425">
        <v>3.99</v>
      </c>
      <c r="L425" t="s">
        <v>1789</v>
      </c>
      <c r="M425" t="s">
        <v>2226</v>
      </c>
      <c r="N425" t="s">
        <v>2000</v>
      </c>
      <c r="O425" t="s">
        <v>1776</v>
      </c>
      <c r="P425">
        <v>1</v>
      </c>
      <c r="Q425">
        <v>0</v>
      </c>
      <c r="R425" t="s">
        <v>1955</v>
      </c>
      <c r="S425" s="42" t="str">
        <f>HYPERLINK("https://sklep.kobi.pl/produkt/master-street-120w-4000k-mb")</f>
        <v>https://sklep.kobi.pl/produkt/master-street-120w-4000k-mb</v>
      </c>
      <c r="T425" t="s">
        <v>71</v>
      </c>
      <c r="U425">
        <v>4.72</v>
      </c>
      <c r="V425">
        <v>0</v>
      </c>
      <c r="W425">
        <v>0</v>
      </c>
      <c r="X425">
        <v>0</v>
      </c>
      <c r="Y425">
        <v>0</v>
      </c>
      <c r="Z425" t="s">
        <v>1778</v>
      </c>
      <c r="AA425"/>
    </row>
    <row r="426" spans="1:27" ht="15" x14ac:dyDescent="0.25">
      <c r="A426" t="s">
        <v>5</v>
      </c>
      <c r="B426" t="s">
        <v>46</v>
      </c>
      <c r="C426"/>
      <c r="D426" t="s">
        <v>741</v>
      </c>
      <c r="E426" t="s">
        <v>1289</v>
      </c>
      <c r="F426" t="s">
        <v>1524</v>
      </c>
      <c r="G426" t="s">
        <v>1525</v>
      </c>
      <c r="H426" t="s">
        <v>6</v>
      </c>
      <c r="I426" s="41">
        <v>1524</v>
      </c>
      <c r="J426" s="40">
        <f>I426*(1-IFERROR(VLOOKUP(H426,Rabat!$D$10:$E$41,2,FALSE),0))</f>
        <v>1524</v>
      </c>
      <c r="K426">
        <v>3.99</v>
      </c>
      <c r="L426" t="s">
        <v>1789</v>
      </c>
      <c r="M426" t="s">
        <v>2227</v>
      </c>
      <c r="N426" t="s">
        <v>2000</v>
      </c>
      <c r="O426" t="s">
        <v>1776</v>
      </c>
      <c r="P426">
        <v>1</v>
      </c>
      <c r="Q426">
        <v>0</v>
      </c>
      <c r="R426" t="s">
        <v>1955</v>
      </c>
      <c r="S426" s="42" t="str">
        <f>HYPERLINK("https://sklep.kobi.pl/produkt/master-street-120w-4000k-wb")</f>
        <v>https://sklep.kobi.pl/produkt/master-street-120w-4000k-wb</v>
      </c>
      <c r="T426" t="s">
        <v>71</v>
      </c>
      <c r="U426">
        <v>4.72</v>
      </c>
      <c r="V426">
        <v>0</v>
      </c>
      <c r="W426">
        <v>0</v>
      </c>
      <c r="X426">
        <v>0</v>
      </c>
      <c r="Y426">
        <v>0</v>
      </c>
      <c r="Z426" t="s">
        <v>1778</v>
      </c>
      <c r="AA426"/>
    </row>
    <row r="427" spans="1:27" ht="15" x14ac:dyDescent="0.25">
      <c r="A427" t="s">
        <v>5</v>
      </c>
      <c r="B427" t="s">
        <v>46</v>
      </c>
      <c r="C427"/>
      <c r="D427" t="s">
        <v>741</v>
      </c>
      <c r="E427" t="s">
        <v>1289</v>
      </c>
      <c r="F427" t="s">
        <v>1514</v>
      </c>
      <c r="G427" t="s">
        <v>1515</v>
      </c>
      <c r="H427" t="s">
        <v>6</v>
      </c>
      <c r="I427" s="41">
        <v>980</v>
      </c>
      <c r="J427" s="40">
        <f>I427*(1-IFERROR(VLOOKUP(H427,Rabat!$D$10:$E$41,2,FALSE),0))</f>
        <v>980</v>
      </c>
      <c r="K427">
        <v>2.79</v>
      </c>
      <c r="L427" t="s">
        <v>1789</v>
      </c>
      <c r="M427" t="s">
        <v>2228</v>
      </c>
      <c r="N427" t="s">
        <v>2000</v>
      </c>
      <c r="O427" t="s">
        <v>1776</v>
      </c>
      <c r="P427">
        <v>1</v>
      </c>
      <c r="Q427">
        <v>0</v>
      </c>
      <c r="R427" t="s">
        <v>1955</v>
      </c>
      <c r="S427" s="42" t="str">
        <f>HYPERLINK("https://sklep.kobi.pl/produkt/master-street-35w-4000k-mb")</f>
        <v>https://sklep.kobi.pl/produkt/master-street-35w-4000k-mb</v>
      </c>
      <c r="T427" t="s">
        <v>71</v>
      </c>
      <c r="U427">
        <v>3.3</v>
      </c>
      <c r="V427">
        <v>0</v>
      </c>
      <c r="W427">
        <v>0</v>
      </c>
      <c r="X427">
        <v>0</v>
      </c>
      <c r="Y427">
        <v>0</v>
      </c>
      <c r="Z427" t="s">
        <v>1778</v>
      </c>
      <c r="AA427"/>
    </row>
    <row r="428" spans="1:27" ht="15" x14ac:dyDescent="0.25">
      <c r="A428" t="s">
        <v>5</v>
      </c>
      <c r="B428" t="s">
        <v>46</v>
      </c>
      <c r="C428"/>
      <c r="D428" t="s">
        <v>741</v>
      </c>
      <c r="E428" t="s">
        <v>1289</v>
      </c>
      <c r="F428" t="s">
        <v>1516</v>
      </c>
      <c r="G428" t="s">
        <v>1517</v>
      </c>
      <c r="H428" t="s">
        <v>6</v>
      </c>
      <c r="I428" s="41">
        <v>980</v>
      </c>
      <c r="J428" s="40">
        <f>I428*(1-IFERROR(VLOOKUP(H428,Rabat!$D$10:$E$41,2,FALSE),0))</f>
        <v>980</v>
      </c>
      <c r="K428">
        <v>2.79</v>
      </c>
      <c r="L428" t="s">
        <v>1789</v>
      </c>
      <c r="M428" t="s">
        <v>2229</v>
      </c>
      <c r="N428" t="s">
        <v>2000</v>
      </c>
      <c r="O428" t="s">
        <v>1776</v>
      </c>
      <c r="P428">
        <v>1</v>
      </c>
      <c r="Q428">
        <v>0</v>
      </c>
      <c r="R428" t="s">
        <v>1955</v>
      </c>
      <c r="S428" s="42" t="str">
        <f>HYPERLINK("https://sklep.kobi.pl/produkt/master-street-35w-4000k-wb")</f>
        <v>https://sklep.kobi.pl/produkt/master-street-35w-4000k-wb</v>
      </c>
      <c r="T428" t="s">
        <v>71</v>
      </c>
      <c r="U428">
        <v>3.3</v>
      </c>
      <c r="V428">
        <v>0</v>
      </c>
      <c r="W428">
        <v>0</v>
      </c>
      <c r="X428">
        <v>0</v>
      </c>
      <c r="Y428">
        <v>0</v>
      </c>
      <c r="Z428" t="s">
        <v>1778</v>
      </c>
      <c r="AA428"/>
    </row>
    <row r="429" spans="1:27" ht="15" x14ac:dyDescent="0.25">
      <c r="A429" t="s">
        <v>5</v>
      </c>
      <c r="B429" t="s">
        <v>46</v>
      </c>
      <c r="C429"/>
      <c r="D429" t="s">
        <v>741</v>
      </c>
      <c r="E429" t="s">
        <v>1289</v>
      </c>
      <c r="F429" t="s">
        <v>1518</v>
      </c>
      <c r="G429" t="s">
        <v>1519</v>
      </c>
      <c r="H429" t="s">
        <v>6</v>
      </c>
      <c r="I429" s="41">
        <v>1200</v>
      </c>
      <c r="J429" s="40">
        <f>I429*(1-IFERROR(VLOOKUP(H429,Rabat!$D$10:$E$41,2,FALSE),0))</f>
        <v>1200</v>
      </c>
      <c r="K429">
        <v>3.51</v>
      </c>
      <c r="L429" t="s">
        <v>1789</v>
      </c>
      <c r="M429" t="s">
        <v>2230</v>
      </c>
      <c r="N429" t="s">
        <v>2000</v>
      </c>
      <c r="O429" t="s">
        <v>1776</v>
      </c>
      <c r="P429">
        <v>1</v>
      </c>
      <c r="Q429">
        <v>0</v>
      </c>
      <c r="R429" t="s">
        <v>1955</v>
      </c>
      <c r="S429" s="42" t="str">
        <f>HYPERLINK("https://sklep.kobi.pl/produkt/master-street-80w-4000k-mb")</f>
        <v>https://sklep.kobi.pl/produkt/master-street-80w-4000k-mb</v>
      </c>
      <c r="T429" t="s">
        <v>71</v>
      </c>
      <c r="U429">
        <v>4.1500000000000004</v>
      </c>
      <c r="V429">
        <v>0</v>
      </c>
      <c r="W429">
        <v>0</v>
      </c>
      <c r="X429">
        <v>0</v>
      </c>
      <c r="Y429">
        <v>0</v>
      </c>
      <c r="Z429" t="s">
        <v>1778</v>
      </c>
      <c r="AA429"/>
    </row>
    <row r="430" spans="1:27" ht="15" x14ac:dyDescent="0.25">
      <c r="A430" t="s">
        <v>5</v>
      </c>
      <c r="B430" t="s">
        <v>46</v>
      </c>
      <c r="C430"/>
      <c r="D430" t="s">
        <v>741</v>
      </c>
      <c r="E430" t="s">
        <v>1289</v>
      </c>
      <c r="F430" t="s">
        <v>1520</v>
      </c>
      <c r="G430" t="s">
        <v>1521</v>
      </c>
      <c r="H430" t="s">
        <v>6</v>
      </c>
      <c r="I430" s="41">
        <v>1200</v>
      </c>
      <c r="J430" s="40">
        <f>I430*(1-IFERROR(VLOOKUP(H430,Rabat!$D$10:$E$41,2,FALSE),0))</f>
        <v>1200</v>
      </c>
      <c r="K430">
        <v>3.51</v>
      </c>
      <c r="L430" t="s">
        <v>1789</v>
      </c>
      <c r="M430" t="s">
        <v>2231</v>
      </c>
      <c r="N430" t="s">
        <v>2000</v>
      </c>
      <c r="O430" t="s">
        <v>1776</v>
      </c>
      <c r="P430">
        <v>1</v>
      </c>
      <c r="Q430">
        <v>0</v>
      </c>
      <c r="R430" t="s">
        <v>1955</v>
      </c>
      <c r="S430" s="42" t="str">
        <f>HYPERLINK("https://sklep.kobi.pl/produkt/master-street-80w-4000k-wb")</f>
        <v>https://sklep.kobi.pl/produkt/master-street-80w-4000k-wb</v>
      </c>
      <c r="T430" t="s">
        <v>71</v>
      </c>
      <c r="U430">
        <v>4.1500000000000004</v>
      </c>
      <c r="V430">
        <v>0</v>
      </c>
      <c r="W430">
        <v>0</v>
      </c>
      <c r="X430">
        <v>0</v>
      </c>
      <c r="Y430">
        <v>0</v>
      </c>
      <c r="Z430" t="s">
        <v>1778</v>
      </c>
      <c r="AA430"/>
    </row>
    <row r="431" spans="1:27" ht="15" x14ac:dyDescent="0.25">
      <c r="A431" t="s">
        <v>5</v>
      </c>
      <c r="B431" t="s">
        <v>46</v>
      </c>
      <c r="C431"/>
      <c r="D431" t="s">
        <v>424</v>
      </c>
      <c r="E431" t="s">
        <v>149</v>
      </c>
      <c r="F431" t="s">
        <v>943</v>
      </c>
      <c r="G431" t="s">
        <v>944</v>
      </c>
      <c r="H431" t="s">
        <v>6</v>
      </c>
      <c r="I431" s="41">
        <v>416.52</v>
      </c>
      <c r="J431" s="40">
        <f>I431*(1-IFERROR(VLOOKUP(H431,Rabat!$D$10:$E$41,2,FALSE),0))</f>
        <v>416.52</v>
      </c>
      <c r="K431">
        <v>2.0499999999999998</v>
      </c>
      <c r="L431" t="s">
        <v>1779</v>
      </c>
      <c r="M431" t="s">
        <v>2232</v>
      </c>
      <c r="N431" t="s">
        <v>2000</v>
      </c>
      <c r="O431" t="s">
        <v>1776</v>
      </c>
      <c r="P431">
        <v>6</v>
      </c>
      <c r="Q431">
        <v>54</v>
      </c>
      <c r="R431" t="s">
        <v>1820</v>
      </c>
      <c r="S431" s="42" t="str">
        <f>HYPERLINK("https://sklep.kobi.pl/produkt/led-vespa-100w-4000k-11070")</f>
        <v>https://sklep.kobi.pl/produkt/led-vespa-100w-4000k-11070</v>
      </c>
      <c r="T431" s="42" t="str">
        <f>HYPERLINK("https://eprel.ec.europa.eu/qr/791463         ")</f>
        <v xml:space="preserve">https://eprel.ec.europa.eu/qr/791463         </v>
      </c>
      <c r="U431">
        <v>2.4279999999999999</v>
      </c>
      <c r="V431">
        <v>2.8879999999999999</v>
      </c>
      <c r="W431">
        <v>120</v>
      </c>
      <c r="X431">
        <v>230</v>
      </c>
      <c r="Y431">
        <v>650</v>
      </c>
      <c r="Z431" t="s">
        <v>1778</v>
      </c>
      <c r="AA431"/>
    </row>
    <row r="432" spans="1:27" ht="15" x14ac:dyDescent="0.25">
      <c r="A432" t="s">
        <v>5</v>
      </c>
      <c r="B432" t="s">
        <v>46</v>
      </c>
      <c r="C432"/>
      <c r="D432" t="s">
        <v>424</v>
      </c>
      <c r="E432" t="s">
        <v>149</v>
      </c>
      <c r="F432" t="s">
        <v>945</v>
      </c>
      <c r="G432" t="s">
        <v>946</v>
      </c>
      <c r="H432" t="s">
        <v>6</v>
      </c>
      <c r="I432" s="41">
        <v>618</v>
      </c>
      <c r="J432" s="40">
        <f>I432*(1-IFERROR(VLOOKUP(H432,Rabat!$D$10:$E$41,2,FALSE),0))</f>
        <v>618</v>
      </c>
      <c r="K432">
        <v>3.12</v>
      </c>
      <c r="L432" t="s">
        <v>1779</v>
      </c>
      <c r="M432" t="s">
        <v>2233</v>
      </c>
      <c r="N432" t="s">
        <v>2000</v>
      </c>
      <c r="O432" t="s">
        <v>1776</v>
      </c>
      <c r="P432">
        <v>4</v>
      </c>
      <c r="Q432">
        <v>36</v>
      </c>
      <c r="R432" t="s">
        <v>1820</v>
      </c>
      <c r="S432" s="42" t="str">
        <f>HYPERLINK("https://sklep.kobi.pl/produkt/led-vespa-200w-4000k-11070")</f>
        <v>https://sklep.kobi.pl/produkt/led-vespa-200w-4000k-11070</v>
      </c>
      <c r="T432" s="42" t="str">
        <f>HYPERLINK("https://eprel.ec.europa.eu/qr/791475         ")</f>
        <v xml:space="preserve">https://eprel.ec.europa.eu/qr/791475         </v>
      </c>
      <c r="U432">
        <v>3.6880000000000002</v>
      </c>
      <c r="V432">
        <v>4.3049999999999997</v>
      </c>
      <c r="W432">
        <v>120</v>
      </c>
      <c r="X432">
        <v>310</v>
      </c>
      <c r="Y432">
        <v>790</v>
      </c>
      <c r="Z432" t="s">
        <v>1778</v>
      </c>
      <c r="AA432"/>
    </row>
    <row r="433" spans="1:27" ht="15" x14ac:dyDescent="0.25">
      <c r="A433" t="s">
        <v>5</v>
      </c>
      <c r="B433" t="s">
        <v>46</v>
      </c>
      <c r="C433"/>
      <c r="D433" t="s">
        <v>741</v>
      </c>
      <c r="E433" t="s">
        <v>71</v>
      </c>
      <c r="F433" t="s">
        <v>1198</v>
      </c>
      <c r="G433" t="s">
        <v>1199</v>
      </c>
      <c r="H433" t="s">
        <v>6</v>
      </c>
      <c r="I433" s="41">
        <v>273.5</v>
      </c>
      <c r="J433" s="40">
        <f>I433*(1-IFERROR(VLOOKUP(H433,Rabat!$D$10:$E$41,2,FALSE),0))</f>
        <v>273.5</v>
      </c>
      <c r="K433">
        <v>1.35</v>
      </c>
      <c r="L433" t="s">
        <v>1978</v>
      </c>
      <c r="M433" t="s">
        <v>2234</v>
      </c>
      <c r="N433" t="s">
        <v>2000</v>
      </c>
      <c r="O433" t="s">
        <v>1776</v>
      </c>
      <c r="P433">
        <v>6</v>
      </c>
      <c r="Q433">
        <v>96</v>
      </c>
      <c r="R433" t="s">
        <v>1955</v>
      </c>
      <c r="S433" s="42" t="str">
        <f>HYPERLINK("https://sklep.kobi.pl/produkt/led-vespa-pro-40w-4000k")</f>
        <v>https://sklep.kobi.pl/produkt/led-vespa-pro-40w-4000k</v>
      </c>
      <c r="T433" s="42" t="str">
        <f>HYPERLINK("https://eprel.ec.europa.eu/qr/1410066        ")</f>
        <v xml:space="preserve">https://eprel.ec.europa.eu/qr/1410066        </v>
      </c>
      <c r="U433">
        <v>1.6</v>
      </c>
      <c r="V433">
        <v>0</v>
      </c>
      <c r="W433">
        <v>0</v>
      </c>
      <c r="X433">
        <v>0</v>
      </c>
      <c r="Y433">
        <v>0</v>
      </c>
      <c r="Z433" t="s">
        <v>1778</v>
      </c>
      <c r="AA433"/>
    </row>
    <row r="434" spans="1:27" ht="15" x14ac:dyDescent="0.25">
      <c r="A434" t="s">
        <v>5</v>
      </c>
      <c r="B434" t="s">
        <v>46</v>
      </c>
      <c r="C434"/>
      <c r="D434" t="s">
        <v>741</v>
      </c>
      <c r="E434" t="s">
        <v>71</v>
      </c>
      <c r="F434" t="s">
        <v>1200</v>
      </c>
      <c r="G434" t="s">
        <v>1201</v>
      </c>
      <c r="H434" t="s">
        <v>6</v>
      </c>
      <c r="I434" s="41">
        <v>334.56</v>
      </c>
      <c r="J434" s="40">
        <f>I434*(1-IFERROR(VLOOKUP(H434,Rabat!$D$10:$E$41,2,FALSE),0))</f>
        <v>334.56</v>
      </c>
      <c r="K434">
        <v>1.61</v>
      </c>
      <c r="L434" t="s">
        <v>1978</v>
      </c>
      <c r="M434" t="s">
        <v>2235</v>
      </c>
      <c r="N434" t="s">
        <v>2000</v>
      </c>
      <c r="O434" t="s">
        <v>1776</v>
      </c>
      <c r="P434">
        <v>6</v>
      </c>
      <c r="Q434">
        <v>96</v>
      </c>
      <c r="R434" t="s">
        <v>1955</v>
      </c>
      <c r="S434" s="42" t="str">
        <f>HYPERLINK("https://sklep.kobi.pl/produkt/led-vespa-pro-60w-4000k")</f>
        <v>https://sklep.kobi.pl/produkt/led-vespa-pro-60w-4000k</v>
      </c>
      <c r="T434" s="42" t="str">
        <f>HYPERLINK("https://eprel.ec.europa.eu/qr/1410067        ")</f>
        <v xml:space="preserve">https://eprel.ec.europa.eu/qr/1410067        </v>
      </c>
      <c r="U434">
        <v>1.9</v>
      </c>
      <c r="V434">
        <v>0</v>
      </c>
      <c r="W434">
        <v>120</v>
      </c>
      <c r="X434">
        <v>190</v>
      </c>
      <c r="Y434">
        <v>600</v>
      </c>
      <c r="Z434" t="s">
        <v>1778</v>
      </c>
      <c r="AA434"/>
    </row>
    <row r="435" spans="1:27" ht="15" x14ac:dyDescent="0.25">
      <c r="A435" t="s">
        <v>5</v>
      </c>
      <c r="B435" t="s">
        <v>46</v>
      </c>
      <c r="C435"/>
      <c r="D435" t="s">
        <v>741</v>
      </c>
      <c r="E435" t="s">
        <v>71</v>
      </c>
      <c r="F435" t="s">
        <v>1202</v>
      </c>
      <c r="G435" t="s">
        <v>1203</v>
      </c>
      <c r="H435" t="s">
        <v>6</v>
      </c>
      <c r="I435" s="41">
        <v>505.47</v>
      </c>
      <c r="J435" s="40">
        <f>I435*(1-IFERROR(VLOOKUP(H435,Rabat!$D$10:$E$41,2,FALSE),0))</f>
        <v>505.47</v>
      </c>
      <c r="K435">
        <v>2.0699999999999998</v>
      </c>
      <c r="L435" t="s">
        <v>1978</v>
      </c>
      <c r="M435" t="s">
        <v>2236</v>
      </c>
      <c r="N435" t="s">
        <v>2000</v>
      </c>
      <c r="O435" t="s">
        <v>1776</v>
      </c>
      <c r="P435">
        <v>6</v>
      </c>
      <c r="Q435">
        <v>54</v>
      </c>
      <c r="R435" t="s">
        <v>1955</v>
      </c>
      <c r="S435" s="42" t="str">
        <f>HYPERLINK("https://sklep.kobi.pl/produkt/led-vespa-pro-100w-4000k")</f>
        <v>https://sklep.kobi.pl/produkt/led-vespa-pro-100w-4000k</v>
      </c>
      <c r="T435" s="42" t="str">
        <f>HYPERLINK("https://eprel.ec.europa.eu/qr/1410068        ")</f>
        <v xml:space="preserve">https://eprel.ec.europa.eu/qr/1410068        </v>
      </c>
      <c r="U435">
        <v>2.4500000000000002</v>
      </c>
      <c r="V435">
        <v>0</v>
      </c>
      <c r="W435">
        <v>120</v>
      </c>
      <c r="X435">
        <v>230</v>
      </c>
      <c r="Y435">
        <v>650</v>
      </c>
      <c r="Z435" t="s">
        <v>1778</v>
      </c>
      <c r="AA435"/>
    </row>
    <row r="436" spans="1:27" ht="15" x14ac:dyDescent="0.25">
      <c r="A436" t="s">
        <v>5</v>
      </c>
      <c r="B436" t="s">
        <v>46</v>
      </c>
      <c r="C436"/>
      <c r="D436" t="s">
        <v>741</v>
      </c>
      <c r="E436" t="s">
        <v>71</v>
      </c>
      <c r="F436" t="s">
        <v>1204</v>
      </c>
      <c r="G436" t="s">
        <v>1205</v>
      </c>
      <c r="H436" t="s">
        <v>6</v>
      </c>
      <c r="I436" s="41">
        <v>573.20000000000005</v>
      </c>
      <c r="J436" s="40">
        <f>I436*(1-IFERROR(VLOOKUP(H436,Rabat!$D$10:$E$41,2,FALSE),0))</f>
        <v>573.20000000000005</v>
      </c>
      <c r="K436">
        <v>2.37</v>
      </c>
      <c r="L436" t="s">
        <v>1978</v>
      </c>
      <c r="M436" t="s">
        <v>2237</v>
      </c>
      <c r="N436" t="s">
        <v>2000</v>
      </c>
      <c r="O436" t="s">
        <v>1776</v>
      </c>
      <c r="P436">
        <v>4</v>
      </c>
      <c r="Q436">
        <v>48</v>
      </c>
      <c r="R436" t="s">
        <v>1955</v>
      </c>
      <c r="S436" s="42" t="str">
        <f>HYPERLINK("https://sklep.kobi.pl/produkt/led-vespa-pro-150w-4000k")</f>
        <v>https://sklep.kobi.pl/produkt/led-vespa-pro-150w-4000k</v>
      </c>
      <c r="T436" s="42" t="str">
        <f>HYPERLINK("https://eprel.ec.europa.eu/qr/1410069        ")</f>
        <v xml:space="preserve">https://eprel.ec.europa.eu/qr/1410069        </v>
      </c>
      <c r="U436">
        <v>2.8</v>
      </c>
      <c r="V436">
        <v>0</v>
      </c>
      <c r="W436">
        <v>120</v>
      </c>
      <c r="X436">
        <v>255</v>
      </c>
      <c r="Y436">
        <v>690</v>
      </c>
      <c r="Z436" t="s">
        <v>1778</v>
      </c>
      <c r="AA436"/>
    </row>
    <row r="437" spans="1:27" ht="15" x14ac:dyDescent="0.25">
      <c r="A437" t="s">
        <v>5</v>
      </c>
      <c r="B437" t="s">
        <v>46</v>
      </c>
      <c r="C437"/>
      <c r="D437" t="s">
        <v>741</v>
      </c>
      <c r="E437" t="s">
        <v>71</v>
      </c>
      <c r="F437" t="s">
        <v>1206</v>
      </c>
      <c r="G437" t="s">
        <v>1207</v>
      </c>
      <c r="H437" t="s">
        <v>6</v>
      </c>
      <c r="I437" s="41">
        <v>732.07</v>
      </c>
      <c r="J437" s="40">
        <f>I437*(1-IFERROR(VLOOKUP(H437,Rabat!$D$10:$E$41,2,FALSE),0))</f>
        <v>732.07</v>
      </c>
      <c r="K437">
        <v>3.25</v>
      </c>
      <c r="L437" t="s">
        <v>1978</v>
      </c>
      <c r="M437" t="s">
        <v>2238</v>
      </c>
      <c r="N437" t="s">
        <v>2000</v>
      </c>
      <c r="O437" t="s">
        <v>1776</v>
      </c>
      <c r="P437">
        <v>4</v>
      </c>
      <c r="Q437">
        <v>44</v>
      </c>
      <c r="R437" t="s">
        <v>1955</v>
      </c>
      <c r="S437" s="42" t="str">
        <f>HYPERLINK("https://sklep.kobi.pl/produkt/led-vespa-pro-200w-4000k")</f>
        <v>https://sklep.kobi.pl/produkt/led-vespa-pro-200w-4000k</v>
      </c>
      <c r="T437" s="42" t="str">
        <f>HYPERLINK("https://eprel.ec.europa.eu/qr/1410070        ")</f>
        <v xml:space="preserve">https://eprel.ec.europa.eu/qr/1410070        </v>
      </c>
      <c r="U437">
        <v>3.85</v>
      </c>
      <c r="V437">
        <v>0</v>
      </c>
      <c r="W437">
        <v>120</v>
      </c>
      <c r="X437">
        <v>310</v>
      </c>
      <c r="Y437">
        <v>790</v>
      </c>
      <c r="Z437" t="s">
        <v>1778</v>
      </c>
      <c r="AA437"/>
    </row>
    <row r="438" spans="1:27" ht="15" x14ac:dyDescent="0.25">
      <c r="A438" t="s">
        <v>5</v>
      </c>
      <c r="B438" t="s">
        <v>46</v>
      </c>
      <c r="C438"/>
      <c r="D438" t="s">
        <v>424</v>
      </c>
      <c r="E438" t="s">
        <v>1289</v>
      </c>
      <c r="F438" t="s">
        <v>1468</v>
      </c>
      <c r="G438" t="s">
        <v>1469</v>
      </c>
      <c r="H438" t="s">
        <v>6</v>
      </c>
      <c r="I438" s="41">
        <v>123</v>
      </c>
      <c r="J438" s="40">
        <f>I438*(1-IFERROR(VLOOKUP(H438,Rabat!$D$10:$E$41,2,FALSE),0))</f>
        <v>123</v>
      </c>
      <c r="K438">
        <v>0.68</v>
      </c>
      <c r="L438" t="s">
        <v>1789</v>
      </c>
      <c r="M438" t="s">
        <v>2239</v>
      </c>
      <c r="N438" t="s">
        <v>2000</v>
      </c>
      <c r="O438" t="s">
        <v>1776</v>
      </c>
      <c r="P438">
        <v>20</v>
      </c>
      <c r="Q438">
        <v>0</v>
      </c>
      <c r="R438" t="s">
        <v>1820</v>
      </c>
      <c r="S438" s="42" t="str">
        <f>HYPERLINK("https://sklep.kobi.pl/produkt/led-cyoto-50w-4000k")</f>
        <v>https://sklep.kobi.pl/produkt/led-cyoto-50w-4000k</v>
      </c>
      <c r="T438" t="s">
        <v>71</v>
      </c>
      <c r="U438">
        <v>0.8</v>
      </c>
      <c r="V438">
        <v>0</v>
      </c>
      <c r="W438">
        <v>0</v>
      </c>
      <c r="X438">
        <v>0</v>
      </c>
      <c r="Y438">
        <v>0</v>
      </c>
      <c r="Z438" t="s">
        <v>1778</v>
      </c>
      <c r="AA438"/>
    </row>
    <row r="439" spans="1:27" ht="15" x14ac:dyDescent="0.25">
      <c r="A439" t="s">
        <v>5</v>
      </c>
      <c r="B439" t="s">
        <v>46</v>
      </c>
      <c r="C439"/>
      <c r="D439" t="s">
        <v>741</v>
      </c>
      <c r="E439" t="s">
        <v>1289</v>
      </c>
      <c r="F439" t="s">
        <v>1466</v>
      </c>
      <c r="G439" t="s">
        <v>1467</v>
      </c>
      <c r="H439" t="s">
        <v>6</v>
      </c>
      <c r="I439" s="41">
        <v>1350</v>
      </c>
      <c r="J439" s="40">
        <f>I439*(1-IFERROR(VLOOKUP(H439,Rabat!$D$10:$E$41,2,FALSE),0))</f>
        <v>1350</v>
      </c>
      <c r="K439">
        <v>3.25</v>
      </c>
      <c r="L439" t="s">
        <v>1789</v>
      </c>
      <c r="M439" t="s">
        <v>2240</v>
      </c>
      <c r="N439" t="s">
        <v>2000</v>
      </c>
      <c r="O439" t="s">
        <v>1776</v>
      </c>
      <c r="P439">
        <v>4</v>
      </c>
      <c r="Q439">
        <v>0</v>
      </c>
      <c r="R439" t="s">
        <v>1955</v>
      </c>
      <c r="S439" s="42" t="str">
        <f>HYPERLINK("https://sklep.kobi.pl/produkt/hybrid-led-fusion-14w-4000k-ip65")</f>
        <v>https://sklep.kobi.pl/produkt/hybrid-led-fusion-14w-4000k-ip65</v>
      </c>
      <c r="T439" t="s">
        <v>71</v>
      </c>
      <c r="U439">
        <v>3.85</v>
      </c>
      <c r="V439">
        <v>0</v>
      </c>
      <c r="W439">
        <v>0</v>
      </c>
      <c r="X439">
        <v>0</v>
      </c>
      <c r="Y439">
        <v>0</v>
      </c>
      <c r="Z439" t="s">
        <v>1778</v>
      </c>
      <c r="AA439"/>
    </row>
    <row r="440" spans="1:27" ht="15" x14ac:dyDescent="0.25">
      <c r="A440" t="s">
        <v>5</v>
      </c>
      <c r="B440" t="s">
        <v>46</v>
      </c>
      <c r="C440"/>
      <c r="D440" t="s">
        <v>741</v>
      </c>
      <c r="E440" t="s">
        <v>149</v>
      </c>
      <c r="F440" t="s">
        <v>1208</v>
      </c>
      <c r="G440" t="s">
        <v>1209</v>
      </c>
      <c r="H440" t="s">
        <v>6</v>
      </c>
      <c r="I440" s="41">
        <v>734.04</v>
      </c>
      <c r="J440" s="40">
        <f>I440*(1-IFERROR(VLOOKUP(H440,Rabat!$D$10:$E$41,2,FALSE),0))</f>
        <v>734.04</v>
      </c>
      <c r="K440">
        <v>2.62</v>
      </c>
      <c r="L440" t="s">
        <v>2034</v>
      </c>
      <c r="M440" t="s">
        <v>2241</v>
      </c>
      <c r="N440" t="s">
        <v>2000</v>
      </c>
      <c r="O440" t="s">
        <v>1776</v>
      </c>
      <c r="P440">
        <v>1</v>
      </c>
      <c r="Q440">
        <v>0</v>
      </c>
      <c r="R440" t="s">
        <v>1955</v>
      </c>
      <c r="S440" s="42" t="str">
        <f>HYPERLINK("https://sklep.kobi.pl/produkt/new-street-park-50w-4000k-ip66")</f>
        <v>https://sklep.kobi.pl/produkt/new-street-park-50w-4000k-ip66</v>
      </c>
      <c r="T440" s="42" t="str">
        <f>HYPERLINK("https://eprel.ec.europa.eu/qr/1404487        ")</f>
        <v xml:space="preserve">https://eprel.ec.europa.eu/qr/1404487        </v>
      </c>
      <c r="U440">
        <v>3.1</v>
      </c>
      <c r="V440">
        <v>0</v>
      </c>
      <c r="W440">
        <v>0</v>
      </c>
      <c r="X440">
        <v>0</v>
      </c>
      <c r="Y440">
        <v>0</v>
      </c>
      <c r="Z440" t="s">
        <v>1778</v>
      </c>
      <c r="AA440"/>
    </row>
    <row r="441" spans="1:27" ht="15" x14ac:dyDescent="0.25">
      <c r="A441" t="s">
        <v>5</v>
      </c>
      <c r="B441" t="s">
        <v>343</v>
      </c>
      <c r="C441" t="s">
        <v>257</v>
      </c>
      <c r="D441" t="s">
        <v>667</v>
      </c>
      <c r="E441" t="s">
        <v>149</v>
      </c>
      <c r="F441" t="s">
        <v>796</v>
      </c>
      <c r="G441" t="s">
        <v>797</v>
      </c>
      <c r="H441" t="s">
        <v>6</v>
      </c>
      <c r="I441" s="41">
        <v>128.04</v>
      </c>
      <c r="J441" s="40">
        <f>I441*(1-IFERROR(VLOOKUP(H441,Rabat!$D$10:$E$41,2,FALSE),0))</f>
        <v>128.04</v>
      </c>
      <c r="K441">
        <v>0.79</v>
      </c>
      <c r="L441" t="s">
        <v>1789</v>
      </c>
      <c r="M441" t="s">
        <v>2242</v>
      </c>
      <c r="N441" t="s">
        <v>2000</v>
      </c>
      <c r="O441" t="s">
        <v>1776</v>
      </c>
      <c r="P441">
        <v>6</v>
      </c>
      <c r="Q441">
        <v>66</v>
      </c>
      <c r="R441" t="s">
        <v>1777</v>
      </c>
      <c r="S441" s="42" t="str">
        <f>HYPERLINK("https://sklep.kobi.pl/produkt/led-camaro-40w-60x60-4000k-led2b")</f>
        <v>https://sklep.kobi.pl/produkt/led-camaro-40w-60x60-4000k-led2b</v>
      </c>
      <c r="T441" t="s">
        <v>71</v>
      </c>
      <c r="U441">
        <v>0.93799999999999994</v>
      </c>
      <c r="V441">
        <v>1.7</v>
      </c>
      <c r="W441">
        <v>610</v>
      </c>
      <c r="X441">
        <v>610</v>
      </c>
      <c r="Y441">
        <v>35</v>
      </c>
      <c r="Z441" t="s">
        <v>1778</v>
      </c>
      <c r="AA441"/>
    </row>
    <row r="442" spans="1:27" ht="15" x14ac:dyDescent="0.25">
      <c r="A442" t="s">
        <v>5</v>
      </c>
      <c r="B442" t="s">
        <v>343</v>
      </c>
      <c r="C442" t="s">
        <v>257</v>
      </c>
      <c r="D442" t="s">
        <v>69</v>
      </c>
      <c r="E442" t="s">
        <v>71</v>
      </c>
      <c r="F442" t="s">
        <v>1228</v>
      </c>
      <c r="G442" t="s">
        <v>1229</v>
      </c>
      <c r="H442" t="s">
        <v>6</v>
      </c>
      <c r="I442" s="41">
        <v>188.03</v>
      </c>
      <c r="J442" s="40">
        <f>I442*(1-IFERROR(VLOOKUP(H442,Rabat!$D$10:$E$41,2,FALSE),0))</f>
        <v>188.03</v>
      </c>
      <c r="K442">
        <v>1.26</v>
      </c>
      <c r="L442" t="s">
        <v>1789</v>
      </c>
      <c r="M442" t="s">
        <v>2243</v>
      </c>
      <c r="N442" t="s">
        <v>2000</v>
      </c>
      <c r="O442" t="s">
        <v>1776</v>
      </c>
      <c r="P442">
        <v>6</v>
      </c>
      <c r="Q442">
        <v>66</v>
      </c>
      <c r="R442" t="s">
        <v>1955</v>
      </c>
      <c r="S442" s="42" t="str">
        <f>HYPERLINK("https://sklep.kobi.pl/produkt/led-capri-professional-40w-60x60-3000k")</f>
        <v>https://sklep.kobi.pl/produkt/led-capri-professional-40w-60x60-3000k</v>
      </c>
      <c r="T442" t="s">
        <v>71</v>
      </c>
      <c r="U442">
        <v>1.486</v>
      </c>
      <c r="V442">
        <v>1.849</v>
      </c>
      <c r="W442">
        <v>600</v>
      </c>
      <c r="X442">
        <v>600</v>
      </c>
      <c r="Y442">
        <v>35</v>
      </c>
      <c r="Z442" t="s">
        <v>1778</v>
      </c>
      <c r="AA442"/>
    </row>
    <row r="443" spans="1:27" ht="15" x14ac:dyDescent="0.25">
      <c r="A443" t="s">
        <v>5</v>
      </c>
      <c r="B443" t="s">
        <v>343</v>
      </c>
      <c r="C443" t="s">
        <v>257</v>
      </c>
      <c r="D443" t="s">
        <v>69</v>
      </c>
      <c r="E443" t="s">
        <v>149</v>
      </c>
      <c r="F443" t="s">
        <v>1103</v>
      </c>
      <c r="G443" t="s">
        <v>1104</v>
      </c>
      <c r="H443" t="s">
        <v>6</v>
      </c>
      <c r="I443" s="41">
        <v>208.59</v>
      </c>
      <c r="J443" s="40">
        <f>I443*(1-IFERROR(VLOOKUP(H443,Rabat!$D$10:$E$41,2,FALSE),0))</f>
        <v>208.59</v>
      </c>
      <c r="K443">
        <v>1.34</v>
      </c>
      <c r="L443" t="s">
        <v>1789</v>
      </c>
      <c r="M443" t="s">
        <v>2244</v>
      </c>
      <c r="N443" t="s">
        <v>2000</v>
      </c>
      <c r="O443" t="s">
        <v>1776</v>
      </c>
      <c r="P443">
        <v>6</v>
      </c>
      <c r="Q443">
        <v>0</v>
      </c>
      <c r="R443" t="s">
        <v>1955</v>
      </c>
      <c r="S443" s="42" t="str">
        <f>HYPERLINK("https://sklep.kobi.pl/produkt/led-capri-40w-30x120-4000k-premium")</f>
        <v>https://sklep.kobi.pl/produkt/led-capri-40w-30x120-4000k-premium</v>
      </c>
      <c r="T443" t="s">
        <v>71</v>
      </c>
      <c r="U443">
        <v>1.58</v>
      </c>
      <c r="V443">
        <v>0</v>
      </c>
      <c r="W443">
        <v>1200</v>
      </c>
      <c r="X443">
        <v>30</v>
      </c>
      <c r="Y443">
        <v>35</v>
      </c>
      <c r="Z443" t="s">
        <v>1778</v>
      </c>
      <c r="AA443"/>
    </row>
    <row r="444" spans="1:27" ht="15" x14ac:dyDescent="0.25">
      <c r="A444" t="s">
        <v>5</v>
      </c>
      <c r="B444" t="s">
        <v>343</v>
      </c>
      <c r="C444" t="s">
        <v>257</v>
      </c>
      <c r="D444" t="s">
        <v>69</v>
      </c>
      <c r="E444" t="s">
        <v>149</v>
      </c>
      <c r="F444" t="s">
        <v>1308</v>
      </c>
      <c r="G444" t="s">
        <v>1309</v>
      </c>
      <c r="H444" t="s">
        <v>6</v>
      </c>
      <c r="I444" s="41">
        <v>156</v>
      </c>
      <c r="J444" s="40">
        <f>I444*(1-IFERROR(VLOOKUP(H444,Rabat!$D$10:$E$41,2,FALSE),0))</f>
        <v>156</v>
      </c>
      <c r="K444">
        <v>0.47</v>
      </c>
      <c r="L444" t="s">
        <v>1789</v>
      </c>
      <c r="M444" t="s">
        <v>2245</v>
      </c>
      <c r="N444" t="s">
        <v>2000</v>
      </c>
      <c r="O444" t="s">
        <v>1776</v>
      </c>
      <c r="P444">
        <v>5</v>
      </c>
      <c r="Q444">
        <v>0</v>
      </c>
      <c r="R444" t="s">
        <v>1820</v>
      </c>
      <c r="S444" s="42" t="str">
        <f>HYPERLINK("https://sklep.kobi.pl/produkt/led-mia-premium-36w-4000k")</f>
        <v>https://sklep.kobi.pl/produkt/led-mia-premium-36w-4000k</v>
      </c>
      <c r="T444" t="s">
        <v>71</v>
      </c>
      <c r="U444">
        <v>0.56000000000000005</v>
      </c>
      <c r="V444">
        <v>0</v>
      </c>
      <c r="W444">
        <v>0</v>
      </c>
      <c r="X444">
        <v>0</v>
      </c>
      <c r="Y444">
        <v>0</v>
      </c>
      <c r="Z444" t="s">
        <v>1778</v>
      </c>
      <c r="AA444"/>
    </row>
    <row r="445" spans="1:27" ht="15" x14ac:dyDescent="0.25">
      <c r="A445" t="s">
        <v>5</v>
      </c>
      <c r="B445" t="s">
        <v>343</v>
      </c>
      <c r="C445" t="s">
        <v>257</v>
      </c>
      <c r="D445" t="s">
        <v>69</v>
      </c>
      <c r="E445" t="s">
        <v>71</v>
      </c>
      <c r="F445" t="s">
        <v>458</v>
      </c>
      <c r="G445" t="s">
        <v>459</v>
      </c>
      <c r="H445" t="s">
        <v>6</v>
      </c>
      <c r="I445" s="41">
        <v>178</v>
      </c>
      <c r="J445" s="40">
        <f>I445*(1-IFERROR(VLOOKUP(H445,Rabat!$D$10:$E$41,2,FALSE),0))</f>
        <v>178</v>
      </c>
      <c r="K445">
        <v>0.87</v>
      </c>
      <c r="L445" t="s">
        <v>1789</v>
      </c>
      <c r="M445" t="s">
        <v>2246</v>
      </c>
      <c r="N445" t="s">
        <v>2000</v>
      </c>
      <c r="O445" t="s">
        <v>1776</v>
      </c>
      <c r="P445">
        <v>10</v>
      </c>
      <c r="Q445">
        <v>120</v>
      </c>
      <c r="R445" t="s">
        <v>1820</v>
      </c>
      <c r="S445" s="42" t="str">
        <f>HYPERLINK("https://sklep.kobi.pl/produkt/led-nelio-28w-60x30-4000k")</f>
        <v>https://sklep.kobi.pl/produkt/led-nelio-28w-60x30-4000k</v>
      </c>
      <c r="T445" t="s">
        <v>71</v>
      </c>
      <c r="U445">
        <v>1.028</v>
      </c>
      <c r="V445">
        <v>1.2569999999999999</v>
      </c>
      <c r="W445">
        <v>230</v>
      </c>
      <c r="X445">
        <v>210</v>
      </c>
      <c r="Y445">
        <v>10</v>
      </c>
      <c r="Z445" t="s">
        <v>1778</v>
      </c>
      <c r="AA445"/>
    </row>
    <row r="446" spans="1:27" ht="15" x14ac:dyDescent="0.25">
      <c r="A446" t="s">
        <v>5</v>
      </c>
      <c r="B446" t="s">
        <v>343</v>
      </c>
      <c r="C446" t="s">
        <v>257</v>
      </c>
      <c r="D446" t="s">
        <v>69</v>
      </c>
      <c r="E446" t="s">
        <v>71</v>
      </c>
      <c r="F446" t="s">
        <v>344</v>
      </c>
      <c r="G446" t="s">
        <v>345</v>
      </c>
      <c r="H446" t="s">
        <v>6</v>
      </c>
      <c r="I446" s="41">
        <v>256.52999999999997</v>
      </c>
      <c r="J446" s="40">
        <f>I446*(1-IFERROR(VLOOKUP(H446,Rabat!$D$10:$E$41,2,FALSE),0))</f>
        <v>256.52999999999997</v>
      </c>
      <c r="K446">
        <v>1.54</v>
      </c>
      <c r="L446" t="s">
        <v>1789</v>
      </c>
      <c r="M446" t="s">
        <v>2247</v>
      </c>
      <c r="N446" t="s">
        <v>2000</v>
      </c>
      <c r="O446" t="s">
        <v>1776</v>
      </c>
      <c r="P446">
        <v>5</v>
      </c>
      <c r="Q446">
        <v>75</v>
      </c>
      <c r="R446" t="s">
        <v>1820</v>
      </c>
      <c r="S446" s="42" t="str">
        <f>HYPERLINK("https://sklep.kobi.pl/produkt/oprawa-led-nelio2-pt-40w-3200lm-4000k")</f>
        <v>https://sklep.kobi.pl/produkt/oprawa-led-nelio2-pt-40w-3200lm-4000k</v>
      </c>
      <c r="T446" t="s">
        <v>71</v>
      </c>
      <c r="U446">
        <v>1.8260000000000001</v>
      </c>
      <c r="V446">
        <v>2.2789999999999999</v>
      </c>
      <c r="W446">
        <v>600</v>
      </c>
      <c r="X446">
        <v>600</v>
      </c>
      <c r="Y446">
        <v>35</v>
      </c>
      <c r="Z446" t="s">
        <v>1778</v>
      </c>
      <c r="AA446"/>
    </row>
    <row r="447" spans="1:27" ht="15" x14ac:dyDescent="0.25">
      <c r="A447" t="s">
        <v>5</v>
      </c>
      <c r="B447" t="s">
        <v>343</v>
      </c>
      <c r="C447" t="s">
        <v>257</v>
      </c>
      <c r="D447" t="s">
        <v>424</v>
      </c>
      <c r="E447" t="s">
        <v>71</v>
      </c>
      <c r="F447" t="s">
        <v>596</v>
      </c>
      <c r="G447" t="s">
        <v>597</v>
      </c>
      <c r="H447" t="s">
        <v>6</v>
      </c>
      <c r="I447" s="41">
        <v>310</v>
      </c>
      <c r="J447" s="40">
        <f>I447*(1-IFERROR(VLOOKUP(H447,Rabat!$D$10:$E$41,2,FALSE),0))</f>
        <v>310</v>
      </c>
      <c r="K447">
        <v>2.06</v>
      </c>
      <c r="L447" t="s">
        <v>1789</v>
      </c>
      <c r="M447" t="s">
        <v>2248</v>
      </c>
      <c r="N447" t="s">
        <v>2000</v>
      </c>
      <c r="O447" t="s">
        <v>1776</v>
      </c>
      <c r="P447">
        <v>5</v>
      </c>
      <c r="Q447">
        <v>75</v>
      </c>
      <c r="R447" t="s">
        <v>1955</v>
      </c>
      <c r="S447" s="42" t="str">
        <f>HYPERLINK("https://sklep.kobi.pl/produkt/led-nelio-premium-40w-60x60-4400lm-4000k")</f>
        <v>https://sklep.kobi.pl/produkt/led-nelio-premium-40w-60x60-4400lm-4000k</v>
      </c>
      <c r="T447" s="42" t="str">
        <f>HYPERLINK("https://eprel.ec.europa.eu/qr/936751         ")</f>
        <v xml:space="preserve">https://eprel.ec.europa.eu/qr/936751         </v>
      </c>
      <c r="U447">
        <v>2.44</v>
      </c>
      <c r="V447">
        <v>2.6150000000000002</v>
      </c>
      <c r="W447">
        <v>600</v>
      </c>
      <c r="X447">
        <v>600</v>
      </c>
      <c r="Y447">
        <v>35</v>
      </c>
      <c r="Z447" t="s">
        <v>1778</v>
      </c>
      <c r="AA447"/>
    </row>
    <row r="448" spans="1:27" ht="15" x14ac:dyDescent="0.25">
      <c r="A448" t="s">
        <v>5</v>
      </c>
      <c r="B448" t="s">
        <v>343</v>
      </c>
      <c r="C448" t="s">
        <v>257</v>
      </c>
      <c r="D448" t="s">
        <v>69</v>
      </c>
      <c r="E448" t="s">
        <v>149</v>
      </c>
      <c r="F448" t="s">
        <v>546</v>
      </c>
      <c r="G448" t="s">
        <v>547</v>
      </c>
      <c r="H448" t="s">
        <v>6</v>
      </c>
      <c r="I448" s="41">
        <v>382</v>
      </c>
      <c r="J448" s="40">
        <f>I448*(1-IFERROR(VLOOKUP(H448,Rabat!$D$10:$E$41,2,FALSE),0))</f>
        <v>382</v>
      </c>
      <c r="K448">
        <v>2.1800000000000002</v>
      </c>
      <c r="L448" t="s">
        <v>1789</v>
      </c>
      <c r="M448" t="s">
        <v>2249</v>
      </c>
      <c r="N448" t="s">
        <v>2000</v>
      </c>
      <c r="O448" t="s">
        <v>1776</v>
      </c>
      <c r="P448">
        <v>5</v>
      </c>
      <c r="Q448">
        <v>75</v>
      </c>
      <c r="R448" t="s">
        <v>1955</v>
      </c>
      <c r="S448" s="42" t="str">
        <f>HYPERLINK("https://sklep.kobi.pl/produkt/led-nelio-48w-60x60-4000k")</f>
        <v>https://sklep.kobi.pl/produkt/led-nelio-48w-60x60-4000k</v>
      </c>
      <c r="T448" t="s">
        <v>71</v>
      </c>
      <c r="U448">
        <v>2.58</v>
      </c>
      <c r="V448">
        <v>2.6059999999999999</v>
      </c>
      <c r="W448">
        <v>230</v>
      </c>
      <c r="X448">
        <v>210</v>
      </c>
      <c r="Y448">
        <v>10</v>
      </c>
      <c r="Z448" t="s">
        <v>1778</v>
      </c>
      <c r="AA448"/>
    </row>
    <row r="449" spans="1:27" ht="15" x14ac:dyDescent="0.25">
      <c r="A449" t="s">
        <v>5</v>
      </c>
      <c r="B449" t="s">
        <v>343</v>
      </c>
      <c r="C449" t="s">
        <v>257</v>
      </c>
      <c r="D449" t="s">
        <v>69</v>
      </c>
      <c r="E449" t="s">
        <v>71</v>
      </c>
      <c r="F449" t="s">
        <v>412</v>
      </c>
      <c r="G449" t="s">
        <v>413</v>
      </c>
      <c r="H449" t="s">
        <v>6</v>
      </c>
      <c r="I449" s="41">
        <v>222</v>
      </c>
      <c r="J449" s="40">
        <f>I449*(1-IFERROR(VLOOKUP(H449,Rabat!$D$10:$E$41,2,FALSE),0))</f>
        <v>222</v>
      </c>
      <c r="K449">
        <v>1.77</v>
      </c>
      <c r="L449" t="s">
        <v>1789</v>
      </c>
      <c r="M449" t="s">
        <v>2250</v>
      </c>
      <c r="N449" t="s">
        <v>2000</v>
      </c>
      <c r="O449" t="s">
        <v>1776</v>
      </c>
      <c r="P449">
        <v>5</v>
      </c>
      <c r="Q449">
        <v>90</v>
      </c>
      <c r="R449" t="s">
        <v>1820</v>
      </c>
      <c r="S449" s="42" t="str">
        <f>HYPERLINK("https://sklep.kobi.pl/produkt/oprawa-led-nelio2-pt-40w-4000k-30x120")</f>
        <v>https://sklep.kobi.pl/produkt/oprawa-led-nelio2-pt-40w-4000k-30x120</v>
      </c>
      <c r="T449" t="s">
        <v>71</v>
      </c>
      <c r="U449">
        <v>2.1</v>
      </c>
      <c r="V449">
        <v>2.407</v>
      </c>
      <c r="W449">
        <v>30</v>
      </c>
      <c r="X449">
        <v>1280</v>
      </c>
      <c r="Y449">
        <v>341</v>
      </c>
      <c r="Z449" t="s">
        <v>1778</v>
      </c>
      <c r="AA449"/>
    </row>
    <row r="450" spans="1:27" ht="15" x14ac:dyDescent="0.25">
      <c r="A450" t="s">
        <v>5</v>
      </c>
      <c r="B450" t="s">
        <v>343</v>
      </c>
      <c r="C450" t="s">
        <v>257</v>
      </c>
      <c r="D450" t="s">
        <v>424</v>
      </c>
      <c r="E450" t="s">
        <v>71</v>
      </c>
      <c r="F450" t="s">
        <v>598</v>
      </c>
      <c r="G450" t="s">
        <v>599</v>
      </c>
      <c r="H450" t="s">
        <v>6</v>
      </c>
      <c r="I450" s="41">
        <v>340</v>
      </c>
      <c r="J450" s="40">
        <f>I450*(1-IFERROR(VLOOKUP(H450,Rabat!$D$10:$E$41,2,FALSE),0))</f>
        <v>340</v>
      </c>
      <c r="K450">
        <v>2.09</v>
      </c>
      <c r="L450" t="s">
        <v>1789</v>
      </c>
      <c r="M450" t="s">
        <v>2251</v>
      </c>
      <c r="N450" t="s">
        <v>2000</v>
      </c>
      <c r="O450" t="s">
        <v>1776</v>
      </c>
      <c r="P450">
        <v>5</v>
      </c>
      <c r="Q450">
        <v>90</v>
      </c>
      <c r="R450" t="s">
        <v>1955</v>
      </c>
      <c r="S450" s="42" t="str">
        <f>HYPERLINK("https://sklep.kobi.pl/produkt/led-nelio-premium-40w-120x30-4400lm-4000")</f>
        <v>https://sklep.kobi.pl/produkt/led-nelio-premium-40w-120x30-4400lm-4000</v>
      </c>
      <c r="T450" t="s">
        <v>71</v>
      </c>
      <c r="U450">
        <v>2.4700000000000002</v>
      </c>
      <c r="V450">
        <v>2.58</v>
      </c>
      <c r="W450">
        <v>600</v>
      </c>
      <c r="X450">
        <v>600</v>
      </c>
      <c r="Y450">
        <v>35</v>
      </c>
      <c r="Z450" t="s">
        <v>1778</v>
      </c>
      <c r="AA450"/>
    </row>
    <row r="451" spans="1:27" ht="15" x14ac:dyDescent="0.25">
      <c r="A451" t="s">
        <v>5</v>
      </c>
      <c r="B451" t="s">
        <v>289</v>
      </c>
      <c r="C451" t="s">
        <v>257</v>
      </c>
      <c r="D451" t="s">
        <v>741</v>
      </c>
      <c r="E451" t="s">
        <v>71</v>
      </c>
      <c r="F451" t="s">
        <v>1359</v>
      </c>
      <c r="G451" t="s">
        <v>1360</v>
      </c>
      <c r="H451" t="s">
        <v>6</v>
      </c>
      <c r="I451" s="41">
        <v>380</v>
      </c>
      <c r="J451" s="40">
        <f>I451*(1-IFERROR(VLOOKUP(H451,Rabat!$D$10:$E$41,2,FALSE),0))</f>
        <v>380</v>
      </c>
      <c r="K451">
        <v>1.55</v>
      </c>
      <c r="L451" t="s">
        <v>1789</v>
      </c>
      <c r="M451" t="s">
        <v>2252</v>
      </c>
      <c r="N451" t="s">
        <v>2033</v>
      </c>
      <c r="O451" t="s">
        <v>1776</v>
      </c>
      <c r="P451">
        <v>8</v>
      </c>
      <c r="Q451">
        <v>72</v>
      </c>
      <c r="R451" t="s">
        <v>1955</v>
      </c>
      <c r="S451" s="42" t="str">
        <f>HYPERLINK("https://sklep.kobi.pl/produkt/led-nexforce1-80w-4000k")</f>
        <v>https://sklep.kobi.pl/produkt/led-nexforce1-80w-4000k</v>
      </c>
      <c r="T451" t="s">
        <v>71</v>
      </c>
      <c r="U451">
        <v>1.84</v>
      </c>
      <c r="V451">
        <v>0</v>
      </c>
      <c r="W451">
        <v>0</v>
      </c>
      <c r="X451">
        <v>0</v>
      </c>
      <c r="Y451">
        <v>0</v>
      </c>
      <c r="Z451" t="s">
        <v>1778</v>
      </c>
      <c r="AA451"/>
    </row>
    <row r="452" spans="1:27" ht="15" x14ac:dyDescent="0.25">
      <c r="A452" t="s">
        <v>5</v>
      </c>
      <c r="B452" t="s">
        <v>343</v>
      </c>
      <c r="C452" t="s">
        <v>257</v>
      </c>
      <c r="D452" t="s">
        <v>69</v>
      </c>
      <c r="E452" t="s">
        <v>71</v>
      </c>
      <c r="F452" t="s">
        <v>1371</v>
      </c>
      <c r="G452" t="s">
        <v>1372</v>
      </c>
      <c r="H452" t="s">
        <v>6</v>
      </c>
      <c r="I452" s="41">
        <v>174.74</v>
      </c>
      <c r="J452" s="40">
        <f>I452*(1-IFERROR(VLOOKUP(H452,Rabat!$D$10:$E$41,2,FALSE),0))</f>
        <v>174.74</v>
      </c>
      <c r="K452">
        <v>1.26</v>
      </c>
      <c r="L452" t="s">
        <v>1789</v>
      </c>
      <c r="M452" t="s">
        <v>2253</v>
      </c>
      <c r="N452" t="s">
        <v>2000</v>
      </c>
      <c r="O452" t="s">
        <v>1776</v>
      </c>
      <c r="P452">
        <v>6</v>
      </c>
      <c r="Q452">
        <v>66</v>
      </c>
      <c r="R452" t="s">
        <v>1955</v>
      </c>
      <c r="S452" s="42" t="str">
        <f>HYPERLINK("https://sklep.kobi.pl/produkt/led-capri-pro-28w-60x60-ip44-4000k")</f>
        <v>https://sklep.kobi.pl/produkt/led-capri-pro-28w-60x60-ip44-4000k</v>
      </c>
      <c r="T452" t="s">
        <v>71</v>
      </c>
      <c r="U452">
        <v>1.486</v>
      </c>
      <c r="V452">
        <v>0</v>
      </c>
      <c r="W452">
        <v>600</v>
      </c>
      <c r="X452">
        <v>600</v>
      </c>
      <c r="Y452">
        <v>35</v>
      </c>
      <c r="Z452" t="s">
        <v>1778</v>
      </c>
      <c r="AA452"/>
    </row>
    <row r="453" spans="1:27" ht="15" x14ac:dyDescent="0.25">
      <c r="A453" t="s">
        <v>5</v>
      </c>
      <c r="B453" t="s">
        <v>343</v>
      </c>
      <c r="C453" t="s">
        <v>257</v>
      </c>
      <c r="D453" t="s">
        <v>69</v>
      </c>
      <c r="E453" t="s">
        <v>71</v>
      </c>
      <c r="F453" t="s">
        <v>1365</v>
      </c>
      <c r="G453" t="s">
        <v>1366</v>
      </c>
      <c r="H453" t="s">
        <v>6</v>
      </c>
      <c r="I453" s="41">
        <v>269.52999999999997</v>
      </c>
      <c r="J453" s="40">
        <f>I453*(1-IFERROR(VLOOKUP(H453,Rabat!$D$10:$E$41,2,FALSE),0))</f>
        <v>269.52999999999997</v>
      </c>
      <c r="K453">
        <v>1.34</v>
      </c>
      <c r="L453" t="s">
        <v>1789</v>
      </c>
      <c r="M453" t="s">
        <v>2254</v>
      </c>
      <c r="N453" t="s">
        <v>2000</v>
      </c>
      <c r="O453" t="s">
        <v>1776</v>
      </c>
      <c r="P453">
        <v>6</v>
      </c>
      <c r="Q453">
        <v>66</v>
      </c>
      <c r="R453" t="s">
        <v>1955</v>
      </c>
      <c r="S453" s="42" t="str">
        <f>HYPERLINK("https://sklep.kobi.pl/produkt/led-capri-pro-36w-30x120-4000k-ugr19")</f>
        <v>https://sklep.kobi.pl/produkt/led-capri-pro-36w-30x120-4000k-ugr19</v>
      </c>
      <c r="T453" t="s">
        <v>71</v>
      </c>
      <c r="U453">
        <v>1.58</v>
      </c>
      <c r="V453">
        <v>0</v>
      </c>
      <c r="W453">
        <v>600</v>
      </c>
      <c r="X453">
        <v>600</v>
      </c>
      <c r="Y453">
        <v>35</v>
      </c>
      <c r="Z453" t="s">
        <v>1778</v>
      </c>
      <c r="AA453"/>
    </row>
    <row r="454" spans="1:27" ht="15" x14ac:dyDescent="0.25">
      <c r="A454" t="s">
        <v>5</v>
      </c>
      <c r="B454" t="s">
        <v>343</v>
      </c>
      <c r="C454" t="s">
        <v>257</v>
      </c>
      <c r="D454" t="s">
        <v>69</v>
      </c>
      <c r="E454" t="s">
        <v>71</v>
      </c>
      <c r="F454" t="s">
        <v>1367</v>
      </c>
      <c r="G454" t="s">
        <v>1368</v>
      </c>
      <c r="H454" t="s">
        <v>6</v>
      </c>
      <c r="I454" s="41">
        <v>188.03</v>
      </c>
      <c r="J454" s="40">
        <f>I454*(1-IFERROR(VLOOKUP(H454,Rabat!$D$10:$E$41,2,FALSE),0))</f>
        <v>188.03</v>
      </c>
      <c r="K454">
        <v>1.26</v>
      </c>
      <c r="L454" t="s">
        <v>1789</v>
      </c>
      <c r="M454" t="s">
        <v>2255</v>
      </c>
      <c r="N454" t="s">
        <v>2000</v>
      </c>
      <c r="O454" t="s">
        <v>1776</v>
      </c>
      <c r="P454">
        <v>6</v>
      </c>
      <c r="Q454">
        <v>66</v>
      </c>
      <c r="R454" t="s">
        <v>1955</v>
      </c>
      <c r="S454" s="42" t="str">
        <f>HYPERLINK("https://sklep.kobi.pl/produkt/led-capri-pro-36w-60x60-4000k")</f>
        <v>https://sklep.kobi.pl/produkt/led-capri-pro-36w-60x60-4000k</v>
      </c>
      <c r="T454" t="s">
        <v>71</v>
      </c>
      <c r="U454">
        <v>1.486</v>
      </c>
      <c r="V454">
        <v>0</v>
      </c>
      <c r="W454">
        <v>600</v>
      </c>
      <c r="X454">
        <v>600</v>
      </c>
      <c r="Y454">
        <v>35</v>
      </c>
      <c r="Z454" t="s">
        <v>1778</v>
      </c>
      <c r="AA454"/>
    </row>
    <row r="455" spans="1:27" ht="15" x14ac:dyDescent="0.25">
      <c r="A455" t="s">
        <v>5</v>
      </c>
      <c r="B455" t="s">
        <v>343</v>
      </c>
      <c r="C455" t="s">
        <v>257</v>
      </c>
      <c r="D455" t="s">
        <v>69</v>
      </c>
      <c r="E455" t="s">
        <v>71</v>
      </c>
      <c r="F455" t="s">
        <v>1369</v>
      </c>
      <c r="G455" t="s">
        <v>1370</v>
      </c>
      <c r="H455" t="s">
        <v>6</v>
      </c>
      <c r="I455" s="41">
        <v>204.49</v>
      </c>
      <c r="J455" s="40">
        <f>I455*(1-IFERROR(VLOOKUP(H455,Rabat!$D$10:$E$41,2,FALSE),0))</f>
        <v>204.49</v>
      </c>
      <c r="K455">
        <v>1.34</v>
      </c>
      <c r="L455" t="s">
        <v>1789</v>
      </c>
      <c r="M455" t="s">
        <v>2256</v>
      </c>
      <c r="N455" t="s">
        <v>2000</v>
      </c>
      <c r="O455" t="s">
        <v>1776</v>
      </c>
      <c r="P455">
        <v>6</v>
      </c>
      <c r="Q455">
        <v>66</v>
      </c>
      <c r="R455" t="s">
        <v>1955</v>
      </c>
      <c r="S455" s="42" t="str">
        <f>HYPERLINK("https://sklep.kobi.pl/produkt/led-capri-pro-36w-60x60-4000k-ugr19")</f>
        <v>https://sklep.kobi.pl/produkt/led-capri-pro-36w-60x60-4000k-ugr19</v>
      </c>
      <c r="T455" t="s">
        <v>71</v>
      </c>
      <c r="U455">
        <v>1.58</v>
      </c>
      <c r="V455">
        <v>0</v>
      </c>
      <c r="W455">
        <v>600</v>
      </c>
      <c r="X455">
        <v>600</v>
      </c>
      <c r="Y455">
        <v>35</v>
      </c>
      <c r="Z455" t="s">
        <v>1778</v>
      </c>
      <c r="AA455"/>
    </row>
    <row r="456" spans="1:27" ht="15" x14ac:dyDescent="0.25">
      <c r="A456" t="s">
        <v>5</v>
      </c>
      <c r="B456" t="s">
        <v>343</v>
      </c>
      <c r="C456" t="s">
        <v>257</v>
      </c>
      <c r="D456" t="s">
        <v>69</v>
      </c>
      <c r="E456" t="s">
        <v>71</v>
      </c>
      <c r="F456" t="s">
        <v>1304</v>
      </c>
      <c r="G456" t="s">
        <v>1305</v>
      </c>
      <c r="H456" t="s">
        <v>6</v>
      </c>
      <c r="I456" s="41">
        <v>345</v>
      </c>
      <c r="J456" s="40">
        <f>I456*(1-IFERROR(VLOOKUP(H456,Rabat!$D$10:$E$41,2,FALSE),0))</f>
        <v>345</v>
      </c>
      <c r="K456">
        <v>1.26</v>
      </c>
      <c r="L456" t="s">
        <v>1789</v>
      </c>
      <c r="M456" t="s">
        <v>2257</v>
      </c>
      <c r="N456" t="s">
        <v>2000</v>
      </c>
      <c r="O456" t="s">
        <v>1776</v>
      </c>
      <c r="P456">
        <v>6</v>
      </c>
      <c r="Q456">
        <v>66</v>
      </c>
      <c r="R456" t="s">
        <v>1955</v>
      </c>
      <c r="S456" s="42" t="str">
        <f>HYPERLINK("https://sklep.kobi.pl/produkt/led-capri-pro-40w-60x60-ip65-4000k")</f>
        <v>https://sklep.kobi.pl/produkt/led-capri-pro-40w-60x60-ip65-4000k</v>
      </c>
      <c r="T456" t="s">
        <v>71</v>
      </c>
      <c r="U456">
        <v>1.486</v>
      </c>
      <c r="V456">
        <v>0</v>
      </c>
      <c r="W456">
        <v>600</v>
      </c>
      <c r="X456">
        <v>600</v>
      </c>
      <c r="Y456">
        <v>35</v>
      </c>
      <c r="Z456" t="s">
        <v>1778</v>
      </c>
      <c r="AA456"/>
    </row>
    <row r="457" spans="1:27" ht="15" x14ac:dyDescent="0.25">
      <c r="A457" t="s">
        <v>5</v>
      </c>
      <c r="B457" t="s">
        <v>343</v>
      </c>
      <c r="C457" t="s">
        <v>257</v>
      </c>
      <c r="D457" t="s">
        <v>69</v>
      </c>
      <c r="E457" t="s">
        <v>71</v>
      </c>
      <c r="F457" t="s">
        <v>1363</v>
      </c>
      <c r="G457" t="s">
        <v>1364</v>
      </c>
      <c r="H457" t="s">
        <v>6</v>
      </c>
      <c r="I457" s="41">
        <v>225.63</v>
      </c>
      <c r="J457" s="40">
        <f>I457*(1-IFERROR(VLOOKUP(H457,Rabat!$D$10:$E$41,2,FALSE),0))</f>
        <v>225.63</v>
      </c>
      <c r="K457">
        <v>1.26</v>
      </c>
      <c r="L457" t="s">
        <v>1789</v>
      </c>
      <c r="M457" t="s">
        <v>2258</v>
      </c>
      <c r="N457" t="s">
        <v>2000</v>
      </c>
      <c r="O457" t="s">
        <v>1776</v>
      </c>
      <c r="P457">
        <v>6</v>
      </c>
      <c r="Q457">
        <v>66</v>
      </c>
      <c r="R457" t="s">
        <v>1955</v>
      </c>
      <c r="S457" s="42" t="str">
        <f>HYPERLINK("https://sklep.kobi.pl/produkt/led-capri-professional-50w-60x60-4000k")</f>
        <v>https://sklep.kobi.pl/produkt/led-capri-professional-50w-60x60-4000k</v>
      </c>
      <c r="T457" t="s">
        <v>71</v>
      </c>
      <c r="U457">
        <v>1.486</v>
      </c>
      <c r="V457">
        <v>0</v>
      </c>
      <c r="W457">
        <v>600</v>
      </c>
      <c r="X457">
        <v>600</v>
      </c>
      <c r="Y457">
        <v>35</v>
      </c>
      <c r="Z457" t="s">
        <v>1778</v>
      </c>
      <c r="AA457"/>
    </row>
    <row r="458" spans="1:27" ht="15" x14ac:dyDescent="0.25">
      <c r="A458" t="s">
        <v>5</v>
      </c>
      <c r="B458" t="s">
        <v>343</v>
      </c>
      <c r="C458" t="s">
        <v>257</v>
      </c>
      <c r="D458" t="s">
        <v>424</v>
      </c>
      <c r="E458" t="s">
        <v>1289</v>
      </c>
      <c r="F458" t="s">
        <v>1482</v>
      </c>
      <c r="G458" t="s">
        <v>1483</v>
      </c>
      <c r="H458" t="s">
        <v>6</v>
      </c>
      <c r="I458" s="41">
        <v>181.04</v>
      </c>
      <c r="J458" s="40">
        <f>I458*(1-IFERROR(VLOOKUP(H458,Rabat!$D$10:$E$41,2,FALSE),0))</f>
        <v>181.04</v>
      </c>
      <c r="K458">
        <v>1.2</v>
      </c>
      <c r="L458" t="s">
        <v>1789</v>
      </c>
      <c r="M458" t="s">
        <v>2259</v>
      </c>
      <c r="N458" t="s">
        <v>2000</v>
      </c>
      <c r="O458" t="s">
        <v>1776</v>
      </c>
      <c r="P458">
        <v>6</v>
      </c>
      <c r="Q458">
        <v>72</v>
      </c>
      <c r="R458" t="s">
        <v>1820</v>
      </c>
      <c r="S458" s="42" t="str">
        <f>HYPERLINK("https://sklep.kobi.pl/produkt/led-brisbane-36w-30x120-4000k-black-prem")</f>
        <v>https://sklep.kobi.pl/produkt/led-brisbane-36w-30x120-4000k-black-prem</v>
      </c>
      <c r="T458" t="s">
        <v>71</v>
      </c>
      <c r="U458">
        <v>1.42</v>
      </c>
      <c r="V458">
        <v>0</v>
      </c>
      <c r="W458">
        <v>0</v>
      </c>
      <c r="X458">
        <v>0</v>
      </c>
      <c r="Y458">
        <v>0</v>
      </c>
      <c r="Z458" t="s">
        <v>1778</v>
      </c>
      <c r="AA458"/>
    </row>
    <row r="459" spans="1:27" ht="15" x14ac:dyDescent="0.25">
      <c r="A459" t="s">
        <v>5</v>
      </c>
      <c r="B459" t="s">
        <v>343</v>
      </c>
      <c r="C459" t="s">
        <v>257</v>
      </c>
      <c r="D459" t="s">
        <v>424</v>
      </c>
      <c r="E459" t="s">
        <v>1289</v>
      </c>
      <c r="F459" t="s">
        <v>1484</v>
      </c>
      <c r="G459" t="s">
        <v>1485</v>
      </c>
      <c r="H459" t="s">
        <v>6</v>
      </c>
      <c r="I459" s="41">
        <v>181.04</v>
      </c>
      <c r="J459" s="40">
        <f>I459*(1-IFERROR(VLOOKUP(H459,Rabat!$D$10:$E$41,2,FALSE),0))</f>
        <v>181.04</v>
      </c>
      <c r="K459">
        <v>1.2</v>
      </c>
      <c r="L459" t="s">
        <v>1789</v>
      </c>
      <c r="M459" t="s">
        <v>2260</v>
      </c>
      <c r="N459" t="s">
        <v>2000</v>
      </c>
      <c r="O459" t="s">
        <v>1776</v>
      </c>
      <c r="P459">
        <v>6</v>
      </c>
      <c r="Q459">
        <v>72</v>
      </c>
      <c r="R459" t="s">
        <v>1820</v>
      </c>
      <c r="S459" s="42" t="str">
        <f>HYPERLINK("https://sklep.kobi.pl/produkt/led-brisbane-36w-30x120-4000k-white-prem")</f>
        <v>https://sklep.kobi.pl/produkt/led-brisbane-36w-30x120-4000k-white-prem</v>
      </c>
      <c r="T459" t="s">
        <v>71</v>
      </c>
      <c r="U459">
        <v>1.42</v>
      </c>
      <c r="V459">
        <v>0</v>
      </c>
      <c r="W459">
        <v>0</v>
      </c>
      <c r="X459">
        <v>0</v>
      </c>
      <c r="Y459">
        <v>0</v>
      </c>
      <c r="Z459" t="s">
        <v>1778</v>
      </c>
      <c r="AA459"/>
    </row>
    <row r="460" spans="1:27" ht="15" x14ac:dyDescent="0.25">
      <c r="A460" t="s">
        <v>5</v>
      </c>
      <c r="B460" t="s">
        <v>343</v>
      </c>
      <c r="C460" t="s">
        <v>257</v>
      </c>
      <c r="D460" t="s">
        <v>424</v>
      </c>
      <c r="E460" t="s">
        <v>1289</v>
      </c>
      <c r="F460" t="s">
        <v>1480</v>
      </c>
      <c r="G460" t="s">
        <v>1481</v>
      </c>
      <c r="H460" t="s">
        <v>6</v>
      </c>
      <c r="I460" s="41">
        <v>155.24</v>
      </c>
      <c r="J460" s="40">
        <f>I460*(1-IFERROR(VLOOKUP(H460,Rabat!$D$10:$E$41,2,FALSE),0))</f>
        <v>155.24</v>
      </c>
      <c r="K460">
        <v>1.1399999999999999</v>
      </c>
      <c r="L460" t="s">
        <v>1789</v>
      </c>
      <c r="M460" t="s">
        <v>2261</v>
      </c>
      <c r="N460" t="s">
        <v>2000</v>
      </c>
      <c r="O460" t="s">
        <v>1776</v>
      </c>
      <c r="P460">
        <v>6</v>
      </c>
      <c r="Q460">
        <v>72</v>
      </c>
      <c r="R460" t="s">
        <v>1820</v>
      </c>
      <c r="S460" s="42" t="str">
        <f>HYPERLINK("https://sklep.kobi.pl/produkt/led-brisbane-36w-60x60-4000k-black-premi")</f>
        <v>https://sklep.kobi.pl/produkt/led-brisbane-36w-60x60-4000k-black-premi</v>
      </c>
      <c r="T460" t="s">
        <v>71</v>
      </c>
      <c r="U460">
        <v>1.35</v>
      </c>
      <c r="V460">
        <v>0</v>
      </c>
      <c r="W460">
        <v>0</v>
      </c>
      <c r="X460">
        <v>0</v>
      </c>
      <c r="Y460">
        <v>0</v>
      </c>
      <c r="Z460" t="s">
        <v>1778</v>
      </c>
      <c r="AA460"/>
    </row>
    <row r="461" spans="1:27" ht="15" x14ac:dyDescent="0.25">
      <c r="A461" t="s">
        <v>5</v>
      </c>
      <c r="B461" t="s">
        <v>343</v>
      </c>
      <c r="C461" t="s">
        <v>257</v>
      </c>
      <c r="D461" t="s">
        <v>424</v>
      </c>
      <c r="E461" t="s">
        <v>1289</v>
      </c>
      <c r="F461" t="s">
        <v>1478</v>
      </c>
      <c r="G461" t="s">
        <v>1479</v>
      </c>
      <c r="H461" t="s">
        <v>6</v>
      </c>
      <c r="I461" s="41">
        <v>155.24</v>
      </c>
      <c r="J461" s="40">
        <f>I461*(1-IFERROR(VLOOKUP(H461,Rabat!$D$10:$E$41,2,FALSE),0))</f>
        <v>155.24</v>
      </c>
      <c r="K461">
        <v>1.1399999999999999</v>
      </c>
      <c r="L461" t="s">
        <v>1789</v>
      </c>
      <c r="M461" t="s">
        <v>2262</v>
      </c>
      <c r="N461" t="s">
        <v>2000</v>
      </c>
      <c r="O461" t="s">
        <v>1776</v>
      </c>
      <c r="P461">
        <v>6</v>
      </c>
      <c r="Q461">
        <v>72</v>
      </c>
      <c r="R461" t="s">
        <v>1820</v>
      </c>
      <c r="S461" s="42" t="str">
        <f>HYPERLINK("https://sklep.kobi.pl/produkt/led-brisbane-36w-60x60-4000k-white-premi")</f>
        <v>https://sklep.kobi.pl/produkt/led-brisbane-36w-60x60-4000k-white-premi</v>
      </c>
      <c r="T461" t="s">
        <v>71</v>
      </c>
      <c r="U461">
        <v>1.35</v>
      </c>
      <c r="V461">
        <v>0</v>
      </c>
      <c r="W461">
        <v>0</v>
      </c>
      <c r="X461">
        <v>0</v>
      </c>
      <c r="Y461">
        <v>0</v>
      </c>
      <c r="Z461" t="s">
        <v>1778</v>
      </c>
      <c r="AA461"/>
    </row>
    <row r="462" spans="1:27" ht="15" x14ac:dyDescent="0.25">
      <c r="A462" t="s">
        <v>5</v>
      </c>
      <c r="B462" t="s">
        <v>777</v>
      </c>
      <c r="C462" t="s">
        <v>257</v>
      </c>
      <c r="D462" t="s">
        <v>69</v>
      </c>
      <c r="E462" t="s">
        <v>149</v>
      </c>
      <c r="F462" t="s">
        <v>778</v>
      </c>
      <c r="G462" t="s">
        <v>779</v>
      </c>
      <c r="H462" t="s">
        <v>6</v>
      </c>
      <c r="I462" s="41">
        <v>269.52999999999997</v>
      </c>
      <c r="J462" s="40">
        <f>I462*(1-IFERROR(VLOOKUP(H462,Rabat!$D$10:$E$41,2,FALSE),0))</f>
        <v>269.52999999999997</v>
      </c>
      <c r="K462">
        <v>1.34</v>
      </c>
      <c r="L462" t="s">
        <v>1789</v>
      </c>
      <c r="M462" t="s">
        <v>2263</v>
      </c>
      <c r="N462" t="s">
        <v>2000</v>
      </c>
      <c r="O462" t="s">
        <v>1776</v>
      </c>
      <c r="P462">
        <v>6</v>
      </c>
      <c r="Q462">
        <v>72</v>
      </c>
      <c r="R462" t="s">
        <v>1955</v>
      </c>
      <c r="S462" s="42" t="str">
        <f>HYPERLINK("https://sklep.kobi.pl/produkt/led-capri-premium-40w120x30-4000k-ugr19")</f>
        <v>https://sklep.kobi.pl/produkt/led-capri-premium-40w120x30-4000k-ugr19</v>
      </c>
      <c r="T462" t="s">
        <v>71</v>
      </c>
      <c r="U462">
        <v>1.58</v>
      </c>
      <c r="V462">
        <v>1.7</v>
      </c>
      <c r="W462">
        <v>1200</v>
      </c>
      <c r="X462">
        <v>300</v>
      </c>
      <c r="Y462">
        <v>35</v>
      </c>
      <c r="Z462" t="s">
        <v>1778</v>
      </c>
      <c r="AA462"/>
    </row>
    <row r="463" spans="1:27" ht="15" x14ac:dyDescent="0.25">
      <c r="A463" t="s">
        <v>5</v>
      </c>
      <c r="B463" t="s">
        <v>220</v>
      </c>
      <c r="C463" t="s">
        <v>257</v>
      </c>
      <c r="D463" t="s">
        <v>424</v>
      </c>
      <c r="E463" t="s">
        <v>71</v>
      </c>
      <c r="F463" t="s">
        <v>874</v>
      </c>
      <c r="G463" t="s">
        <v>875</v>
      </c>
      <c r="H463" t="s">
        <v>6</v>
      </c>
      <c r="I463" s="41">
        <v>62.94</v>
      </c>
      <c r="J463" s="40">
        <f>I463*(1-IFERROR(VLOOKUP(H463,Rabat!$D$10:$E$41,2,FALSE),0))</f>
        <v>62.94</v>
      </c>
      <c r="K463">
        <v>0.22</v>
      </c>
      <c r="L463" t="s">
        <v>1773</v>
      </c>
      <c r="M463" t="s">
        <v>2264</v>
      </c>
      <c r="N463" t="s">
        <v>2023</v>
      </c>
      <c r="O463" t="s">
        <v>1776</v>
      </c>
      <c r="P463">
        <v>20</v>
      </c>
      <c r="Q463">
        <v>520</v>
      </c>
      <c r="R463" t="s">
        <v>1820</v>
      </c>
      <c r="S463" s="42" t="str">
        <f>HYPERLINK("https://sklep.kobi.pl/produkt/led-sigaro-circle-18w-4000k-premium")</f>
        <v>https://sklep.kobi.pl/produkt/led-sigaro-circle-18w-4000k-premium</v>
      </c>
      <c r="T463" s="42" t="str">
        <f>HYPERLINK("https://eprel.ec.europa.eu/qr/850585         ")</f>
        <v xml:space="preserve">https://eprel.ec.europa.eu/qr/850585         </v>
      </c>
      <c r="U463">
        <v>0.26500000000000001</v>
      </c>
      <c r="V463">
        <v>0.93300000000000005</v>
      </c>
      <c r="W463">
        <v>230</v>
      </c>
      <c r="X463">
        <v>230</v>
      </c>
      <c r="Y463">
        <v>35</v>
      </c>
      <c r="Z463" t="s">
        <v>1778</v>
      </c>
      <c r="AA463"/>
    </row>
    <row r="464" spans="1:27" ht="15" x14ac:dyDescent="0.25">
      <c r="A464" t="s">
        <v>5</v>
      </c>
      <c r="B464" t="s">
        <v>220</v>
      </c>
      <c r="C464" t="s">
        <v>257</v>
      </c>
      <c r="D464" t="s">
        <v>424</v>
      </c>
      <c r="E464" t="s">
        <v>71</v>
      </c>
      <c r="F464" t="s">
        <v>876</v>
      </c>
      <c r="G464" t="s">
        <v>877</v>
      </c>
      <c r="H464" t="s">
        <v>6</v>
      </c>
      <c r="I464" s="41">
        <v>76.25</v>
      </c>
      <c r="J464" s="40">
        <f>I464*(1-IFERROR(VLOOKUP(H464,Rabat!$D$10:$E$41,2,FALSE),0))</f>
        <v>76.25</v>
      </c>
      <c r="K464">
        <v>0.25</v>
      </c>
      <c r="L464" t="s">
        <v>1773</v>
      </c>
      <c r="M464" t="s">
        <v>2265</v>
      </c>
      <c r="N464" t="s">
        <v>2023</v>
      </c>
      <c r="O464" t="s">
        <v>1776</v>
      </c>
      <c r="P464">
        <v>20</v>
      </c>
      <c r="Q464">
        <v>520</v>
      </c>
      <c r="R464" t="s">
        <v>1820</v>
      </c>
      <c r="S464" s="42" t="str">
        <f>HYPERLINK("https://sklep.kobi.pl/produkt/led-sigaro-circle-24w-4000k-premium")</f>
        <v>https://sklep.kobi.pl/produkt/led-sigaro-circle-24w-4000k-premium</v>
      </c>
      <c r="T464" s="42" t="str">
        <f>HYPERLINK("https://eprel.ec.europa.eu/qr/850598         ")</f>
        <v xml:space="preserve">https://eprel.ec.europa.eu/qr/850598         </v>
      </c>
      <c r="U464">
        <v>0.3</v>
      </c>
      <c r="V464">
        <v>0.374</v>
      </c>
      <c r="W464">
        <v>230</v>
      </c>
      <c r="X464">
        <v>230</v>
      </c>
      <c r="Y464">
        <v>35</v>
      </c>
      <c r="Z464" t="s">
        <v>1778</v>
      </c>
      <c r="AA464"/>
    </row>
    <row r="465" spans="1:27" ht="15" x14ac:dyDescent="0.25">
      <c r="A465" t="s">
        <v>5</v>
      </c>
      <c r="B465" t="s">
        <v>220</v>
      </c>
      <c r="C465" t="s">
        <v>257</v>
      </c>
      <c r="D465" t="s">
        <v>424</v>
      </c>
      <c r="E465" t="s">
        <v>71</v>
      </c>
      <c r="F465" t="s">
        <v>878</v>
      </c>
      <c r="G465" t="s">
        <v>879</v>
      </c>
      <c r="H465" t="s">
        <v>6</v>
      </c>
      <c r="I465" s="41">
        <v>67.75</v>
      </c>
      <c r="J465" s="40">
        <f>I465*(1-IFERROR(VLOOKUP(H465,Rabat!$D$10:$E$41,2,FALSE),0))</f>
        <v>67.75</v>
      </c>
      <c r="K465">
        <v>0.24</v>
      </c>
      <c r="L465" t="s">
        <v>1773</v>
      </c>
      <c r="M465" t="s">
        <v>2266</v>
      </c>
      <c r="N465" t="s">
        <v>2023</v>
      </c>
      <c r="O465" t="s">
        <v>1776</v>
      </c>
      <c r="P465">
        <v>20</v>
      </c>
      <c r="Q465">
        <v>520</v>
      </c>
      <c r="R465" t="s">
        <v>1820</v>
      </c>
      <c r="S465" s="42" t="str">
        <f>HYPERLINK("https://sklep.kobi.pl/produkt/led-sigaro-square-18w-4000k-premium")</f>
        <v>https://sklep.kobi.pl/produkt/led-sigaro-square-18w-4000k-premium</v>
      </c>
      <c r="T465" s="42" t="str">
        <f>HYPERLINK("https://eprel.ec.europa.eu/qr/850607         ")</f>
        <v xml:space="preserve">https://eprel.ec.europa.eu/qr/850607         </v>
      </c>
      <c r="U465">
        <v>0.28699999999999998</v>
      </c>
      <c r="V465">
        <v>0.37</v>
      </c>
      <c r="W465">
        <v>230</v>
      </c>
      <c r="X465">
        <v>230</v>
      </c>
      <c r="Y465">
        <v>35</v>
      </c>
      <c r="Z465" t="s">
        <v>1778</v>
      </c>
      <c r="AA465"/>
    </row>
    <row r="466" spans="1:27" ht="15" x14ac:dyDescent="0.25">
      <c r="A466" t="s">
        <v>5</v>
      </c>
      <c r="B466" t="s">
        <v>220</v>
      </c>
      <c r="C466" t="s">
        <v>257</v>
      </c>
      <c r="D466" t="s">
        <v>424</v>
      </c>
      <c r="E466" t="s">
        <v>71</v>
      </c>
      <c r="F466" t="s">
        <v>880</v>
      </c>
      <c r="G466" t="s">
        <v>881</v>
      </c>
      <c r="H466" t="s">
        <v>6</v>
      </c>
      <c r="I466" s="41">
        <v>83.11</v>
      </c>
      <c r="J466" s="40">
        <f>I466*(1-IFERROR(VLOOKUP(H466,Rabat!$D$10:$E$41,2,FALSE),0))</f>
        <v>83.11</v>
      </c>
      <c r="K466">
        <v>0.27</v>
      </c>
      <c r="L466" t="s">
        <v>1773</v>
      </c>
      <c r="M466" t="s">
        <v>2267</v>
      </c>
      <c r="N466" t="s">
        <v>2023</v>
      </c>
      <c r="O466" t="s">
        <v>1776</v>
      </c>
      <c r="P466">
        <v>20</v>
      </c>
      <c r="Q466">
        <v>520</v>
      </c>
      <c r="R466" t="s">
        <v>1820</v>
      </c>
      <c r="S466" s="42" t="str">
        <f>HYPERLINK("https://sklep.kobi.pl/produkt/led-sigaro-square-24w-4000k-premium")</f>
        <v>https://sklep.kobi.pl/produkt/led-sigaro-square-24w-4000k-premium</v>
      </c>
      <c r="T466" s="42" t="str">
        <f>HYPERLINK("https://eprel.ec.europa.eu/qr/850609         ")</f>
        <v xml:space="preserve">https://eprel.ec.europa.eu/qr/850609         </v>
      </c>
      <c r="U466">
        <v>0.32400000000000001</v>
      </c>
      <c r="V466">
        <v>0.40200000000000002</v>
      </c>
      <c r="W466">
        <v>230</v>
      </c>
      <c r="X466">
        <v>230</v>
      </c>
      <c r="Y466">
        <v>30</v>
      </c>
      <c r="Z466" t="s">
        <v>1778</v>
      </c>
      <c r="AA466"/>
    </row>
    <row r="467" spans="1:27" ht="15" x14ac:dyDescent="0.25">
      <c r="A467" t="s">
        <v>5</v>
      </c>
      <c r="B467" t="s">
        <v>220</v>
      </c>
      <c r="C467" t="s">
        <v>257</v>
      </c>
      <c r="D467" t="s">
        <v>424</v>
      </c>
      <c r="E467" t="s">
        <v>149</v>
      </c>
      <c r="F467" t="s">
        <v>949</v>
      </c>
      <c r="G467" t="s">
        <v>950</v>
      </c>
      <c r="H467" t="s">
        <v>6</v>
      </c>
      <c r="I467" s="41">
        <v>135</v>
      </c>
      <c r="J467" s="40">
        <f>I467*(1-IFERROR(VLOOKUP(H467,Rabat!$D$10:$E$41,2,FALSE),0))</f>
        <v>135</v>
      </c>
      <c r="K467">
        <v>0.38</v>
      </c>
      <c r="L467" t="s">
        <v>1789</v>
      </c>
      <c r="M467" t="s">
        <v>2268</v>
      </c>
      <c r="N467" t="s">
        <v>2033</v>
      </c>
      <c r="O467" t="s">
        <v>1776</v>
      </c>
      <c r="P467">
        <v>5</v>
      </c>
      <c r="Q467">
        <v>125</v>
      </c>
      <c r="R467" t="s">
        <v>1820</v>
      </c>
      <c r="S467" s="42" t="str">
        <f>HYPERLINK("https://sklep.kobi.pl/produkt/led-zoe-12w-4000k-black")</f>
        <v>https://sklep.kobi.pl/produkt/led-zoe-12w-4000k-black</v>
      </c>
      <c r="T467" t="s">
        <v>71</v>
      </c>
      <c r="U467">
        <v>0.44700000000000001</v>
      </c>
      <c r="V467">
        <v>0.69499999999999995</v>
      </c>
      <c r="W467">
        <v>310</v>
      </c>
      <c r="X467">
        <v>310</v>
      </c>
      <c r="Y467">
        <v>90</v>
      </c>
      <c r="Z467" t="s">
        <v>1778</v>
      </c>
      <c r="AA467"/>
    </row>
    <row r="468" spans="1:27" ht="15" x14ac:dyDescent="0.25">
      <c r="A468" t="s">
        <v>5</v>
      </c>
      <c r="B468" t="s">
        <v>220</v>
      </c>
      <c r="C468" t="s">
        <v>257</v>
      </c>
      <c r="D468" t="s">
        <v>424</v>
      </c>
      <c r="E468" t="s">
        <v>149</v>
      </c>
      <c r="F468" t="s">
        <v>970</v>
      </c>
      <c r="G468" t="s">
        <v>971</v>
      </c>
      <c r="H468" t="s">
        <v>6</v>
      </c>
      <c r="I468" s="41">
        <v>135</v>
      </c>
      <c r="J468" s="40">
        <f>I468*(1-IFERROR(VLOOKUP(H468,Rabat!$D$10:$E$41,2,FALSE),0))</f>
        <v>135</v>
      </c>
      <c r="K468">
        <v>0.38</v>
      </c>
      <c r="L468" t="s">
        <v>1789</v>
      </c>
      <c r="M468" t="s">
        <v>2269</v>
      </c>
      <c r="N468" t="s">
        <v>2033</v>
      </c>
      <c r="O468" t="s">
        <v>1776</v>
      </c>
      <c r="P468">
        <v>5</v>
      </c>
      <c r="Q468">
        <v>125</v>
      </c>
      <c r="R468" t="s">
        <v>1820</v>
      </c>
      <c r="S468" s="42" t="str">
        <f>HYPERLINK("https://sklep.kobi.pl/produkt/led-zoe-12w-4000k-white")</f>
        <v>https://sklep.kobi.pl/produkt/led-zoe-12w-4000k-white</v>
      </c>
      <c r="T468" t="s">
        <v>71</v>
      </c>
      <c r="U468">
        <v>0.44700000000000001</v>
      </c>
      <c r="V468">
        <v>0.69499999999999995</v>
      </c>
      <c r="W468">
        <v>310</v>
      </c>
      <c r="X468">
        <v>310</v>
      </c>
      <c r="Y468">
        <v>90</v>
      </c>
      <c r="Z468" t="s">
        <v>1778</v>
      </c>
      <c r="AA468"/>
    </row>
    <row r="469" spans="1:27" ht="15" x14ac:dyDescent="0.25">
      <c r="A469" t="s">
        <v>5</v>
      </c>
      <c r="B469" t="s">
        <v>220</v>
      </c>
      <c r="C469" t="s">
        <v>257</v>
      </c>
      <c r="D469" t="s">
        <v>424</v>
      </c>
      <c r="E469" t="s">
        <v>149</v>
      </c>
      <c r="F469" t="s">
        <v>964</v>
      </c>
      <c r="G469" t="s">
        <v>965</v>
      </c>
      <c r="H469" t="s">
        <v>6</v>
      </c>
      <c r="I469" s="41">
        <v>181</v>
      </c>
      <c r="J469" s="40">
        <f>I469*(1-IFERROR(VLOOKUP(H469,Rabat!$D$10:$E$41,2,FALSE),0))</f>
        <v>181</v>
      </c>
      <c r="K469">
        <v>0.52</v>
      </c>
      <c r="L469" t="s">
        <v>1789</v>
      </c>
      <c r="M469" t="s">
        <v>2270</v>
      </c>
      <c r="N469" t="s">
        <v>2033</v>
      </c>
      <c r="O469" t="s">
        <v>1776</v>
      </c>
      <c r="P469">
        <v>5</v>
      </c>
      <c r="Q469">
        <v>80</v>
      </c>
      <c r="R469" t="s">
        <v>1820</v>
      </c>
      <c r="S469" s="42" t="str">
        <f>HYPERLINK("https://sklep.kobi.pl/produkt/led-zoe-24w-4000k-white")</f>
        <v>https://sklep.kobi.pl/produkt/led-zoe-24w-4000k-white</v>
      </c>
      <c r="T469" t="s">
        <v>71</v>
      </c>
      <c r="U469">
        <v>0.621</v>
      </c>
      <c r="V469">
        <v>0.94499999999999995</v>
      </c>
      <c r="W469">
        <v>360</v>
      </c>
      <c r="X469">
        <v>360</v>
      </c>
      <c r="Y469">
        <v>90</v>
      </c>
      <c r="Z469" t="s">
        <v>1778</v>
      </c>
      <c r="AA469"/>
    </row>
    <row r="470" spans="1:27" ht="15" x14ac:dyDescent="0.25">
      <c r="A470" t="s">
        <v>5</v>
      </c>
      <c r="B470" t="s">
        <v>220</v>
      </c>
      <c r="C470" t="s">
        <v>257</v>
      </c>
      <c r="D470" t="s">
        <v>424</v>
      </c>
      <c r="E470" t="s">
        <v>1289</v>
      </c>
      <c r="F470" t="s">
        <v>1440</v>
      </c>
      <c r="G470" t="s">
        <v>1441</v>
      </c>
      <c r="H470" t="s">
        <v>6</v>
      </c>
      <c r="I470" s="41">
        <v>70</v>
      </c>
      <c r="J470" s="40">
        <f>I470*(1-IFERROR(VLOOKUP(H470,Rabat!$D$10:$E$41,2,FALSE),0))</f>
        <v>70</v>
      </c>
      <c r="K470">
        <v>0.34</v>
      </c>
      <c r="L470" t="s">
        <v>1773</v>
      </c>
      <c r="M470" t="s">
        <v>2271</v>
      </c>
      <c r="N470" t="s">
        <v>2033</v>
      </c>
      <c r="O470" t="s">
        <v>1776</v>
      </c>
      <c r="P470">
        <v>20</v>
      </c>
      <c r="Q470">
        <v>0</v>
      </c>
      <c r="R470" t="s">
        <v>1820</v>
      </c>
      <c r="S470" s="42" t="str">
        <f>HYPERLINK("https://sklep.kobi.pl/produkt/led-nairos-12w-cct-bialy-premium")</f>
        <v>https://sklep.kobi.pl/produkt/led-nairos-12w-cct-bialy-premium</v>
      </c>
      <c r="T470" s="42" t="str">
        <f>HYPERLINK("https://eprel.ec.europa.eu/qr/1787573        ")</f>
        <v xml:space="preserve">https://eprel.ec.europa.eu/qr/1787573        </v>
      </c>
      <c r="U470">
        <v>0.4</v>
      </c>
      <c r="V470">
        <v>0</v>
      </c>
      <c r="W470">
        <v>0</v>
      </c>
      <c r="X470">
        <v>0</v>
      </c>
      <c r="Y470">
        <v>0</v>
      </c>
      <c r="Z470" t="s">
        <v>1778</v>
      </c>
      <c r="AA470"/>
    </row>
    <row r="471" spans="1:27" ht="15" x14ac:dyDescent="0.25">
      <c r="A471" t="s">
        <v>5</v>
      </c>
      <c r="B471" t="s">
        <v>220</v>
      </c>
      <c r="C471" t="s">
        <v>257</v>
      </c>
      <c r="D471" t="s">
        <v>424</v>
      </c>
      <c r="E471" t="s">
        <v>1289</v>
      </c>
      <c r="F471" t="s">
        <v>1442</v>
      </c>
      <c r="G471" t="s">
        <v>1443</v>
      </c>
      <c r="H471" t="s">
        <v>6</v>
      </c>
      <c r="I471" s="41">
        <v>70</v>
      </c>
      <c r="J471" s="40">
        <f>I471*(1-IFERROR(VLOOKUP(H471,Rabat!$D$10:$E$41,2,FALSE),0))</f>
        <v>70</v>
      </c>
      <c r="K471">
        <v>0.34</v>
      </c>
      <c r="L471" t="s">
        <v>1773</v>
      </c>
      <c r="M471" t="s">
        <v>2272</v>
      </c>
      <c r="N471" t="s">
        <v>2033</v>
      </c>
      <c r="O471" t="s">
        <v>1776</v>
      </c>
      <c r="P471">
        <v>20</v>
      </c>
      <c r="Q471">
        <v>0</v>
      </c>
      <c r="R471" t="s">
        <v>1820</v>
      </c>
      <c r="S471" s="42" t="str">
        <f>HYPERLINK("https://sklep.kobi.pl/produkt/led-nairos-12w-cct-czarny-premium")</f>
        <v>https://sklep.kobi.pl/produkt/led-nairos-12w-cct-czarny-premium</v>
      </c>
      <c r="T471" s="42" t="str">
        <f>HYPERLINK("https://eprel.ec.europa.eu/qr/1787673        ")</f>
        <v xml:space="preserve">https://eprel.ec.europa.eu/qr/1787673        </v>
      </c>
      <c r="U471">
        <v>0.4</v>
      </c>
      <c r="V471">
        <v>0</v>
      </c>
      <c r="W471">
        <v>0</v>
      </c>
      <c r="X471">
        <v>0</v>
      </c>
      <c r="Y471">
        <v>0</v>
      </c>
      <c r="Z471" t="s">
        <v>1778</v>
      </c>
      <c r="AA471"/>
    </row>
    <row r="472" spans="1:27" ht="15" x14ac:dyDescent="0.25">
      <c r="A472" t="s">
        <v>5</v>
      </c>
      <c r="B472" t="s">
        <v>220</v>
      </c>
      <c r="C472" t="s">
        <v>257</v>
      </c>
      <c r="D472" t="s">
        <v>424</v>
      </c>
      <c r="E472" t="s">
        <v>1289</v>
      </c>
      <c r="F472" t="s">
        <v>1448</v>
      </c>
      <c r="G472" t="s">
        <v>1449</v>
      </c>
      <c r="H472" t="s">
        <v>6</v>
      </c>
      <c r="I472" s="41">
        <v>115</v>
      </c>
      <c r="J472" s="40">
        <f>I472*(1-IFERROR(VLOOKUP(H472,Rabat!$D$10:$E$41,2,FALSE),0))</f>
        <v>115</v>
      </c>
      <c r="K472">
        <v>0.59</v>
      </c>
      <c r="L472" t="s">
        <v>1773</v>
      </c>
      <c r="M472" t="s">
        <v>2273</v>
      </c>
      <c r="N472" t="s">
        <v>2033</v>
      </c>
      <c r="O472" t="s">
        <v>1776</v>
      </c>
      <c r="P472">
        <v>10</v>
      </c>
      <c r="Q472">
        <v>0</v>
      </c>
      <c r="R472" t="s">
        <v>1820</v>
      </c>
      <c r="S472" s="42" t="str">
        <f>HYPERLINK("https://sklep.kobi.pl/produkt/led-nairos-18w-cct-bialy-premium")</f>
        <v>https://sklep.kobi.pl/produkt/led-nairos-18w-cct-bialy-premium</v>
      </c>
      <c r="T472" s="42" t="str">
        <f>HYPERLINK("https://eprel.ec.europa.eu/qr/1787682        ")</f>
        <v xml:space="preserve">https://eprel.ec.europa.eu/qr/1787682        </v>
      </c>
      <c r="U472">
        <v>0.7</v>
      </c>
      <c r="V472">
        <v>0</v>
      </c>
      <c r="W472">
        <v>0</v>
      </c>
      <c r="X472">
        <v>0</v>
      </c>
      <c r="Y472">
        <v>0</v>
      </c>
      <c r="Z472" t="s">
        <v>1778</v>
      </c>
      <c r="AA472"/>
    </row>
    <row r="473" spans="1:27" ht="15" x14ac:dyDescent="0.25">
      <c r="A473" t="s">
        <v>5</v>
      </c>
      <c r="B473" t="s">
        <v>220</v>
      </c>
      <c r="C473" t="s">
        <v>257</v>
      </c>
      <c r="D473" t="s">
        <v>424</v>
      </c>
      <c r="E473" t="s">
        <v>1289</v>
      </c>
      <c r="F473" t="s">
        <v>1444</v>
      </c>
      <c r="G473" t="s">
        <v>1445</v>
      </c>
      <c r="H473" t="s">
        <v>6</v>
      </c>
      <c r="I473" s="41">
        <v>115</v>
      </c>
      <c r="J473" s="40">
        <f>I473*(1-IFERROR(VLOOKUP(H473,Rabat!$D$10:$E$41,2,FALSE),0))</f>
        <v>115</v>
      </c>
      <c r="K473">
        <v>0.59</v>
      </c>
      <c r="L473" t="s">
        <v>1773</v>
      </c>
      <c r="M473" t="s">
        <v>2274</v>
      </c>
      <c r="N473" t="s">
        <v>2033</v>
      </c>
      <c r="O473" t="s">
        <v>1776</v>
      </c>
      <c r="P473">
        <v>10</v>
      </c>
      <c r="Q473">
        <v>0</v>
      </c>
      <c r="R473" t="s">
        <v>1820</v>
      </c>
      <c r="S473" s="42" t="str">
        <f>HYPERLINK("https://sklep.kobi.pl/produkt/led-nairos-18w-cct-czarny-premium")</f>
        <v>https://sklep.kobi.pl/produkt/led-nairos-18w-cct-czarny-premium</v>
      </c>
      <c r="T473" s="42" t="str">
        <f>HYPERLINK("https://eprel.ec.europa.eu/qr/1787685        ")</f>
        <v xml:space="preserve">https://eprel.ec.europa.eu/qr/1787685        </v>
      </c>
      <c r="U473">
        <v>0.7</v>
      </c>
      <c r="V473">
        <v>0</v>
      </c>
      <c r="W473">
        <v>0</v>
      </c>
      <c r="X473">
        <v>0</v>
      </c>
      <c r="Y473">
        <v>0</v>
      </c>
      <c r="Z473" t="s">
        <v>1778</v>
      </c>
      <c r="AA473"/>
    </row>
    <row r="474" spans="1:27" ht="15" x14ac:dyDescent="0.25">
      <c r="A474" t="s">
        <v>5</v>
      </c>
      <c r="B474" t="s">
        <v>220</v>
      </c>
      <c r="C474" t="s">
        <v>257</v>
      </c>
      <c r="D474" t="s">
        <v>424</v>
      </c>
      <c r="E474" t="s">
        <v>1289</v>
      </c>
      <c r="F474" t="s">
        <v>1450</v>
      </c>
      <c r="G474" t="s">
        <v>1451</v>
      </c>
      <c r="H474" t="s">
        <v>6</v>
      </c>
      <c r="I474" s="41">
        <v>134</v>
      </c>
      <c r="J474" s="40">
        <f>I474*(1-IFERROR(VLOOKUP(H474,Rabat!$D$10:$E$41,2,FALSE),0))</f>
        <v>134</v>
      </c>
      <c r="K474">
        <v>0.59</v>
      </c>
      <c r="L474" t="s">
        <v>1773</v>
      </c>
      <c r="M474" t="s">
        <v>2275</v>
      </c>
      <c r="N474" t="s">
        <v>2033</v>
      </c>
      <c r="O474" t="s">
        <v>1776</v>
      </c>
      <c r="P474">
        <v>10</v>
      </c>
      <c r="Q474">
        <v>0</v>
      </c>
      <c r="R474" t="s">
        <v>1820</v>
      </c>
      <c r="S474" s="42" t="str">
        <f>HYPERLINK("https://sklep.kobi.pl/produkt/led-nairos-24w-cct-bialy-premium")</f>
        <v>https://sklep.kobi.pl/produkt/led-nairos-24w-cct-bialy-premium</v>
      </c>
      <c r="T474" s="42" t="str">
        <f>HYPERLINK("https://eprel.ec.europa.eu/qr/1787703        ")</f>
        <v xml:space="preserve">https://eprel.ec.europa.eu/qr/1787703        </v>
      </c>
      <c r="U474">
        <v>0.7</v>
      </c>
      <c r="V474">
        <v>0</v>
      </c>
      <c r="W474">
        <v>0</v>
      </c>
      <c r="X474">
        <v>0</v>
      </c>
      <c r="Y474">
        <v>0</v>
      </c>
      <c r="Z474" t="s">
        <v>1778</v>
      </c>
      <c r="AA474"/>
    </row>
    <row r="475" spans="1:27" ht="15" x14ac:dyDescent="0.25">
      <c r="A475" t="s">
        <v>5</v>
      </c>
      <c r="B475" t="s">
        <v>220</v>
      </c>
      <c r="C475" t="s">
        <v>257</v>
      </c>
      <c r="D475" t="s">
        <v>424</v>
      </c>
      <c r="E475" t="s">
        <v>1289</v>
      </c>
      <c r="F475" t="s">
        <v>1446</v>
      </c>
      <c r="G475" t="s">
        <v>1447</v>
      </c>
      <c r="H475" t="s">
        <v>6</v>
      </c>
      <c r="I475" s="41">
        <v>134</v>
      </c>
      <c r="J475" s="40">
        <f>I475*(1-IFERROR(VLOOKUP(H475,Rabat!$D$10:$E$41,2,FALSE),0))</f>
        <v>134</v>
      </c>
      <c r="K475">
        <v>0.59</v>
      </c>
      <c r="L475" t="s">
        <v>1773</v>
      </c>
      <c r="M475" t="s">
        <v>2276</v>
      </c>
      <c r="N475" t="s">
        <v>2033</v>
      </c>
      <c r="O475" t="s">
        <v>1776</v>
      </c>
      <c r="P475">
        <v>10</v>
      </c>
      <c r="Q475">
        <v>0</v>
      </c>
      <c r="R475" t="s">
        <v>1820</v>
      </c>
      <c r="S475" s="42" t="str">
        <f>HYPERLINK("https://sklep.kobi.pl/produkt/led-nairos-24w-cct-czarny-premium")</f>
        <v>https://sklep.kobi.pl/produkt/led-nairos-24w-cct-czarny-premium</v>
      </c>
      <c r="T475" s="42" t="str">
        <f>HYPERLINK("https://eprel.ec.europa.eu/qr/1787723        ")</f>
        <v xml:space="preserve">https://eprel.ec.europa.eu/qr/1787723        </v>
      </c>
      <c r="U475">
        <v>0.7</v>
      </c>
      <c r="V475">
        <v>0</v>
      </c>
      <c r="W475">
        <v>0</v>
      </c>
      <c r="X475">
        <v>0</v>
      </c>
      <c r="Y475">
        <v>0</v>
      </c>
      <c r="Z475" t="s">
        <v>1778</v>
      </c>
      <c r="AA475"/>
    </row>
    <row r="476" spans="1:27" ht="15" x14ac:dyDescent="0.25">
      <c r="A476" t="s">
        <v>5</v>
      </c>
      <c r="B476" t="s">
        <v>220</v>
      </c>
      <c r="C476" t="s">
        <v>257</v>
      </c>
      <c r="D476" t="s">
        <v>424</v>
      </c>
      <c r="E476" t="s">
        <v>1289</v>
      </c>
      <c r="F476" t="s">
        <v>1452</v>
      </c>
      <c r="G476" t="s">
        <v>1453</v>
      </c>
      <c r="H476" t="s">
        <v>6</v>
      </c>
      <c r="I476" s="41">
        <v>214</v>
      </c>
      <c r="J476" s="40">
        <f>I476*(1-IFERROR(VLOOKUP(H476,Rabat!$D$10:$E$41,2,FALSE),0))</f>
        <v>214</v>
      </c>
      <c r="K476">
        <v>1.01</v>
      </c>
      <c r="L476" t="s">
        <v>1773</v>
      </c>
      <c r="M476" t="s">
        <v>2277</v>
      </c>
      <c r="N476" t="s">
        <v>2033</v>
      </c>
      <c r="O476" t="s">
        <v>1776</v>
      </c>
      <c r="P476">
        <v>10</v>
      </c>
      <c r="Q476">
        <v>0</v>
      </c>
      <c r="R476" t="s">
        <v>1820</v>
      </c>
      <c r="S476" s="42" t="str">
        <f>HYPERLINK("https://sklep.kobi.pl/produkt/led-nairos-36w-cct-bialy-premium")</f>
        <v>https://sklep.kobi.pl/produkt/led-nairos-36w-cct-bialy-premium</v>
      </c>
      <c r="T476" s="42" t="str">
        <f>HYPERLINK("https://eprel.ec.europa.eu/qr/1787728        ")</f>
        <v xml:space="preserve">https://eprel.ec.europa.eu/qr/1787728        </v>
      </c>
      <c r="U476">
        <v>1.2</v>
      </c>
      <c r="V476">
        <v>0</v>
      </c>
      <c r="W476">
        <v>0</v>
      </c>
      <c r="X476">
        <v>0</v>
      </c>
      <c r="Y476">
        <v>0</v>
      </c>
      <c r="Z476" t="s">
        <v>1778</v>
      </c>
      <c r="AA476"/>
    </row>
    <row r="477" spans="1:27" ht="15" x14ac:dyDescent="0.25">
      <c r="A477" t="s">
        <v>5</v>
      </c>
      <c r="B477" t="s">
        <v>220</v>
      </c>
      <c r="C477" t="s">
        <v>257</v>
      </c>
      <c r="D477" t="s">
        <v>424</v>
      </c>
      <c r="E477" t="s">
        <v>1289</v>
      </c>
      <c r="F477" t="s">
        <v>1454</v>
      </c>
      <c r="G477" t="s">
        <v>1455</v>
      </c>
      <c r="H477" t="s">
        <v>6</v>
      </c>
      <c r="I477" s="41">
        <v>148</v>
      </c>
      <c r="J477" s="40">
        <f>I477*(1-IFERROR(VLOOKUP(H477,Rabat!$D$10:$E$41,2,FALSE),0))</f>
        <v>148</v>
      </c>
      <c r="K477">
        <v>0.41</v>
      </c>
      <c r="L477" t="s">
        <v>1773</v>
      </c>
      <c r="M477" t="s">
        <v>2278</v>
      </c>
      <c r="N477" t="s">
        <v>2033</v>
      </c>
      <c r="O477" t="s">
        <v>1776</v>
      </c>
      <c r="P477">
        <v>20</v>
      </c>
      <c r="Q477">
        <v>0</v>
      </c>
      <c r="R477" t="s">
        <v>1820</v>
      </c>
      <c r="S477" s="42" t="str">
        <f>HYPERLINK("https://sklep.kobi.pl/produkt/led-nairos-lx-12w-cct-bialy-premium")</f>
        <v>https://sklep.kobi.pl/produkt/led-nairos-lx-12w-cct-bialy-premium</v>
      </c>
      <c r="T477" s="42" t="str">
        <f>HYPERLINK("https://eprel.ec.europa.eu/qr/1787573        ")</f>
        <v xml:space="preserve">https://eprel.ec.europa.eu/qr/1787573        </v>
      </c>
      <c r="U477">
        <v>0.49</v>
      </c>
      <c r="V477">
        <v>0</v>
      </c>
      <c r="W477">
        <v>0</v>
      </c>
      <c r="X477">
        <v>0</v>
      </c>
      <c r="Y477">
        <v>0</v>
      </c>
      <c r="Z477" t="s">
        <v>1778</v>
      </c>
      <c r="AA477"/>
    </row>
    <row r="478" spans="1:27" ht="15" x14ac:dyDescent="0.25">
      <c r="A478" t="s">
        <v>5</v>
      </c>
      <c r="B478" t="s">
        <v>220</v>
      </c>
      <c r="C478" t="s">
        <v>257</v>
      </c>
      <c r="D478" t="s">
        <v>424</v>
      </c>
      <c r="E478" t="s">
        <v>1289</v>
      </c>
      <c r="F478" t="s">
        <v>1460</v>
      </c>
      <c r="G478" t="s">
        <v>1461</v>
      </c>
      <c r="H478" t="s">
        <v>6</v>
      </c>
      <c r="I478" s="41">
        <v>148</v>
      </c>
      <c r="J478" s="40">
        <f>I478*(1-IFERROR(VLOOKUP(H478,Rabat!$D$10:$E$41,2,FALSE),0))</f>
        <v>148</v>
      </c>
      <c r="K478">
        <v>0.41</v>
      </c>
      <c r="L478" t="s">
        <v>1773</v>
      </c>
      <c r="M478" t="s">
        <v>2279</v>
      </c>
      <c r="N478" t="s">
        <v>2033</v>
      </c>
      <c r="O478" t="s">
        <v>1776</v>
      </c>
      <c r="P478">
        <v>20</v>
      </c>
      <c r="Q478">
        <v>0</v>
      </c>
      <c r="R478" t="s">
        <v>1820</v>
      </c>
      <c r="S478" s="42" t="str">
        <f>HYPERLINK("https://sklep.kobi.pl/produkt/led-nairos-lx-12w-cct-czarny-premium")</f>
        <v>https://sklep.kobi.pl/produkt/led-nairos-lx-12w-cct-czarny-premium</v>
      </c>
      <c r="T478" s="42" t="str">
        <f>HYPERLINK("https://eprel.ec.europa.eu/qr/1787673        ")</f>
        <v xml:space="preserve">https://eprel.ec.europa.eu/qr/1787673        </v>
      </c>
      <c r="U478">
        <v>0.49</v>
      </c>
      <c r="V478">
        <v>0</v>
      </c>
      <c r="W478">
        <v>0</v>
      </c>
      <c r="X478">
        <v>0</v>
      </c>
      <c r="Y478">
        <v>0</v>
      </c>
      <c r="Z478" t="s">
        <v>1778</v>
      </c>
      <c r="AA478"/>
    </row>
    <row r="479" spans="1:27" ht="15" x14ac:dyDescent="0.25">
      <c r="A479" t="s">
        <v>5</v>
      </c>
      <c r="B479" t="s">
        <v>220</v>
      </c>
      <c r="C479" t="s">
        <v>257</v>
      </c>
      <c r="D479" t="s">
        <v>424</v>
      </c>
      <c r="E479" t="s">
        <v>1289</v>
      </c>
      <c r="F479" t="s">
        <v>1456</v>
      </c>
      <c r="G479" t="s">
        <v>1457</v>
      </c>
      <c r="H479" t="s">
        <v>6</v>
      </c>
      <c r="I479" s="41">
        <v>190</v>
      </c>
      <c r="J479" s="40">
        <f>I479*(1-IFERROR(VLOOKUP(H479,Rabat!$D$10:$E$41,2,FALSE),0))</f>
        <v>190</v>
      </c>
      <c r="K479">
        <v>0.67</v>
      </c>
      <c r="L479" t="s">
        <v>1773</v>
      </c>
      <c r="M479" t="s">
        <v>2280</v>
      </c>
      <c r="N479" t="s">
        <v>2033</v>
      </c>
      <c r="O479" t="s">
        <v>1776</v>
      </c>
      <c r="P479">
        <v>10</v>
      </c>
      <c r="Q479">
        <v>0</v>
      </c>
      <c r="R479" t="s">
        <v>1820</v>
      </c>
      <c r="S479" s="42" t="str">
        <f>HYPERLINK("https://sklep.kobi.pl/produkt/led-nairos-lx-18w-cct-bialy-premium")</f>
        <v>https://sklep.kobi.pl/produkt/led-nairos-lx-18w-cct-bialy-premium</v>
      </c>
      <c r="T479" s="42" t="str">
        <f>HYPERLINK("https://eprel.ec.europa.eu/qr/1787682        ")</f>
        <v xml:space="preserve">https://eprel.ec.europa.eu/qr/1787682        </v>
      </c>
      <c r="U479">
        <v>0.79</v>
      </c>
      <c r="V479">
        <v>0</v>
      </c>
      <c r="W479">
        <v>0</v>
      </c>
      <c r="X479">
        <v>0</v>
      </c>
      <c r="Y479">
        <v>0</v>
      </c>
      <c r="Z479" t="s">
        <v>1778</v>
      </c>
      <c r="AA479"/>
    </row>
    <row r="480" spans="1:27" ht="15" x14ac:dyDescent="0.25">
      <c r="A480" t="s">
        <v>5</v>
      </c>
      <c r="B480" t="s">
        <v>220</v>
      </c>
      <c r="C480" t="s">
        <v>257</v>
      </c>
      <c r="D480" t="s">
        <v>424</v>
      </c>
      <c r="E480" t="s">
        <v>1289</v>
      </c>
      <c r="F480" t="s">
        <v>1462</v>
      </c>
      <c r="G480" t="s">
        <v>1463</v>
      </c>
      <c r="H480" t="s">
        <v>6</v>
      </c>
      <c r="I480" s="41">
        <v>190</v>
      </c>
      <c r="J480" s="40">
        <f>I480*(1-IFERROR(VLOOKUP(H480,Rabat!$D$10:$E$41,2,FALSE),0))</f>
        <v>190</v>
      </c>
      <c r="K480">
        <v>0.67</v>
      </c>
      <c r="L480" t="s">
        <v>1773</v>
      </c>
      <c r="M480" t="s">
        <v>2281</v>
      </c>
      <c r="N480" t="s">
        <v>2033</v>
      </c>
      <c r="O480" t="s">
        <v>1776</v>
      </c>
      <c r="P480">
        <v>10</v>
      </c>
      <c r="Q480">
        <v>0</v>
      </c>
      <c r="R480" t="s">
        <v>1820</v>
      </c>
      <c r="S480" s="42" t="str">
        <f>HYPERLINK("https://sklep.kobi.pl/produkt/led-nairos-lx-18w-cct-czarny-premium")</f>
        <v>https://sklep.kobi.pl/produkt/led-nairos-lx-18w-cct-czarny-premium</v>
      </c>
      <c r="T480" s="42" t="str">
        <f>HYPERLINK("https://eprel.ec.europa.eu/qr/1787685        ")</f>
        <v xml:space="preserve">https://eprel.ec.europa.eu/qr/1787685        </v>
      </c>
      <c r="U480">
        <v>0.79</v>
      </c>
      <c r="V480">
        <v>0</v>
      </c>
      <c r="W480">
        <v>0</v>
      </c>
      <c r="X480">
        <v>0</v>
      </c>
      <c r="Y480">
        <v>0</v>
      </c>
      <c r="Z480" t="s">
        <v>1778</v>
      </c>
      <c r="AA480"/>
    </row>
    <row r="481" spans="1:27" ht="15" x14ac:dyDescent="0.25">
      <c r="A481" t="s">
        <v>5</v>
      </c>
      <c r="B481" t="s">
        <v>220</v>
      </c>
      <c r="C481" t="s">
        <v>257</v>
      </c>
      <c r="D481" t="s">
        <v>424</v>
      </c>
      <c r="E481" t="s">
        <v>1289</v>
      </c>
      <c r="F481" t="s">
        <v>1458</v>
      </c>
      <c r="G481" t="s">
        <v>1459</v>
      </c>
      <c r="H481" t="s">
        <v>6</v>
      </c>
      <c r="I481" s="41">
        <v>220</v>
      </c>
      <c r="J481" s="40">
        <f>I481*(1-IFERROR(VLOOKUP(H481,Rabat!$D$10:$E$41,2,FALSE),0))</f>
        <v>220</v>
      </c>
      <c r="K481">
        <v>0.67</v>
      </c>
      <c r="L481" t="s">
        <v>1773</v>
      </c>
      <c r="M481" t="s">
        <v>2282</v>
      </c>
      <c r="N481" t="s">
        <v>2033</v>
      </c>
      <c r="O481" t="s">
        <v>1776</v>
      </c>
      <c r="P481">
        <v>10</v>
      </c>
      <c r="Q481">
        <v>0</v>
      </c>
      <c r="R481" t="s">
        <v>1820</v>
      </c>
      <c r="S481" s="42" t="str">
        <f>HYPERLINK("https://sklep.kobi.pl/produkt/led-nairos-lx-24w-cct-bialy-premium")</f>
        <v>https://sklep.kobi.pl/produkt/led-nairos-lx-24w-cct-bialy-premium</v>
      </c>
      <c r="T481" s="42" t="str">
        <f>HYPERLINK("https://eprel.ec.europa.eu/qr/1787703        ")</f>
        <v xml:space="preserve">https://eprel.ec.europa.eu/qr/1787703        </v>
      </c>
      <c r="U481">
        <v>0.79</v>
      </c>
      <c r="V481">
        <v>0</v>
      </c>
      <c r="W481">
        <v>0</v>
      </c>
      <c r="X481">
        <v>0</v>
      </c>
      <c r="Y481">
        <v>0</v>
      </c>
      <c r="Z481" t="s">
        <v>1778</v>
      </c>
      <c r="AA481"/>
    </row>
    <row r="482" spans="1:27" ht="15" x14ac:dyDescent="0.25">
      <c r="A482" t="s">
        <v>5</v>
      </c>
      <c r="B482" t="s">
        <v>220</v>
      </c>
      <c r="C482" t="s">
        <v>257</v>
      </c>
      <c r="D482" t="s">
        <v>424</v>
      </c>
      <c r="E482" t="s">
        <v>1289</v>
      </c>
      <c r="F482" t="s">
        <v>1464</v>
      </c>
      <c r="G482" t="s">
        <v>1465</v>
      </c>
      <c r="H482" t="s">
        <v>6</v>
      </c>
      <c r="I482" s="41">
        <v>220</v>
      </c>
      <c r="J482" s="40">
        <f>I482*(1-IFERROR(VLOOKUP(H482,Rabat!$D$10:$E$41,2,FALSE),0))</f>
        <v>220</v>
      </c>
      <c r="K482">
        <v>0.67</v>
      </c>
      <c r="L482" t="s">
        <v>1773</v>
      </c>
      <c r="M482" t="s">
        <v>2283</v>
      </c>
      <c r="N482" t="s">
        <v>2033</v>
      </c>
      <c r="O482" t="s">
        <v>1776</v>
      </c>
      <c r="P482">
        <v>10</v>
      </c>
      <c r="Q482">
        <v>0</v>
      </c>
      <c r="R482" t="s">
        <v>1820</v>
      </c>
      <c r="S482" s="42" t="str">
        <f>HYPERLINK("https://sklep.kobi.pl/produkt/led-nairos-lx-24w-cct-czarny-premium")</f>
        <v>https://sklep.kobi.pl/produkt/led-nairos-lx-24w-cct-czarny-premium</v>
      </c>
      <c r="T482" s="42" t="str">
        <f>HYPERLINK("https://eprel.ec.europa.eu/qr/1787723        ")</f>
        <v xml:space="preserve">https://eprel.ec.europa.eu/qr/1787723        </v>
      </c>
      <c r="U482">
        <v>0.79</v>
      </c>
      <c r="V482">
        <v>0</v>
      </c>
      <c r="W482">
        <v>0</v>
      </c>
      <c r="X482">
        <v>0</v>
      </c>
      <c r="Y482">
        <v>0</v>
      </c>
      <c r="Z482" t="s">
        <v>1778</v>
      </c>
      <c r="AA482"/>
    </row>
    <row r="483" spans="1:27" ht="15" x14ac:dyDescent="0.25">
      <c r="A483" t="s">
        <v>5</v>
      </c>
      <c r="B483" t="s">
        <v>770</v>
      </c>
      <c r="C483" t="s">
        <v>257</v>
      </c>
      <c r="D483" t="s">
        <v>424</v>
      </c>
      <c r="E483" t="s">
        <v>71</v>
      </c>
      <c r="F483" t="s">
        <v>866</v>
      </c>
      <c r="G483" t="s">
        <v>867</v>
      </c>
      <c r="H483" t="s">
        <v>6</v>
      </c>
      <c r="I483" s="41">
        <v>23.96</v>
      </c>
      <c r="J483" s="40">
        <f>I483*(1-IFERROR(VLOOKUP(H483,Rabat!$D$10:$E$41,2,FALSE),0))</f>
        <v>23.96</v>
      </c>
      <c r="K483">
        <v>7.0000000000000007E-2</v>
      </c>
      <c r="L483" t="s">
        <v>1773</v>
      </c>
      <c r="M483" t="s">
        <v>2284</v>
      </c>
      <c r="N483" t="s">
        <v>2023</v>
      </c>
      <c r="O483" t="s">
        <v>1776</v>
      </c>
      <c r="P483">
        <v>40</v>
      </c>
      <c r="Q483">
        <v>1000</v>
      </c>
      <c r="R483" t="s">
        <v>1820</v>
      </c>
      <c r="S483" s="42" t="str">
        <f>HYPERLINK("https://sklep.kobi.pl/produkt/led-sigaro-circle-pt-6w-4000k-premium")</f>
        <v>https://sklep.kobi.pl/produkt/led-sigaro-circle-pt-6w-4000k-premium</v>
      </c>
      <c r="T483" s="42" t="str">
        <f>HYPERLINK("https://eprel.ec.europa.eu/qr/850354         ")</f>
        <v xml:space="preserve">https://eprel.ec.europa.eu/qr/850354         </v>
      </c>
      <c r="U483">
        <v>7.9000000000000001E-2</v>
      </c>
      <c r="V483">
        <v>0.113</v>
      </c>
      <c r="W483">
        <v>130</v>
      </c>
      <c r="X483">
        <v>130</v>
      </c>
      <c r="Y483">
        <v>35</v>
      </c>
      <c r="Z483" t="s">
        <v>1778</v>
      </c>
      <c r="AA483"/>
    </row>
    <row r="484" spans="1:27" ht="15" x14ac:dyDescent="0.25">
      <c r="A484" t="s">
        <v>5</v>
      </c>
      <c r="B484" t="s">
        <v>770</v>
      </c>
      <c r="C484" t="s">
        <v>257</v>
      </c>
      <c r="D484" t="s">
        <v>424</v>
      </c>
      <c r="E484" t="s">
        <v>71</v>
      </c>
      <c r="F484" t="s">
        <v>868</v>
      </c>
      <c r="G484" t="s">
        <v>869</v>
      </c>
      <c r="H484" t="s">
        <v>6</v>
      </c>
      <c r="I484" s="41">
        <v>39.799999999999997</v>
      </c>
      <c r="J484" s="40">
        <f>I484*(1-IFERROR(VLOOKUP(H484,Rabat!$D$10:$E$41,2,FALSE),0))</f>
        <v>39.799999999999997</v>
      </c>
      <c r="K484">
        <v>0.12</v>
      </c>
      <c r="L484" t="s">
        <v>1773</v>
      </c>
      <c r="M484" t="s">
        <v>2285</v>
      </c>
      <c r="N484" t="s">
        <v>2023</v>
      </c>
      <c r="O484" t="s">
        <v>1776</v>
      </c>
      <c r="P484">
        <v>20</v>
      </c>
      <c r="Q484">
        <v>960</v>
      </c>
      <c r="R484" t="s">
        <v>1820</v>
      </c>
      <c r="S484" s="42" t="str">
        <f>HYPERLINK("https://sklep.kobi.pl/produkt/led-sigaro-circle-pt-12w-4000k-premium")</f>
        <v>https://sklep.kobi.pl/produkt/led-sigaro-circle-pt-12w-4000k-premium</v>
      </c>
      <c r="T484" s="42" t="str">
        <f>HYPERLINK("https://eprel.ec.europa.eu/qr/850485         ")</f>
        <v xml:space="preserve">https://eprel.ec.europa.eu/qr/850485         </v>
      </c>
      <c r="U484">
        <v>0.14199999999999999</v>
      </c>
      <c r="V484">
        <v>0.187</v>
      </c>
      <c r="W484">
        <v>170</v>
      </c>
      <c r="X484">
        <v>170</v>
      </c>
      <c r="Y484">
        <v>40</v>
      </c>
      <c r="Z484" t="s">
        <v>1778</v>
      </c>
      <c r="AA484"/>
    </row>
    <row r="485" spans="1:27" ht="15" x14ac:dyDescent="0.25">
      <c r="A485" t="s">
        <v>5</v>
      </c>
      <c r="B485" t="s">
        <v>770</v>
      </c>
      <c r="C485" t="s">
        <v>257</v>
      </c>
      <c r="D485" t="s">
        <v>424</v>
      </c>
      <c r="E485" t="s">
        <v>71</v>
      </c>
      <c r="F485" t="s">
        <v>870</v>
      </c>
      <c r="G485" t="s">
        <v>871</v>
      </c>
      <c r="H485" t="s">
        <v>6</v>
      </c>
      <c r="I485" s="41">
        <v>54.33</v>
      </c>
      <c r="J485" s="40">
        <f>I485*(1-IFERROR(VLOOKUP(H485,Rabat!$D$10:$E$41,2,FALSE),0))</f>
        <v>54.33</v>
      </c>
      <c r="K485">
        <v>0.19</v>
      </c>
      <c r="L485" t="s">
        <v>1773</v>
      </c>
      <c r="M485" t="s">
        <v>2286</v>
      </c>
      <c r="N485" t="s">
        <v>2023</v>
      </c>
      <c r="O485" t="s">
        <v>1776</v>
      </c>
      <c r="P485">
        <v>20</v>
      </c>
      <c r="Q485">
        <v>520</v>
      </c>
      <c r="R485" t="s">
        <v>1820</v>
      </c>
      <c r="S485" s="42" t="str">
        <f>HYPERLINK("https://sklep.kobi.pl/produkt/led-sigaro-circle-pt-18w-4000k-premium")</f>
        <v>https://sklep.kobi.pl/produkt/led-sigaro-circle-pt-18w-4000k-premium</v>
      </c>
      <c r="T485" s="42" t="str">
        <f>HYPERLINK("https://eprel.ec.europa.eu/qr/850526         ")</f>
        <v xml:space="preserve">https://eprel.ec.europa.eu/qr/850526         </v>
      </c>
      <c r="U485">
        <v>0.219</v>
      </c>
      <c r="V485">
        <v>0.29399999999999998</v>
      </c>
      <c r="W485">
        <v>240</v>
      </c>
      <c r="X485">
        <v>225</v>
      </c>
      <c r="Y485">
        <v>35</v>
      </c>
      <c r="Z485" t="s">
        <v>1778</v>
      </c>
      <c r="AA485"/>
    </row>
    <row r="486" spans="1:27" ht="15" x14ac:dyDescent="0.25">
      <c r="A486" t="s">
        <v>5</v>
      </c>
      <c r="B486" t="s">
        <v>770</v>
      </c>
      <c r="C486" t="s">
        <v>257</v>
      </c>
      <c r="D486" t="s">
        <v>424</v>
      </c>
      <c r="E486" t="s">
        <v>71</v>
      </c>
      <c r="F486" t="s">
        <v>872</v>
      </c>
      <c r="G486" t="s">
        <v>873</v>
      </c>
      <c r="H486" t="s">
        <v>6</v>
      </c>
      <c r="I486" s="41">
        <v>67.540000000000006</v>
      </c>
      <c r="J486" s="40">
        <f>I486*(1-IFERROR(VLOOKUP(H486,Rabat!$D$10:$E$41,2,FALSE),0))</f>
        <v>67.540000000000006</v>
      </c>
      <c r="K486">
        <v>0.21</v>
      </c>
      <c r="L486" t="s">
        <v>1773</v>
      </c>
      <c r="M486" t="s">
        <v>2287</v>
      </c>
      <c r="N486" t="s">
        <v>2023</v>
      </c>
      <c r="O486" t="s">
        <v>1776</v>
      </c>
      <c r="P486">
        <v>20</v>
      </c>
      <c r="Q486">
        <v>520</v>
      </c>
      <c r="R486" t="s">
        <v>1820</v>
      </c>
      <c r="S486" s="42" t="str">
        <f>HYPERLINK("https://sklep.kobi.pl/produkt/led-sigaro-circle-pt-24w-4000k-premium")</f>
        <v>https://sklep.kobi.pl/produkt/led-sigaro-circle-pt-24w-4000k-premium</v>
      </c>
      <c r="T486" s="42" t="str">
        <f>HYPERLINK("https://eprel.ec.europa.eu/qr/850541         ")</f>
        <v xml:space="preserve">https://eprel.ec.europa.eu/qr/850541         </v>
      </c>
      <c r="U486">
        <v>0.251</v>
      </c>
      <c r="V486">
        <v>0.33</v>
      </c>
      <c r="W486">
        <v>230</v>
      </c>
      <c r="X486">
        <v>230</v>
      </c>
      <c r="Y486">
        <v>35</v>
      </c>
      <c r="Z486" t="s">
        <v>1778</v>
      </c>
      <c r="AA486"/>
    </row>
    <row r="487" spans="1:27" ht="15" x14ac:dyDescent="0.25">
      <c r="A487" t="s">
        <v>5</v>
      </c>
      <c r="B487" t="s">
        <v>951</v>
      </c>
      <c r="C487" t="s">
        <v>257</v>
      </c>
      <c r="D487" t="s">
        <v>741</v>
      </c>
      <c r="E487" t="s">
        <v>71</v>
      </c>
      <c r="F487" t="s">
        <v>1099</v>
      </c>
      <c r="G487" t="s">
        <v>1100</v>
      </c>
      <c r="H487" t="s">
        <v>6</v>
      </c>
      <c r="I487" s="41">
        <v>185</v>
      </c>
      <c r="J487" s="40">
        <f>I487*(1-IFERROR(VLOOKUP(H487,Rabat!$D$10:$E$41,2,FALSE),0))</f>
        <v>185</v>
      </c>
      <c r="K487">
        <v>0.59</v>
      </c>
      <c r="L487" t="s">
        <v>1773</v>
      </c>
      <c r="M487" t="s">
        <v>2288</v>
      </c>
      <c r="N487" t="s">
        <v>2033</v>
      </c>
      <c r="O487" t="s">
        <v>1776</v>
      </c>
      <c r="P487">
        <v>10</v>
      </c>
      <c r="Q487">
        <v>0</v>
      </c>
      <c r="R487" t="s">
        <v>1955</v>
      </c>
      <c r="S487" s="42" t="str">
        <f>HYPERLINK("https://sklep.kobi.pl/produkt/led-numos-lx-7w-4000k")</f>
        <v>https://sklep.kobi.pl/produkt/led-numos-lx-7w-4000k</v>
      </c>
      <c r="T487" s="42" t="str">
        <f>HYPERLINK("https://eprel.ec.europa.eu/qr/1057273        ")</f>
        <v xml:space="preserve">https://eprel.ec.europa.eu/qr/1057273        </v>
      </c>
      <c r="U487">
        <v>0.70099999999999996</v>
      </c>
      <c r="V487">
        <v>0.86199999999999999</v>
      </c>
      <c r="W487">
        <v>305</v>
      </c>
      <c r="X487">
        <v>210</v>
      </c>
      <c r="Y487">
        <v>65</v>
      </c>
      <c r="Z487" t="s">
        <v>1778</v>
      </c>
      <c r="AA487"/>
    </row>
    <row r="488" spans="1:27" ht="15" x14ac:dyDescent="0.25">
      <c r="A488" t="s">
        <v>5</v>
      </c>
      <c r="B488" t="s">
        <v>951</v>
      </c>
      <c r="C488" t="s">
        <v>257</v>
      </c>
      <c r="D488" t="s">
        <v>741</v>
      </c>
      <c r="E488" t="s">
        <v>71</v>
      </c>
      <c r="F488" t="s">
        <v>1101</v>
      </c>
      <c r="G488" t="s">
        <v>1102</v>
      </c>
      <c r="H488" t="s">
        <v>6</v>
      </c>
      <c r="I488" s="41">
        <v>120</v>
      </c>
      <c r="J488" s="40">
        <f>I488*(1-IFERROR(VLOOKUP(H488,Rabat!$D$10:$E$41,2,FALSE),0))</f>
        <v>120</v>
      </c>
      <c r="K488">
        <v>0.44</v>
      </c>
      <c r="L488" t="s">
        <v>1773</v>
      </c>
      <c r="M488" t="s">
        <v>2289</v>
      </c>
      <c r="N488" t="s">
        <v>2033</v>
      </c>
      <c r="O488" t="s">
        <v>1776</v>
      </c>
      <c r="P488">
        <v>5</v>
      </c>
      <c r="Q488">
        <v>0</v>
      </c>
      <c r="R488" t="s">
        <v>1955</v>
      </c>
      <c r="S488" s="42" t="str">
        <f>HYPERLINK("https://sklep.kobi.pl/produkt/led-orbis-lx-10w-4000k")</f>
        <v>https://sklep.kobi.pl/produkt/led-orbis-lx-10w-4000k</v>
      </c>
      <c r="T488" s="42" t="str">
        <f>HYPERLINK("https://eprel.ec.europa.eu/qr/1057303        ")</f>
        <v xml:space="preserve">https://eprel.ec.europa.eu/qr/1057303        </v>
      </c>
      <c r="U488">
        <v>0.51800000000000002</v>
      </c>
      <c r="V488">
        <v>0.63500000000000001</v>
      </c>
      <c r="W488">
        <v>260</v>
      </c>
      <c r="X488">
        <v>255</v>
      </c>
      <c r="Y488">
        <v>60</v>
      </c>
      <c r="Z488" t="s">
        <v>1778</v>
      </c>
      <c r="AA488"/>
    </row>
    <row r="489" spans="1:27" ht="15" x14ac:dyDescent="0.25">
      <c r="A489" t="s">
        <v>5</v>
      </c>
      <c r="B489" t="s">
        <v>951</v>
      </c>
      <c r="C489" t="s">
        <v>257</v>
      </c>
      <c r="D489" t="s">
        <v>424</v>
      </c>
      <c r="E489" t="s">
        <v>71</v>
      </c>
      <c r="F489" t="s">
        <v>1210</v>
      </c>
      <c r="G489" t="s">
        <v>1211</v>
      </c>
      <c r="H489" t="s">
        <v>6</v>
      </c>
      <c r="I489" s="41">
        <v>105.37</v>
      </c>
      <c r="J489" s="40">
        <f>I489*(1-IFERROR(VLOOKUP(H489,Rabat!$D$10:$E$41,2,FALSE),0))</f>
        <v>105.37</v>
      </c>
      <c r="K489">
        <v>0.33</v>
      </c>
      <c r="L489" t="s">
        <v>1789</v>
      </c>
      <c r="M489" t="s">
        <v>2290</v>
      </c>
      <c r="N489" t="s">
        <v>2033</v>
      </c>
      <c r="O489" t="s">
        <v>1776</v>
      </c>
      <c r="P489">
        <v>5</v>
      </c>
      <c r="Q489">
        <v>120</v>
      </c>
      <c r="R489" t="s">
        <v>1820</v>
      </c>
      <c r="S489" s="42" t="str">
        <f>HYPERLINK("https://sklep.kobi.pl/produkt/led-sofi-lx-13w-4000k-premium")</f>
        <v>https://sklep.kobi.pl/produkt/led-sofi-lx-13w-4000k-premium</v>
      </c>
      <c r="T489" t="s">
        <v>71</v>
      </c>
      <c r="U489">
        <v>0.39</v>
      </c>
      <c r="V489">
        <v>0</v>
      </c>
      <c r="W489">
        <v>0</v>
      </c>
      <c r="X489">
        <v>0</v>
      </c>
      <c r="Y489">
        <v>0</v>
      </c>
      <c r="Z489" t="s">
        <v>1778</v>
      </c>
      <c r="AA489"/>
    </row>
    <row r="490" spans="1:27" ht="15" x14ac:dyDescent="0.25">
      <c r="A490" t="s">
        <v>5</v>
      </c>
      <c r="B490" t="s">
        <v>951</v>
      </c>
      <c r="C490" t="s">
        <v>257</v>
      </c>
      <c r="D490" t="s">
        <v>424</v>
      </c>
      <c r="E490" t="s">
        <v>149</v>
      </c>
      <c r="F490" t="s">
        <v>1107</v>
      </c>
      <c r="G490" t="s">
        <v>1108</v>
      </c>
      <c r="H490" t="s">
        <v>6</v>
      </c>
      <c r="I490" s="41">
        <v>212</v>
      </c>
      <c r="J490" s="40">
        <f>I490*(1-IFERROR(VLOOKUP(H490,Rabat!$D$10:$E$41,2,FALSE),0))</f>
        <v>212</v>
      </c>
      <c r="K490">
        <v>0.44</v>
      </c>
      <c r="L490" t="s">
        <v>1789</v>
      </c>
      <c r="M490" t="s">
        <v>2291</v>
      </c>
      <c r="N490" t="s">
        <v>2033</v>
      </c>
      <c r="O490" t="s">
        <v>1776</v>
      </c>
      <c r="P490">
        <v>5</v>
      </c>
      <c r="Q490">
        <v>125</v>
      </c>
      <c r="R490" t="s">
        <v>1820</v>
      </c>
      <c r="S490" s="42" t="str">
        <f>HYPERLINK("https://sklep.kobi.pl/produkt/led-zoe-lx-13w-4000k-black")</f>
        <v>https://sklep.kobi.pl/produkt/led-zoe-lx-13w-4000k-black</v>
      </c>
      <c r="T490" t="s">
        <v>71</v>
      </c>
      <c r="U490">
        <v>0.52</v>
      </c>
      <c r="V490">
        <v>0.71</v>
      </c>
      <c r="W490">
        <v>310</v>
      </c>
      <c r="X490">
        <v>310</v>
      </c>
      <c r="Y490">
        <v>90</v>
      </c>
      <c r="Z490" t="s">
        <v>1778</v>
      </c>
      <c r="AA490"/>
    </row>
    <row r="491" spans="1:27" ht="15" x14ac:dyDescent="0.25">
      <c r="A491" t="s">
        <v>5</v>
      </c>
      <c r="B491" t="s">
        <v>951</v>
      </c>
      <c r="C491" t="s">
        <v>257</v>
      </c>
      <c r="D491" t="s">
        <v>424</v>
      </c>
      <c r="E491" t="s">
        <v>149</v>
      </c>
      <c r="F491" t="s">
        <v>952</v>
      </c>
      <c r="G491" t="s">
        <v>953</v>
      </c>
      <c r="H491" t="s">
        <v>6</v>
      </c>
      <c r="I491" s="41">
        <v>291.22000000000003</v>
      </c>
      <c r="J491" s="40">
        <f>I491*(1-IFERROR(VLOOKUP(H491,Rabat!$D$10:$E$41,2,FALSE),0))</f>
        <v>291.22000000000003</v>
      </c>
      <c r="K491">
        <v>0.56999999999999995</v>
      </c>
      <c r="L491" t="s">
        <v>1789</v>
      </c>
      <c r="M491" t="s">
        <v>2292</v>
      </c>
      <c r="N491" t="s">
        <v>2033</v>
      </c>
      <c r="O491" t="s">
        <v>1776</v>
      </c>
      <c r="P491">
        <v>5</v>
      </c>
      <c r="Q491">
        <v>80</v>
      </c>
      <c r="R491" t="s">
        <v>1820</v>
      </c>
      <c r="S491" s="42" t="str">
        <f>HYPERLINK("https://sklep.kobi.pl/produkt/led-zoe-lx-24w-4000k-black")</f>
        <v>https://sklep.kobi.pl/produkt/led-zoe-lx-24w-4000k-black</v>
      </c>
      <c r="T491" t="s">
        <v>71</v>
      </c>
      <c r="U491">
        <v>0.67300000000000004</v>
      </c>
      <c r="V491">
        <v>0.89700000000000002</v>
      </c>
      <c r="W491">
        <v>360</v>
      </c>
      <c r="X491">
        <v>360</v>
      </c>
      <c r="Y491">
        <v>90</v>
      </c>
      <c r="Z491" t="s">
        <v>1778</v>
      </c>
      <c r="AA491"/>
    </row>
    <row r="492" spans="1:27" ht="15" x14ac:dyDescent="0.25">
      <c r="A492" t="s">
        <v>5</v>
      </c>
      <c r="B492" t="s">
        <v>1185</v>
      </c>
      <c r="C492"/>
      <c r="D492" t="s">
        <v>69</v>
      </c>
      <c r="E492" t="s">
        <v>71</v>
      </c>
      <c r="F492" t="s">
        <v>1192</v>
      </c>
      <c r="G492" t="s">
        <v>1193</v>
      </c>
      <c r="H492" t="s">
        <v>8</v>
      </c>
      <c r="I492" s="41">
        <v>33.5</v>
      </c>
      <c r="J492" s="40">
        <f>I492*(1-IFERROR(VLOOKUP(H492,Rabat!$D$10:$E$41,2,FALSE),0))</f>
        <v>33.5</v>
      </c>
      <c r="K492">
        <v>0</v>
      </c>
      <c r="L492" t="s">
        <v>1789</v>
      </c>
      <c r="M492" t="s">
        <v>2293</v>
      </c>
      <c r="N492" t="s">
        <v>2056</v>
      </c>
      <c r="O492" t="s">
        <v>1776</v>
      </c>
      <c r="P492">
        <v>10</v>
      </c>
      <c r="Q492">
        <v>0</v>
      </c>
      <c r="R492" t="s">
        <v>1777</v>
      </c>
      <c r="S492" s="42" t="str">
        <f>HYPERLINK("https://sklep.kobi.pl/produkt/soma-pc-100-siatka-plastik")</f>
        <v>https://sklep.kobi.pl/produkt/soma-pc-100-siatka-plastik</v>
      </c>
      <c r="T492" t="s">
        <v>71</v>
      </c>
      <c r="U492">
        <v>0.21</v>
      </c>
      <c r="V492">
        <v>0</v>
      </c>
      <c r="W492">
        <v>0</v>
      </c>
      <c r="X492">
        <v>0</v>
      </c>
      <c r="Y492">
        <v>0</v>
      </c>
      <c r="Z492" t="s">
        <v>1778</v>
      </c>
      <c r="AA492"/>
    </row>
    <row r="493" spans="1:27" ht="15" x14ac:dyDescent="0.25">
      <c r="A493" t="s">
        <v>5</v>
      </c>
      <c r="B493" t="s">
        <v>1185</v>
      </c>
      <c r="C493"/>
      <c r="D493" t="s">
        <v>69</v>
      </c>
      <c r="E493" t="s">
        <v>71</v>
      </c>
      <c r="F493" t="s">
        <v>1190</v>
      </c>
      <c r="G493" t="s">
        <v>1191</v>
      </c>
      <c r="H493" t="s">
        <v>8</v>
      </c>
      <c r="I493" s="41">
        <v>39.5</v>
      </c>
      <c r="J493" s="40">
        <f>I493*(1-IFERROR(VLOOKUP(H493,Rabat!$D$10:$E$41,2,FALSE),0))</f>
        <v>39.5</v>
      </c>
      <c r="K493">
        <v>0</v>
      </c>
      <c r="L493" t="s">
        <v>1789</v>
      </c>
      <c r="M493" t="s">
        <v>2294</v>
      </c>
      <c r="N493" t="s">
        <v>2056</v>
      </c>
      <c r="O493" t="s">
        <v>1776</v>
      </c>
      <c r="P493">
        <v>10</v>
      </c>
      <c r="Q493">
        <v>0</v>
      </c>
      <c r="R493" t="s">
        <v>1777</v>
      </c>
      <c r="S493" s="42" t="str">
        <f>HYPERLINK("https://sklep.kobi.pl/produkt/soma-pc-100-siatka-metal")</f>
        <v>https://sklep.kobi.pl/produkt/soma-pc-100-siatka-metal</v>
      </c>
      <c r="T493" t="s">
        <v>71</v>
      </c>
      <c r="U493">
        <v>0.22</v>
      </c>
      <c r="V493">
        <v>0</v>
      </c>
      <c r="W493">
        <v>0</v>
      </c>
      <c r="X493">
        <v>0</v>
      </c>
      <c r="Y493">
        <v>0</v>
      </c>
      <c r="Z493" t="s">
        <v>1778</v>
      </c>
      <c r="AA493"/>
    </row>
    <row r="494" spans="1:27" ht="15" x14ac:dyDescent="0.25">
      <c r="A494" t="s">
        <v>5</v>
      </c>
      <c r="B494" t="s">
        <v>1185</v>
      </c>
      <c r="C494"/>
      <c r="D494" t="s">
        <v>69</v>
      </c>
      <c r="E494" t="s">
        <v>71</v>
      </c>
      <c r="F494" t="s">
        <v>1188</v>
      </c>
      <c r="G494" t="s">
        <v>1189</v>
      </c>
      <c r="H494" t="s">
        <v>8</v>
      </c>
      <c r="I494" s="41">
        <v>32</v>
      </c>
      <c r="J494" s="40">
        <f>I494*(1-IFERROR(VLOOKUP(H494,Rabat!$D$10:$E$41,2,FALSE),0))</f>
        <v>32</v>
      </c>
      <c r="K494">
        <v>0</v>
      </c>
      <c r="L494" t="s">
        <v>1789</v>
      </c>
      <c r="M494" t="s">
        <v>2295</v>
      </c>
      <c r="N494" t="s">
        <v>2056</v>
      </c>
      <c r="O494" t="s">
        <v>1776</v>
      </c>
      <c r="P494">
        <v>12</v>
      </c>
      <c r="Q494">
        <v>0</v>
      </c>
      <c r="R494" t="s">
        <v>1777</v>
      </c>
      <c r="S494" s="42" t="str">
        <f>HYPERLINK("https://sklep.kobi.pl/produkt/soma-pc-60-siatka-metal")</f>
        <v>https://sklep.kobi.pl/produkt/soma-pc-60-siatka-metal</v>
      </c>
      <c r="T494" t="s">
        <v>71</v>
      </c>
      <c r="U494">
        <v>0.2</v>
      </c>
      <c r="V494">
        <v>0</v>
      </c>
      <c r="W494">
        <v>0</v>
      </c>
      <c r="X494">
        <v>0</v>
      </c>
      <c r="Y494">
        <v>0</v>
      </c>
      <c r="Z494" t="s">
        <v>1778</v>
      </c>
      <c r="AA494"/>
    </row>
    <row r="495" spans="1:27" ht="15" x14ac:dyDescent="0.25">
      <c r="A495" t="s">
        <v>5</v>
      </c>
      <c r="B495" t="s">
        <v>1185</v>
      </c>
      <c r="C495"/>
      <c r="D495" t="s">
        <v>69</v>
      </c>
      <c r="E495" t="s">
        <v>71</v>
      </c>
      <c r="F495" t="s">
        <v>1186</v>
      </c>
      <c r="G495" t="s">
        <v>1187</v>
      </c>
      <c r="H495" t="s">
        <v>8</v>
      </c>
      <c r="I495" s="41">
        <v>28.5</v>
      </c>
      <c r="J495" s="40">
        <f>I495*(1-IFERROR(VLOOKUP(H495,Rabat!$D$10:$E$41,2,FALSE),0))</f>
        <v>28.5</v>
      </c>
      <c r="K495">
        <v>0</v>
      </c>
      <c r="L495" t="s">
        <v>1789</v>
      </c>
      <c r="M495" t="s">
        <v>2296</v>
      </c>
      <c r="N495" t="s">
        <v>2056</v>
      </c>
      <c r="O495" t="s">
        <v>1776</v>
      </c>
      <c r="P495">
        <v>12</v>
      </c>
      <c r="Q495">
        <v>0</v>
      </c>
      <c r="R495" t="s">
        <v>1777</v>
      </c>
      <c r="S495" s="42" t="str">
        <f>HYPERLINK("https://sklep.kobi.pl/produkt/soma-pc-60-siatka-plastik")</f>
        <v>https://sklep.kobi.pl/produkt/soma-pc-60-siatka-plastik</v>
      </c>
      <c r="T495" t="s">
        <v>71</v>
      </c>
      <c r="U495">
        <v>0.19</v>
      </c>
      <c r="V495">
        <v>0</v>
      </c>
      <c r="W495">
        <v>0</v>
      </c>
      <c r="X495">
        <v>0</v>
      </c>
      <c r="Y495">
        <v>0</v>
      </c>
      <c r="Z495" t="s">
        <v>1778</v>
      </c>
      <c r="AA495"/>
    </row>
    <row r="496" spans="1:27" ht="15" x14ac:dyDescent="0.25">
      <c r="A496" t="s">
        <v>9</v>
      </c>
      <c r="B496" t="s">
        <v>166</v>
      </c>
      <c r="C496"/>
      <c r="D496" t="s">
        <v>69</v>
      </c>
      <c r="E496" t="s">
        <v>71</v>
      </c>
      <c r="F496" t="s">
        <v>360</v>
      </c>
      <c r="G496" t="s">
        <v>361</v>
      </c>
      <c r="H496" t="s">
        <v>10</v>
      </c>
      <c r="I496" s="41">
        <v>59.35</v>
      </c>
      <c r="J496" s="40">
        <f>I496*(1-IFERROR(VLOOKUP(H496,Rabat!$D$10:$E$41,2,FALSE),0))</f>
        <v>59.35</v>
      </c>
      <c r="K496">
        <v>0.3</v>
      </c>
      <c r="L496" t="s">
        <v>1789</v>
      </c>
      <c r="M496" t="s">
        <v>2297</v>
      </c>
      <c r="N496" t="s">
        <v>2298</v>
      </c>
      <c r="O496" t="s">
        <v>1776</v>
      </c>
      <c r="P496">
        <v>12</v>
      </c>
      <c r="Q496">
        <v>240</v>
      </c>
      <c r="R496" t="s">
        <v>1777</v>
      </c>
      <c r="S496" s="42" t="str">
        <f>HYPERLINK("https://sklep.kobi.pl/produkt/lampka-biurkowa-smieszek-kx3087-biala")</f>
        <v>https://sklep.kobi.pl/produkt/lampka-biurkowa-smieszek-kx3087-biala</v>
      </c>
      <c r="T496" t="s">
        <v>71</v>
      </c>
      <c r="U496">
        <v>0.66400000000000003</v>
      </c>
      <c r="V496">
        <v>0.876</v>
      </c>
      <c r="W496">
        <v>140</v>
      </c>
      <c r="X496">
        <v>135</v>
      </c>
      <c r="Y496">
        <v>206</v>
      </c>
      <c r="Z496" t="s">
        <v>1778</v>
      </c>
      <c r="AA496"/>
    </row>
    <row r="497" spans="1:27" ht="15" x14ac:dyDescent="0.25">
      <c r="A497" t="s">
        <v>9</v>
      </c>
      <c r="B497" t="s">
        <v>166</v>
      </c>
      <c r="C497"/>
      <c r="D497" t="s">
        <v>69</v>
      </c>
      <c r="E497" t="s">
        <v>71</v>
      </c>
      <c r="F497" t="s">
        <v>167</v>
      </c>
      <c r="G497" t="s">
        <v>168</v>
      </c>
      <c r="H497" t="s">
        <v>10</v>
      </c>
      <c r="I497" s="41">
        <v>59.35</v>
      </c>
      <c r="J497" s="40">
        <f>I497*(1-IFERROR(VLOOKUP(H497,Rabat!$D$10:$E$41,2,FALSE),0))</f>
        <v>59.35</v>
      </c>
      <c r="K497">
        <v>0.3</v>
      </c>
      <c r="L497" t="s">
        <v>1789</v>
      </c>
      <c r="M497" t="s">
        <v>2299</v>
      </c>
      <c r="N497" t="s">
        <v>2298</v>
      </c>
      <c r="O497" t="s">
        <v>1776</v>
      </c>
      <c r="P497">
        <v>12</v>
      </c>
      <c r="Q497">
        <v>240</v>
      </c>
      <c r="R497" t="s">
        <v>1777</v>
      </c>
      <c r="S497" s="42" t="str">
        <f>HYPERLINK("https://sklep.kobi.pl/produkt/lampka-biurkowa-smieszek-kx3087-czarna")</f>
        <v>https://sklep.kobi.pl/produkt/lampka-biurkowa-smieszek-kx3087-czarna</v>
      </c>
      <c r="T497" t="s">
        <v>71</v>
      </c>
      <c r="U497">
        <v>0.66400000000000003</v>
      </c>
      <c r="V497">
        <v>0.876</v>
      </c>
      <c r="W497">
        <v>140</v>
      </c>
      <c r="X497">
        <v>135</v>
      </c>
      <c r="Y497">
        <v>206</v>
      </c>
      <c r="Z497" t="s">
        <v>1778</v>
      </c>
      <c r="AA497"/>
    </row>
    <row r="498" spans="1:27" ht="15" x14ac:dyDescent="0.25">
      <c r="A498" t="s">
        <v>9</v>
      </c>
      <c r="B498" t="s">
        <v>166</v>
      </c>
      <c r="C498"/>
      <c r="D498" t="s">
        <v>69</v>
      </c>
      <c r="E498" t="s">
        <v>71</v>
      </c>
      <c r="F498" t="s">
        <v>169</v>
      </c>
      <c r="G498" t="s">
        <v>170</v>
      </c>
      <c r="H498" t="s">
        <v>10</v>
      </c>
      <c r="I498" s="41">
        <v>59.35</v>
      </c>
      <c r="J498" s="40">
        <f>I498*(1-IFERROR(VLOOKUP(H498,Rabat!$D$10:$E$41,2,FALSE),0))</f>
        <v>59.35</v>
      </c>
      <c r="K498">
        <v>0.3</v>
      </c>
      <c r="L498" t="s">
        <v>1789</v>
      </c>
      <c r="M498" t="s">
        <v>2300</v>
      </c>
      <c r="N498" t="s">
        <v>2298</v>
      </c>
      <c r="O498" t="s">
        <v>1776</v>
      </c>
      <c r="P498">
        <v>12</v>
      </c>
      <c r="Q498">
        <v>240</v>
      </c>
      <c r="R498" t="s">
        <v>1777</v>
      </c>
      <c r="S498" s="42" t="str">
        <f>HYPERLINK("https://sklep.kobi.pl/produkt/lampka-biurkowa-smieszek-kx3087-czerwona")</f>
        <v>https://sklep.kobi.pl/produkt/lampka-biurkowa-smieszek-kx3087-czerwona</v>
      </c>
      <c r="T498" t="s">
        <v>71</v>
      </c>
      <c r="U498">
        <v>0.66400000000000003</v>
      </c>
      <c r="V498">
        <v>0.876</v>
      </c>
      <c r="W498">
        <v>140</v>
      </c>
      <c r="X498">
        <v>135</v>
      </c>
      <c r="Y498">
        <v>206</v>
      </c>
      <c r="Z498" t="s">
        <v>1778</v>
      </c>
      <c r="AA498"/>
    </row>
    <row r="499" spans="1:27" ht="15" x14ac:dyDescent="0.25">
      <c r="A499" t="s">
        <v>9</v>
      </c>
      <c r="B499" t="s">
        <v>166</v>
      </c>
      <c r="C499"/>
      <c r="D499" t="s">
        <v>69</v>
      </c>
      <c r="E499" t="s">
        <v>71</v>
      </c>
      <c r="F499" t="s">
        <v>1226</v>
      </c>
      <c r="G499" t="s">
        <v>1227</v>
      </c>
      <c r="H499" t="s">
        <v>10</v>
      </c>
      <c r="I499" s="41">
        <v>59.35</v>
      </c>
      <c r="J499" s="40">
        <f>I499*(1-IFERROR(VLOOKUP(H499,Rabat!$D$10:$E$41,2,FALSE),0))</f>
        <v>59.35</v>
      </c>
      <c r="K499">
        <v>0.3</v>
      </c>
      <c r="L499" t="s">
        <v>1789</v>
      </c>
      <c r="M499" t="s">
        <v>2301</v>
      </c>
      <c r="N499" t="s">
        <v>2298</v>
      </c>
      <c r="O499" t="s">
        <v>1776</v>
      </c>
      <c r="P499">
        <v>12</v>
      </c>
      <c r="Q499">
        <v>240</v>
      </c>
      <c r="R499" t="s">
        <v>1777</v>
      </c>
      <c r="S499" s="42" t="str">
        <f>HYPERLINK("https://sklep.kobi.pl/produkt/lampka-biurkowa-smieszek-kx3087-niebiesk")</f>
        <v>https://sklep.kobi.pl/produkt/lampka-biurkowa-smieszek-kx3087-niebiesk</v>
      </c>
      <c r="T499" t="s">
        <v>71</v>
      </c>
      <c r="U499">
        <v>0.66400000000000003</v>
      </c>
      <c r="V499">
        <v>0.876</v>
      </c>
      <c r="W499">
        <v>140</v>
      </c>
      <c r="X499">
        <v>135</v>
      </c>
      <c r="Y499">
        <v>206</v>
      </c>
      <c r="Z499" t="s">
        <v>1778</v>
      </c>
      <c r="AA499"/>
    </row>
    <row r="500" spans="1:27" ht="15" x14ac:dyDescent="0.25">
      <c r="A500" t="s">
        <v>9</v>
      </c>
      <c r="B500" t="s">
        <v>166</v>
      </c>
      <c r="C500"/>
      <c r="D500" t="s">
        <v>69</v>
      </c>
      <c r="E500" t="s">
        <v>71</v>
      </c>
      <c r="F500" t="s">
        <v>1196</v>
      </c>
      <c r="G500" t="s">
        <v>1197</v>
      </c>
      <c r="H500" t="s">
        <v>10</v>
      </c>
      <c r="I500" s="41">
        <v>59.35</v>
      </c>
      <c r="J500" s="40">
        <f>I500*(1-IFERROR(VLOOKUP(H500,Rabat!$D$10:$E$41,2,FALSE),0))</f>
        <v>59.35</v>
      </c>
      <c r="K500">
        <v>0.39</v>
      </c>
      <c r="L500" t="s">
        <v>1789</v>
      </c>
      <c r="M500" t="s">
        <v>2302</v>
      </c>
      <c r="N500" t="s">
        <v>2298</v>
      </c>
      <c r="O500" t="s">
        <v>1776</v>
      </c>
      <c r="P500">
        <v>12</v>
      </c>
      <c r="Q500">
        <v>240</v>
      </c>
      <c r="R500" t="s">
        <v>1777</v>
      </c>
      <c r="S500" s="42" t="str">
        <f>HYPERLINK("https://sklep.kobi.pl/produkt/lampka-biurkowa-smieszek-kx3087-rozowa")</f>
        <v>https://sklep.kobi.pl/produkt/lampka-biurkowa-smieszek-kx3087-rozowa</v>
      </c>
      <c r="T500" t="s">
        <v>71</v>
      </c>
      <c r="U500">
        <v>0.85</v>
      </c>
      <c r="V500">
        <v>0.876</v>
      </c>
      <c r="W500">
        <v>140</v>
      </c>
      <c r="X500">
        <v>135</v>
      </c>
      <c r="Y500">
        <v>206</v>
      </c>
      <c r="Z500" t="s">
        <v>1778</v>
      </c>
      <c r="AA500"/>
    </row>
    <row r="501" spans="1:27" ht="15" x14ac:dyDescent="0.25">
      <c r="A501" t="s">
        <v>9</v>
      </c>
      <c r="B501" t="s">
        <v>166</v>
      </c>
      <c r="C501"/>
      <c r="D501" t="s">
        <v>69</v>
      </c>
      <c r="E501" t="s">
        <v>71</v>
      </c>
      <c r="F501" t="s">
        <v>200</v>
      </c>
      <c r="G501" t="s">
        <v>201</v>
      </c>
      <c r="H501" t="s">
        <v>10</v>
      </c>
      <c r="I501" s="41">
        <v>59.35</v>
      </c>
      <c r="J501" s="40">
        <f>I501*(1-IFERROR(VLOOKUP(H501,Rabat!$D$10:$E$41,2,FALSE),0))</f>
        <v>59.35</v>
      </c>
      <c r="K501">
        <v>0.3</v>
      </c>
      <c r="L501" t="s">
        <v>1789</v>
      </c>
      <c r="M501" t="s">
        <v>2303</v>
      </c>
      <c r="N501" t="s">
        <v>2298</v>
      </c>
      <c r="O501" t="s">
        <v>1776</v>
      </c>
      <c r="P501">
        <v>12</v>
      </c>
      <c r="Q501">
        <v>240</v>
      </c>
      <c r="R501" t="s">
        <v>1777</v>
      </c>
      <c r="S501" s="42" t="str">
        <f>HYPERLINK("https://sklep.kobi.pl/produkt/lampka-biurkowa-smieszek-kx3087-zielona")</f>
        <v>https://sklep.kobi.pl/produkt/lampka-biurkowa-smieszek-kx3087-zielona</v>
      </c>
      <c r="T501" t="s">
        <v>71</v>
      </c>
      <c r="U501">
        <v>0.66400000000000003</v>
      </c>
      <c r="V501">
        <v>0.876</v>
      </c>
      <c r="W501">
        <v>140</v>
      </c>
      <c r="X501">
        <v>135</v>
      </c>
      <c r="Y501">
        <v>206</v>
      </c>
      <c r="Z501" t="s">
        <v>1778</v>
      </c>
      <c r="AA501"/>
    </row>
    <row r="502" spans="1:27" ht="15" x14ac:dyDescent="0.25">
      <c r="A502" t="s">
        <v>9</v>
      </c>
      <c r="B502" t="s">
        <v>166</v>
      </c>
      <c r="C502"/>
      <c r="D502" t="s">
        <v>69</v>
      </c>
      <c r="E502" t="s">
        <v>71</v>
      </c>
      <c r="F502" t="s">
        <v>171</v>
      </c>
      <c r="G502" t="s">
        <v>172</v>
      </c>
      <c r="H502" t="s">
        <v>10</v>
      </c>
      <c r="I502" s="41">
        <v>59.35</v>
      </c>
      <c r="J502" s="40">
        <f>I502*(1-IFERROR(VLOOKUP(H502,Rabat!$D$10:$E$41,2,FALSE),0))</f>
        <v>59.35</v>
      </c>
      <c r="K502">
        <v>0.3</v>
      </c>
      <c r="L502" t="s">
        <v>1789</v>
      </c>
      <c r="M502" t="s">
        <v>2304</v>
      </c>
      <c r="N502" t="s">
        <v>2298</v>
      </c>
      <c r="O502" t="s">
        <v>1776</v>
      </c>
      <c r="P502">
        <v>12</v>
      </c>
      <c r="Q502">
        <v>240</v>
      </c>
      <c r="R502" t="s">
        <v>1777</v>
      </c>
      <c r="S502" s="42" t="str">
        <f>HYPERLINK("https://sklep.kobi.pl/produkt/lampka-biurkowa-smieszek-kx3087-zolta")</f>
        <v>https://sklep.kobi.pl/produkt/lampka-biurkowa-smieszek-kx3087-zolta</v>
      </c>
      <c r="T502" t="s">
        <v>71</v>
      </c>
      <c r="U502">
        <v>0.66400000000000003</v>
      </c>
      <c r="V502">
        <v>0.876</v>
      </c>
      <c r="W502">
        <v>140</v>
      </c>
      <c r="X502">
        <v>135</v>
      </c>
      <c r="Y502">
        <v>206</v>
      </c>
      <c r="Z502" t="s">
        <v>1778</v>
      </c>
      <c r="AA502"/>
    </row>
    <row r="503" spans="1:27" ht="15" x14ac:dyDescent="0.25">
      <c r="A503" t="s">
        <v>9</v>
      </c>
      <c r="B503" t="s">
        <v>166</v>
      </c>
      <c r="C503"/>
      <c r="D503" t="s">
        <v>69</v>
      </c>
      <c r="E503" t="s">
        <v>71</v>
      </c>
      <c r="F503" t="s">
        <v>1323</v>
      </c>
      <c r="G503" t="s">
        <v>1324</v>
      </c>
      <c r="H503" t="s">
        <v>10</v>
      </c>
      <c r="I503" s="41">
        <v>143.25</v>
      </c>
      <c r="J503" s="40">
        <f>I503*(1-IFERROR(VLOOKUP(H503,Rabat!$D$10:$E$41,2,FALSE),0))</f>
        <v>143.25</v>
      </c>
      <c r="K503">
        <v>0.39</v>
      </c>
      <c r="L503" t="s">
        <v>1789</v>
      </c>
      <c r="M503" t="s">
        <v>2305</v>
      </c>
      <c r="N503" t="s">
        <v>2298</v>
      </c>
      <c r="O503" t="s">
        <v>1776</v>
      </c>
      <c r="P503">
        <v>8</v>
      </c>
      <c r="Q503">
        <v>96</v>
      </c>
      <c r="R503" t="s">
        <v>1777</v>
      </c>
      <c r="S503" s="42" t="str">
        <f>HYPERLINK("https://sklep.kobi.pl/produkt/lampka-biurkowa-rolig-biala")</f>
        <v>https://sklep.kobi.pl/produkt/lampka-biurkowa-rolig-biala</v>
      </c>
      <c r="T503" t="s">
        <v>71</v>
      </c>
      <c r="U503">
        <v>0.86</v>
      </c>
      <c r="V503">
        <v>1.05</v>
      </c>
      <c r="W503">
        <v>390</v>
      </c>
      <c r="X503">
        <v>160</v>
      </c>
      <c r="Y503">
        <v>160</v>
      </c>
      <c r="Z503" t="s">
        <v>1778</v>
      </c>
      <c r="AA503"/>
    </row>
    <row r="504" spans="1:27" ht="15" x14ac:dyDescent="0.25">
      <c r="A504" t="s">
        <v>9</v>
      </c>
      <c r="B504" t="s">
        <v>166</v>
      </c>
      <c r="C504"/>
      <c r="D504" t="s">
        <v>69</v>
      </c>
      <c r="E504" t="s">
        <v>71</v>
      </c>
      <c r="F504" t="s">
        <v>1321</v>
      </c>
      <c r="G504" t="s">
        <v>1322</v>
      </c>
      <c r="H504" t="s">
        <v>10</v>
      </c>
      <c r="I504" s="41">
        <v>143.25</v>
      </c>
      <c r="J504" s="40">
        <f>I504*(1-IFERROR(VLOOKUP(H504,Rabat!$D$10:$E$41,2,FALSE),0))</f>
        <v>143.25</v>
      </c>
      <c r="K504">
        <v>0.39</v>
      </c>
      <c r="L504" t="s">
        <v>1789</v>
      </c>
      <c r="M504" t="s">
        <v>2306</v>
      </c>
      <c r="N504" t="s">
        <v>2298</v>
      </c>
      <c r="O504" t="s">
        <v>1776</v>
      </c>
      <c r="P504">
        <v>8</v>
      </c>
      <c r="Q504">
        <v>96</v>
      </c>
      <c r="R504" t="s">
        <v>1777</v>
      </c>
      <c r="S504" s="42" t="str">
        <f>HYPERLINK("https://sklep.kobi.pl/produkt/lampka-biurkowa-rolig-czarna")</f>
        <v>https://sklep.kobi.pl/produkt/lampka-biurkowa-rolig-czarna</v>
      </c>
      <c r="T504" t="s">
        <v>71</v>
      </c>
      <c r="U504">
        <v>0.86</v>
      </c>
      <c r="V504">
        <v>1.05</v>
      </c>
      <c r="W504">
        <v>390</v>
      </c>
      <c r="X504">
        <v>160</v>
      </c>
      <c r="Y504">
        <v>160</v>
      </c>
      <c r="Z504" t="s">
        <v>1778</v>
      </c>
      <c r="AA504"/>
    </row>
    <row r="505" spans="1:27" ht="15" x14ac:dyDescent="0.25">
      <c r="A505" t="s">
        <v>9</v>
      </c>
      <c r="B505" t="s">
        <v>166</v>
      </c>
      <c r="C505"/>
      <c r="D505" t="s">
        <v>69</v>
      </c>
      <c r="E505" t="s">
        <v>1289</v>
      </c>
      <c r="F505" t="s">
        <v>1331</v>
      </c>
      <c r="G505" t="s">
        <v>1332</v>
      </c>
      <c r="H505" t="s">
        <v>10</v>
      </c>
      <c r="I505" s="41">
        <v>168</v>
      </c>
      <c r="J505" s="40">
        <f>I505*(1-IFERROR(VLOOKUP(H505,Rabat!$D$10:$E$41,2,FALSE),0))</f>
        <v>168</v>
      </c>
      <c r="K505">
        <v>0.67</v>
      </c>
      <c r="L505" t="s">
        <v>1789</v>
      </c>
      <c r="M505" t="s">
        <v>2307</v>
      </c>
      <c r="N505" t="s">
        <v>2308</v>
      </c>
      <c r="O505" t="s">
        <v>1776</v>
      </c>
      <c r="P505">
        <v>12</v>
      </c>
      <c r="Q505">
        <v>0</v>
      </c>
      <c r="R505" t="s">
        <v>1777</v>
      </c>
      <c r="S505" s="42" t="str">
        <f>HYPERLINK("https://sklep.kobi.pl/produkt/led-lizbona-35w-biala")</f>
        <v>https://sklep.kobi.pl/produkt/led-lizbona-35w-biala</v>
      </c>
      <c r="T505" t="s">
        <v>71</v>
      </c>
      <c r="U505">
        <v>0.79</v>
      </c>
      <c r="V505">
        <v>0</v>
      </c>
      <c r="W505">
        <v>0</v>
      </c>
      <c r="X505">
        <v>0</v>
      </c>
      <c r="Y505">
        <v>0</v>
      </c>
      <c r="Z505" t="s">
        <v>1778</v>
      </c>
      <c r="AA505"/>
    </row>
    <row r="506" spans="1:27" ht="15" x14ac:dyDescent="0.25">
      <c r="A506" t="s">
        <v>9</v>
      </c>
      <c r="B506" t="s">
        <v>166</v>
      </c>
      <c r="C506"/>
      <c r="D506" t="s">
        <v>69</v>
      </c>
      <c r="E506" t="s">
        <v>1289</v>
      </c>
      <c r="F506" t="s">
        <v>1329</v>
      </c>
      <c r="G506" t="s">
        <v>1330</v>
      </c>
      <c r="H506" t="s">
        <v>10</v>
      </c>
      <c r="I506" s="41">
        <v>168</v>
      </c>
      <c r="J506" s="40">
        <f>I506*(1-IFERROR(VLOOKUP(H506,Rabat!$D$10:$E$41,2,FALSE),0))</f>
        <v>168</v>
      </c>
      <c r="K506">
        <v>0.67</v>
      </c>
      <c r="L506" t="s">
        <v>1789</v>
      </c>
      <c r="M506" t="s">
        <v>2309</v>
      </c>
      <c r="N506" t="s">
        <v>2308</v>
      </c>
      <c r="O506" t="s">
        <v>1776</v>
      </c>
      <c r="P506">
        <v>12</v>
      </c>
      <c r="Q506">
        <v>0</v>
      </c>
      <c r="R506" t="s">
        <v>1777</v>
      </c>
      <c r="S506" s="42" t="str">
        <f>HYPERLINK("https://sklep.kobi.pl/produkt/led-lizbona-35w-czarna")</f>
        <v>https://sklep.kobi.pl/produkt/led-lizbona-35w-czarna</v>
      </c>
      <c r="T506" t="s">
        <v>71</v>
      </c>
      <c r="U506">
        <v>0.79</v>
      </c>
      <c r="V506">
        <v>0</v>
      </c>
      <c r="W506">
        <v>0</v>
      </c>
      <c r="X506">
        <v>0</v>
      </c>
      <c r="Y506">
        <v>0</v>
      </c>
      <c r="Z506" t="s">
        <v>1778</v>
      </c>
      <c r="AA506"/>
    </row>
    <row r="507" spans="1:27" ht="15" x14ac:dyDescent="0.25">
      <c r="A507" t="s">
        <v>9</v>
      </c>
      <c r="B507" t="s">
        <v>1706</v>
      </c>
      <c r="C507"/>
      <c r="D507" t="s">
        <v>69</v>
      </c>
      <c r="E507" t="s">
        <v>71</v>
      </c>
      <c r="F507" t="s">
        <v>1719</v>
      </c>
      <c r="G507" t="s">
        <v>1720</v>
      </c>
      <c r="H507" t="s">
        <v>67</v>
      </c>
      <c r="I507" s="41">
        <v>276.20999999999998</v>
      </c>
      <c r="J507" s="40">
        <f>I507*(1-IFERROR(VLOOKUP(H507,Rabat!$D$10:$E$41,2,FALSE),0))</f>
        <v>276.20999999999998</v>
      </c>
      <c r="K507">
        <v>0.45</v>
      </c>
      <c r="L507" t="s">
        <v>1789</v>
      </c>
      <c r="M507" t="s">
        <v>2310</v>
      </c>
      <c r="N507" t="s">
        <v>2311</v>
      </c>
      <c r="O507" t="s">
        <v>1776</v>
      </c>
      <c r="P507">
        <v>1</v>
      </c>
      <c r="Q507">
        <v>36</v>
      </c>
      <c r="R507" t="s">
        <v>1777</v>
      </c>
      <c r="S507" s="42" t="str">
        <f>HYPERLINK("https://sklep.kobi.pl/produkt/boho-baku-m")</f>
        <v>https://sklep.kobi.pl/produkt/boho-baku-m</v>
      </c>
      <c r="T507" t="s">
        <v>71</v>
      </c>
      <c r="U507">
        <v>0.99</v>
      </c>
      <c r="V507">
        <v>0</v>
      </c>
      <c r="W507">
        <v>0</v>
      </c>
      <c r="X507">
        <v>0</v>
      </c>
      <c r="Y507">
        <v>0</v>
      </c>
      <c r="Z507" t="s">
        <v>1778</v>
      </c>
      <c r="AA507"/>
    </row>
    <row r="508" spans="1:27" ht="15" x14ac:dyDescent="0.25">
      <c r="A508" t="s">
        <v>9</v>
      </c>
      <c r="B508" t="s">
        <v>1706</v>
      </c>
      <c r="C508"/>
      <c r="D508" t="s">
        <v>69</v>
      </c>
      <c r="E508" t="s">
        <v>71</v>
      </c>
      <c r="F508" t="s">
        <v>1717</v>
      </c>
      <c r="G508" t="s">
        <v>1718</v>
      </c>
      <c r="H508" t="s">
        <v>67</v>
      </c>
      <c r="I508" s="41">
        <v>215.38</v>
      </c>
      <c r="J508" s="40">
        <f>I508*(1-IFERROR(VLOOKUP(H508,Rabat!$D$10:$E$41,2,FALSE),0))</f>
        <v>215.38</v>
      </c>
      <c r="K508">
        <v>0.36</v>
      </c>
      <c r="L508" t="s">
        <v>1789</v>
      </c>
      <c r="M508" t="s">
        <v>2312</v>
      </c>
      <c r="N508" t="s">
        <v>2311</v>
      </c>
      <c r="O508" t="s">
        <v>1776</v>
      </c>
      <c r="P508">
        <v>1</v>
      </c>
      <c r="Q508">
        <v>64</v>
      </c>
      <c r="R508" t="s">
        <v>1777</v>
      </c>
      <c r="S508" s="42" t="str">
        <f>HYPERLINK("https://sklep.kobi.pl/produkt/boho-baku-s")</f>
        <v>https://sklep.kobi.pl/produkt/boho-baku-s</v>
      </c>
      <c r="T508" t="s">
        <v>71</v>
      </c>
      <c r="U508">
        <v>0.8</v>
      </c>
      <c r="V508">
        <v>1</v>
      </c>
      <c r="W508">
        <v>0</v>
      </c>
      <c r="X508">
        <v>0</v>
      </c>
      <c r="Y508">
        <v>0</v>
      </c>
      <c r="Z508" t="s">
        <v>1778</v>
      </c>
      <c r="AA508"/>
    </row>
    <row r="509" spans="1:27" ht="15" x14ac:dyDescent="0.25">
      <c r="A509" t="s">
        <v>9</v>
      </c>
      <c r="B509" t="s">
        <v>1706</v>
      </c>
      <c r="C509"/>
      <c r="D509" t="s">
        <v>69</v>
      </c>
      <c r="E509" t="s">
        <v>71</v>
      </c>
      <c r="F509" t="s">
        <v>1725</v>
      </c>
      <c r="G509" t="s">
        <v>1726</v>
      </c>
      <c r="H509" t="s">
        <v>67</v>
      </c>
      <c r="I509" s="41">
        <v>270.63</v>
      </c>
      <c r="J509" s="40">
        <f>I509*(1-IFERROR(VLOOKUP(H509,Rabat!$D$10:$E$41,2,FALSE),0))</f>
        <v>270.63</v>
      </c>
      <c r="K509">
        <v>0.36</v>
      </c>
      <c r="L509" t="s">
        <v>1789</v>
      </c>
      <c r="M509" t="s">
        <v>2313</v>
      </c>
      <c r="N509" t="s">
        <v>2311</v>
      </c>
      <c r="O509" t="s">
        <v>1776</v>
      </c>
      <c r="P509">
        <v>1</v>
      </c>
      <c r="Q509">
        <v>30</v>
      </c>
      <c r="R509" t="s">
        <v>1777</v>
      </c>
      <c r="S509" s="42" t="str">
        <f>HYPERLINK("https://sklep.kobi.pl/produkt/boho-beirut")</f>
        <v>https://sklep.kobi.pl/produkt/boho-beirut</v>
      </c>
      <c r="T509" t="s">
        <v>71</v>
      </c>
      <c r="U509">
        <v>0.8</v>
      </c>
      <c r="V509">
        <v>0</v>
      </c>
      <c r="W509">
        <v>0</v>
      </c>
      <c r="X509">
        <v>0</v>
      </c>
      <c r="Y509">
        <v>0</v>
      </c>
      <c r="Z509" t="s">
        <v>1778</v>
      </c>
      <c r="AA509"/>
    </row>
    <row r="510" spans="1:27" ht="15" x14ac:dyDescent="0.25">
      <c r="A510" t="s">
        <v>9</v>
      </c>
      <c r="B510" t="s">
        <v>1706</v>
      </c>
      <c r="C510"/>
      <c r="D510" t="s">
        <v>69</v>
      </c>
      <c r="E510" t="s">
        <v>71</v>
      </c>
      <c r="F510" t="s">
        <v>1711</v>
      </c>
      <c r="G510" t="s">
        <v>1712</v>
      </c>
      <c r="H510" t="s">
        <v>67</v>
      </c>
      <c r="I510" s="41">
        <v>213.21</v>
      </c>
      <c r="J510" s="40">
        <f>I510*(1-IFERROR(VLOOKUP(H510,Rabat!$D$10:$E$41,2,FALSE),0))</f>
        <v>213.21</v>
      </c>
      <c r="K510">
        <v>0.28000000000000003</v>
      </c>
      <c r="L510" t="s">
        <v>1789</v>
      </c>
      <c r="M510" t="s">
        <v>2314</v>
      </c>
      <c r="N510" t="s">
        <v>2311</v>
      </c>
      <c r="O510" t="s">
        <v>1776</v>
      </c>
      <c r="P510">
        <v>1</v>
      </c>
      <c r="Q510">
        <v>60</v>
      </c>
      <c r="R510" t="s">
        <v>1777</v>
      </c>
      <c r="S510" s="42" t="str">
        <f>HYPERLINK("https://sklep.kobi.pl/produkt/boho-bern")</f>
        <v>https://sklep.kobi.pl/produkt/boho-bern</v>
      </c>
      <c r="T510" t="s">
        <v>71</v>
      </c>
      <c r="U510">
        <v>0.61</v>
      </c>
      <c r="V510">
        <v>0.81</v>
      </c>
      <c r="W510">
        <v>0</v>
      </c>
      <c r="X510">
        <v>0</v>
      </c>
      <c r="Y510">
        <v>0</v>
      </c>
      <c r="Z510" t="s">
        <v>1778</v>
      </c>
      <c r="AA510"/>
    </row>
    <row r="511" spans="1:27" ht="15" x14ac:dyDescent="0.25">
      <c r="A511" t="s">
        <v>9</v>
      </c>
      <c r="B511" t="s">
        <v>1706</v>
      </c>
      <c r="C511"/>
      <c r="D511" t="s">
        <v>69</v>
      </c>
      <c r="E511" t="s">
        <v>71</v>
      </c>
      <c r="F511" t="s">
        <v>1723</v>
      </c>
      <c r="G511" t="s">
        <v>1724</v>
      </c>
      <c r="H511" t="s">
        <v>67</v>
      </c>
      <c r="I511" s="41">
        <v>252.5</v>
      </c>
      <c r="J511" s="40">
        <f>I511*(1-IFERROR(VLOOKUP(H511,Rabat!$D$10:$E$41,2,FALSE),0))</f>
        <v>252.5</v>
      </c>
      <c r="K511">
        <v>0.4</v>
      </c>
      <c r="L511" t="s">
        <v>1789</v>
      </c>
      <c r="M511" t="s">
        <v>2315</v>
      </c>
      <c r="N511" t="s">
        <v>2311</v>
      </c>
      <c r="O511" t="s">
        <v>1776</v>
      </c>
      <c r="P511">
        <v>1</v>
      </c>
      <c r="Q511">
        <v>0</v>
      </c>
      <c r="R511" t="s">
        <v>1777</v>
      </c>
      <c r="S511" s="42" t="str">
        <f>HYPERLINK("https://sklep.kobi.pl/produkt/boho-bimini")</f>
        <v>https://sklep.kobi.pl/produkt/boho-bimini</v>
      </c>
      <c r="T511" t="s">
        <v>71</v>
      </c>
      <c r="U511">
        <v>0.88</v>
      </c>
      <c r="V511">
        <v>0</v>
      </c>
      <c r="W511">
        <v>0</v>
      </c>
      <c r="X511">
        <v>0</v>
      </c>
      <c r="Y511">
        <v>0</v>
      </c>
      <c r="Z511" t="s">
        <v>1778</v>
      </c>
      <c r="AA511"/>
    </row>
    <row r="512" spans="1:27" ht="15" x14ac:dyDescent="0.25">
      <c r="A512" t="s">
        <v>9</v>
      </c>
      <c r="B512" t="s">
        <v>1706</v>
      </c>
      <c r="C512"/>
      <c r="D512" t="s">
        <v>69</v>
      </c>
      <c r="E512" t="s">
        <v>71</v>
      </c>
      <c r="F512" t="s">
        <v>1721</v>
      </c>
      <c r="G512" t="s">
        <v>1722</v>
      </c>
      <c r="H512" t="s">
        <v>67</v>
      </c>
      <c r="I512" s="41">
        <v>327.20999999999998</v>
      </c>
      <c r="J512" s="40">
        <f>I512*(1-IFERROR(VLOOKUP(H512,Rabat!$D$10:$E$41,2,FALSE),0))</f>
        <v>327.20999999999998</v>
      </c>
      <c r="K512">
        <v>0.46</v>
      </c>
      <c r="L512" t="s">
        <v>1789</v>
      </c>
      <c r="M512" t="s">
        <v>2316</v>
      </c>
      <c r="N512" t="s">
        <v>2311</v>
      </c>
      <c r="O512" t="s">
        <v>1776</v>
      </c>
      <c r="P512">
        <v>1</v>
      </c>
      <c r="Q512">
        <v>30</v>
      </c>
      <c r="R512" t="s">
        <v>1777</v>
      </c>
      <c r="S512" s="42" t="str">
        <f>HYPERLINK("https://sklep.kobi.pl/produkt/boho-bonn")</f>
        <v>https://sklep.kobi.pl/produkt/boho-bonn</v>
      </c>
      <c r="T512" t="s">
        <v>71</v>
      </c>
      <c r="U512">
        <v>1</v>
      </c>
      <c r="V512">
        <v>0</v>
      </c>
      <c r="W512">
        <v>0</v>
      </c>
      <c r="X512">
        <v>0</v>
      </c>
      <c r="Y512">
        <v>0</v>
      </c>
      <c r="Z512" t="s">
        <v>1778</v>
      </c>
      <c r="AA512"/>
    </row>
    <row r="513" spans="1:27" ht="15" x14ac:dyDescent="0.25">
      <c r="A513" t="s">
        <v>9</v>
      </c>
      <c r="B513" t="s">
        <v>1706</v>
      </c>
      <c r="C513"/>
      <c r="D513" t="s">
        <v>69</v>
      </c>
      <c r="E513" t="s">
        <v>71</v>
      </c>
      <c r="F513" t="s">
        <v>1709</v>
      </c>
      <c r="G513" t="s">
        <v>1710</v>
      </c>
      <c r="H513" t="s">
        <v>67</v>
      </c>
      <c r="I513" s="41">
        <v>207.79</v>
      </c>
      <c r="J513" s="40">
        <f>I513*(1-IFERROR(VLOOKUP(H513,Rabat!$D$10:$E$41,2,FALSE),0))</f>
        <v>207.79</v>
      </c>
      <c r="K513">
        <v>0.23</v>
      </c>
      <c r="L513" t="s">
        <v>1789</v>
      </c>
      <c r="M513" t="s">
        <v>2317</v>
      </c>
      <c r="N513" t="s">
        <v>2311</v>
      </c>
      <c r="O513" t="s">
        <v>1776</v>
      </c>
      <c r="P513">
        <v>1</v>
      </c>
      <c r="Q513">
        <v>0</v>
      </c>
      <c r="R513" t="s">
        <v>1777</v>
      </c>
      <c r="S513" s="42" t="str">
        <f>HYPERLINK("https://sklep.kobi.pl/produkt/boho-braga")</f>
        <v>https://sklep.kobi.pl/produkt/boho-braga</v>
      </c>
      <c r="T513" t="s">
        <v>71</v>
      </c>
      <c r="U513">
        <v>0.5</v>
      </c>
      <c r="V513">
        <v>0</v>
      </c>
      <c r="W513">
        <v>0</v>
      </c>
      <c r="X513">
        <v>0</v>
      </c>
      <c r="Y513">
        <v>0</v>
      </c>
      <c r="Z513" t="s">
        <v>1778</v>
      </c>
      <c r="AA513"/>
    </row>
    <row r="514" spans="1:27" ht="15" x14ac:dyDescent="0.25">
      <c r="A514" t="s">
        <v>9</v>
      </c>
      <c r="B514" t="s">
        <v>1706</v>
      </c>
      <c r="C514"/>
      <c r="D514" t="s">
        <v>69</v>
      </c>
      <c r="E514" t="s">
        <v>71</v>
      </c>
      <c r="F514" t="s">
        <v>1715</v>
      </c>
      <c r="G514" t="s">
        <v>1716</v>
      </c>
      <c r="H514" t="s">
        <v>67</v>
      </c>
      <c r="I514" s="41">
        <v>345.08</v>
      </c>
      <c r="J514" s="40">
        <f>I514*(1-IFERROR(VLOOKUP(H514,Rabat!$D$10:$E$41,2,FALSE),0))</f>
        <v>345.08</v>
      </c>
      <c r="K514">
        <v>0.55000000000000004</v>
      </c>
      <c r="L514" t="s">
        <v>1789</v>
      </c>
      <c r="M514" t="s">
        <v>2318</v>
      </c>
      <c r="N514" t="s">
        <v>2311</v>
      </c>
      <c r="O514" t="s">
        <v>1776</v>
      </c>
      <c r="P514">
        <v>1</v>
      </c>
      <c r="Q514">
        <v>32</v>
      </c>
      <c r="R514" t="s">
        <v>1777</v>
      </c>
      <c r="S514" s="42" t="str">
        <f>HYPERLINK("https://sklep.kobi.pl/produkt/boho-brugia-m")</f>
        <v>https://sklep.kobi.pl/produkt/boho-brugia-m</v>
      </c>
      <c r="T514" t="s">
        <v>71</v>
      </c>
      <c r="U514">
        <v>1.2</v>
      </c>
      <c r="V514">
        <v>1.4</v>
      </c>
      <c r="W514">
        <v>0</v>
      </c>
      <c r="X514">
        <v>0</v>
      </c>
      <c r="Y514">
        <v>0</v>
      </c>
      <c r="Z514" t="s">
        <v>1778</v>
      </c>
      <c r="AA514"/>
    </row>
    <row r="515" spans="1:27" ht="15" x14ac:dyDescent="0.25">
      <c r="A515" t="s">
        <v>9</v>
      </c>
      <c r="B515" t="s">
        <v>1706</v>
      </c>
      <c r="C515"/>
      <c r="D515" t="s">
        <v>69</v>
      </c>
      <c r="E515" t="s">
        <v>71</v>
      </c>
      <c r="F515" t="s">
        <v>1713</v>
      </c>
      <c r="G515" t="s">
        <v>1714</v>
      </c>
      <c r="H515" t="s">
        <v>67</v>
      </c>
      <c r="I515" s="41">
        <v>254.75</v>
      </c>
      <c r="J515" s="40">
        <f>I515*(1-IFERROR(VLOOKUP(H515,Rabat!$D$10:$E$41,2,FALSE),0))</f>
        <v>254.75</v>
      </c>
      <c r="K515">
        <v>0.41</v>
      </c>
      <c r="L515" t="s">
        <v>1789</v>
      </c>
      <c r="M515" t="s">
        <v>2319</v>
      </c>
      <c r="N515" t="s">
        <v>2311</v>
      </c>
      <c r="O515" t="s">
        <v>1776</v>
      </c>
      <c r="P515">
        <v>1</v>
      </c>
      <c r="Q515">
        <v>0</v>
      </c>
      <c r="R515" t="s">
        <v>1777</v>
      </c>
      <c r="S515" s="42" t="str">
        <f>HYPERLINK("https://sklep.kobi.pl/produkt/boho-brugia-s")</f>
        <v>https://sklep.kobi.pl/produkt/boho-brugia-s</v>
      </c>
      <c r="T515" t="s">
        <v>71</v>
      </c>
      <c r="U515">
        <v>0.9</v>
      </c>
      <c r="V515">
        <v>1.1000000000000001</v>
      </c>
      <c r="W515">
        <v>0</v>
      </c>
      <c r="X515">
        <v>0</v>
      </c>
      <c r="Y515">
        <v>0</v>
      </c>
      <c r="Z515" t="s">
        <v>1778</v>
      </c>
      <c r="AA515"/>
    </row>
    <row r="516" spans="1:27" ht="15" x14ac:dyDescent="0.25">
      <c r="A516" t="s">
        <v>9</v>
      </c>
      <c r="B516" t="s">
        <v>1706</v>
      </c>
      <c r="C516"/>
      <c r="D516" t="s">
        <v>69</v>
      </c>
      <c r="E516" t="s">
        <v>71</v>
      </c>
      <c r="F516" t="s">
        <v>1729</v>
      </c>
      <c r="G516" t="s">
        <v>1730</v>
      </c>
      <c r="H516" t="s">
        <v>67</v>
      </c>
      <c r="I516" s="41">
        <v>321.58</v>
      </c>
      <c r="J516" s="40">
        <f>I516*(1-IFERROR(VLOOKUP(H516,Rabat!$D$10:$E$41,2,FALSE),0))</f>
        <v>321.58</v>
      </c>
      <c r="K516">
        <v>0.31</v>
      </c>
      <c r="L516" t="s">
        <v>1789</v>
      </c>
      <c r="M516" t="s">
        <v>2320</v>
      </c>
      <c r="N516" t="s">
        <v>2311</v>
      </c>
      <c r="O516" t="s">
        <v>1776</v>
      </c>
      <c r="P516">
        <v>1</v>
      </c>
      <c r="Q516">
        <v>0</v>
      </c>
      <c r="R516" t="s">
        <v>1777</v>
      </c>
      <c r="S516" s="42" t="str">
        <f>HYPERLINK("https://sklep.kobi.pl/produkt/boho-rango")</f>
        <v>https://sklep.kobi.pl/produkt/boho-rango</v>
      </c>
      <c r="T516" t="s">
        <v>71</v>
      </c>
      <c r="U516">
        <v>0.69</v>
      </c>
      <c r="V516">
        <v>0</v>
      </c>
      <c r="W516">
        <v>0</v>
      </c>
      <c r="X516">
        <v>0</v>
      </c>
      <c r="Y516">
        <v>0</v>
      </c>
      <c r="Z516" t="s">
        <v>1778</v>
      </c>
      <c r="AA516"/>
    </row>
    <row r="517" spans="1:27" ht="15" x14ac:dyDescent="0.25">
      <c r="A517" t="s">
        <v>9</v>
      </c>
      <c r="B517" t="s">
        <v>1706</v>
      </c>
      <c r="C517"/>
      <c r="D517" t="s">
        <v>69</v>
      </c>
      <c r="E517" t="s">
        <v>71</v>
      </c>
      <c r="F517" t="s">
        <v>1737</v>
      </c>
      <c r="G517" t="s">
        <v>1738</v>
      </c>
      <c r="H517" t="s">
        <v>67</v>
      </c>
      <c r="I517" s="41">
        <v>212.5</v>
      </c>
      <c r="J517" s="40">
        <f>I517*(1-IFERROR(VLOOKUP(H517,Rabat!$D$10:$E$41,2,FALSE),0))</f>
        <v>212.5</v>
      </c>
      <c r="K517">
        <v>0.28000000000000003</v>
      </c>
      <c r="L517" t="s">
        <v>1789</v>
      </c>
      <c r="M517" t="s">
        <v>2321</v>
      </c>
      <c r="N517" t="s">
        <v>2311</v>
      </c>
      <c r="O517" t="s">
        <v>1776</v>
      </c>
      <c r="P517">
        <v>1</v>
      </c>
      <c r="Q517">
        <v>0</v>
      </c>
      <c r="R517" t="s">
        <v>1777</v>
      </c>
      <c r="S517" s="42" t="str">
        <f>HYPERLINK("https://sklep.kobi.pl/produkt/boho-rennes")</f>
        <v>https://sklep.kobi.pl/produkt/boho-rennes</v>
      </c>
      <c r="T517" t="s">
        <v>71</v>
      </c>
      <c r="U517">
        <v>0.55000000000000004</v>
      </c>
      <c r="V517">
        <v>0.75</v>
      </c>
      <c r="W517">
        <v>0</v>
      </c>
      <c r="X517">
        <v>0</v>
      </c>
      <c r="Y517">
        <v>0</v>
      </c>
      <c r="Z517" t="s">
        <v>1778</v>
      </c>
      <c r="AA517"/>
    </row>
    <row r="518" spans="1:27" ht="15" x14ac:dyDescent="0.25">
      <c r="A518" t="s">
        <v>9</v>
      </c>
      <c r="B518" t="s">
        <v>1706</v>
      </c>
      <c r="C518"/>
      <c r="D518" t="s">
        <v>69</v>
      </c>
      <c r="E518" t="s">
        <v>71</v>
      </c>
      <c r="F518" t="s">
        <v>1707</v>
      </c>
      <c r="G518" t="s">
        <v>1708</v>
      </c>
      <c r="H518" t="s">
        <v>67</v>
      </c>
      <c r="I518" s="41">
        <v>187.88</v>
      </c>
      <c r="J518" s="40">
        <f>I518*(1-IFERROR(VLOOKUP(H518,Rabat!$D$10:$E$41,2,FALSE),0))</f>
        <v>187.88</v>
      </c>
      <c r="K518">
        <v>0.27</v>
      </c>
      <c r="L518" t="s">
        <v>1789</v>
      </c>
      <c r="M518" t="s">
        <v>2322</v>
      </c>
      <c r="N518" t="s">
        <v>2311</v>
      </c>
      <c r="O518" t="s">
        <v>1776</v>
      </c>
      <c r="P518">
        <v>1</v>
      </c>
      <c r="Q518">
        <v>42</v>
      </c>
      <c r="R518" t="s">
        <v>1777</v>
      </c>
      <c r="S518" s="42" t="str">
        <f>HYPERLINK("https://sklep.kobi.pl/produkt/boho-riga")</f>
        <v>https://sklep.kobi.pl/produkt/boho-riga</v>
      </c>
      <c r="T518" t="s">
        <v>71</v>
      </c>
      <c r="U518">
        <v>0.6</v>
      </c>
      <c r="V518">
        <v>0</v>
      </c>
      <c r="W518">
        <v>0</v>
      </c>
      <c r="X518">
        <v>0</v>
      </c>
      <c r="Y518">
        <v>0</v>
      </c>
      <c r="Z518" t="s">
        <v>1778</v>
      </c>
      <c r="AA518"/>
    </row>
    <row r="519" spans="1:27" ht="15" x14ac:dyDescent="0.25">
      <c r="A519" t="s">
        <v>9</v>
      </c>
      <c r="B519" t="s">
        <v>1706</v>
      </c>
      <c r="C519"/>
      <c r="D519" t="s">
        <v>69</v>
      </c>
      <c r="E519" t="s">
        <v>71</v>
      </c>
      <c r="F519" t="s">
        <v>1739</v>
      </c>
      <c r="G519" t="s">
        <v>1740</v>
      </c>
      <c r="H519" t="s">
        <v>67</v>
      </c>
      <c r="I519" s="41">
        <v>172.5</v>
      </c>
      <c r="J519" s="40">
        <f>I519*(1-IFERROR(VLOOKUP(H519,Rabat!$D$10:$E$41,2,FALSE),0))</f>
        <v>172.5</v>
      </c>
      <c r="K519">
        <v>0.2</v>
      </c>
      <c r="L519" t="s">
        <v>1789</v>
      </c>
      <c r="M519" t="s">
        <v>2323</v>
      </c>
      <c r="N519" t="s">
        <v>2311</v>
      </c>
      <c r="O519" t="s">
        <v>1776</v>
      </c>
      <c r="P519">
        <v>1</v>
      </c>
      <c r="Q519">
        <v>0</v>
      </c>
      <c r="R519" t="s">
        <v>1777</v>
      </c>
      <c r="S519" s="42" t="str">
        <f>HYPERLINK("https://sklep.kobi.pl/produkt/boho-ronda")</f>
        <v>https://sklep.kobi.pl/produkt/boho-ronda</v>
      </c>
      <c r="T519" t="s">
        <v>71</v>
      </c>
      <c r="U519">
        <v>0.45</v>
      </c>
      <c r="V519">
        <v>0</v>
      </c>
      <c r="W519">
        <v>0</v>
      </c>
      <c r="X519">
        <v>0</v>
      </c>
      <c r="Y519">
        <v>0</v>
      </c>
      <c r="Z519" t="s">
        <v>1778</v>
      </c>
      <c r="AA519"/>
    </row>
    <row r="520" spans="1:27" ht="15" x14ac:dyDescent="0.25">
      <c r="A520" t="s">
        <v>9</v>
      </c>
      <c r="B520" t="s">
        <v>1706</v>
      </c>
      <c r="C520"/>
      <c r="D520" t="s">
        <v>69</v>
      </c>
      <c r="E520" t="s">
        <v>71</v>
      </c>
      <c r="F520" t="s">
        <v>1735</v>
      </c>
      <c r="G520" t="s">
        <v>1736</v>
      </c>
      <c r="H520" t="s">
        <v>67</v>
      </c>
      <c r="I520" s="41">
        <v>258.33</v>
      </c>
      <c r="J520" s="40">
        <f>I520*(1-IFERROR(VLOOKUP(H520,Rabat!$D$10:$E$41,2,FALSE),0))</f>
        <v>258.33</v>
      </c>
      <c r="K520">
        <v>0.32</v>
      </c>
      <c r="L520" t="s">
        <v>1789</v>
      </c>
      <c r="M520" t="s">
        <v>2324</v>
      </c>
      <c r="N520" t="s">
        <v>2311</v>
      </c>
      <c r="O520" t="s">
        <v>1776</v>
      </c>
      <c r="P520">
        <v>1</v>
      </c>
      <c r="Q520">
        <v>24</v>
      </c>
      <c r="R520" t="s">
        <v>1777</v>
      </c>
      <c r="S520" s="42" t="str">
        <f>HYPERLINK("https://sklep.kobi.pl/produkt/boho-sibu")</f>
        <v>https://sklep.kobi.pl/produkt/boho-sibu</v>
      </c>
      <c r="T520" t="s">
        <v>71</v>
      </c>
      <c r="U520">
        <v>0.71</v>
      </c>
      <c r="V520">
        <v>0</v>
      </c>
      <c r="W520">
        <v>0</v>
      </c>
      <c r="X520">
        <v>0</v>
      </c>
      <c r="Y520">
        <v>0</v>
      </c>
      <c r="Z520" t="s">
        <v>1778</v>
      </c>
      <c r="AA520"/>
    </row>
    <row r="521" spans="1:27" ht="15" x14ac:dyDescent="0.25">
      <c r="A521" t="s">
        <v>9</v>
      </c>
      <c r="B521" t="s">
        <v>1706</v>
      </c>
      <c r="C521"/>
      <c r="D521" t="s">
        <v>69</v>
      </c>
      <c r="E521" t="s">
        <v>71</v>
      </c>
      <c r="F521" t="s">
        <v>1733</v>
      </c>
      <c r="G521" t="s">
        <v>1734</v>
      </c>
      <c r="H521" t="s">
        <v>67</v>
      </c>
      <c r="I521" s="41">
        <v>289.04000000000002</v>
      </c>
      <c r="J521" s="40">
        <f>I521*(1-IFERROR(VLOOKUP(H521,Rabat!$D$10:$E$41,2,FALSE),0))</f>
        <v>289.04000000000002</v>
      </c>
      <c r="K521">
        <v>0.8</v>
      </c>
      <c r="L521" t="s">
        <v>1789</v>
      </c>
      <c r="M521" t="s">
        <v>2325</v>
      </c>
      <c r="N521" t="s">
        <v>2311</v>
      </c>
      <c r="O521" t="s">
        <v>1776</v>
      </c>
      <c r="P521">
        <v>1</v>
      </c>
      <c r="Q521">
        <v>0</v>
      </c>
      <c r="R521" t="s">
        <v>1777</v>
      </c>
      <c r="S521" s="42" t="str">
        <f>HYPERLINK("https://sklep.kobi.pl/produkt/boho-siena")</f>
        <v>https://sklep.kobi.pl/produkt/boho-siena</v>
      </c>
      <c r="T521" t="s">
        <v>71</v>
      </c>
      <c r="U521">
        <v>1.75</v>
      </c>
      <c r="V521">
        <v>0</v>
      </c>
      <c r="W521">
        <v>0</v>
      </c>
      <c r="X521">
        <v>0</v>
      </c>
      <c r="Y521">
        <v>0</v>
      </c>
      <c r="Z521" t="s">
        <v>1778</v>
      </c>
      <c r="AA521"/>
    </row>
    <row r="522" spans="1:27" ht="15" x14ac:dyDescent="0.25">
      <c r="A522" t="s">
        <v>9</v>
      </c>
      <c r="B522" t="s">
        <v>1706</v>
      </c>
      <c r="C522"/>
      <c r="D522" t="s">
        <v>69</v>
      </c>
      <c r="E522" t="s">
        <v>71</v>
      </c>
      <c r="F522" t="s">
        <v>1727</v>
      </c>
      <c r="G522" t="s">
        <v>1728</v>
      </c>
      <c r="H522" t="s">
        <v>67</v>
      </c>
      <c r="I522" s="41">
        <v>352.29</v>
      </c>
      <c r="J522" s="40">
        <f>I522*(1-IFERROR(VLOOKUP(H522,Rabat!$D$10:$E$41,2,FALSE),0))</f>
        <v>352.29</v>
      </c>
      <c r="K522">
        <v>0.4</v>
      </c>
      <c r="L522" t="s">
        <v>1789</v>
      </c>
      <c r="M522" t="s">
        <v>2326</v>
      </c>
      <c r="N522" t="s">
        <v>2311</v>
      </c>
      <c r="O522" t="s">
        <v>1776</v>
      </c>
      <c r="P522">
        <v>1</v>
      </c>
      <c r="Q522">
        <v>16</v>
      </c>
      <c r="R522" t="s">
        <v>1777</v>
      </c>
      <c r="S522" s="42" t="str">
        <f>HYPERLINK("https://sklep.kobi.pl/produkt/boho-verona")</f>
        <v>https://sklep.kobi.pl/produkt/boho-verona</v>
      </c>
      <c r="T522" t="s">
        <v>71</v>
      </c>
      <c r="U522">
        <v>0.89</v>
      </c>
      <c r="V522">
        <v>1.0900000000000001</v>
      </c>
      <c r="W522">
        <v>0</v>
      </c>
      <c r="X522">
        <v>0</v>
      </c>
      <c r="Y522">
        <v>0</v>
      </c>
      <c r="Z522" t="s">
        <v>1778</v>
      </c>
      <c r="AA522"/>
    </row>
    <row r="523" spans="1:27" ht="15" x14ac:dyDescent="0.25">
      <c r="A523" t="s">
        <v>9</v>
      </c>
      <c r="B523" t="s">
        <v>1706</v>
      </c>
      <c r="C523"/>
      <c r="D523" t="s">
        <v>69</v>
      </c>
      <c r="E523" t="s">
        <v>71</v>
      </c>
      <c r="F523" t="s">
        <v>1731</v>
      </c>
      <c r="G523" t="s">
        <v>1732</v>
      </c>
      <c r="H523" t="s">
        <v>67</v>
      </c>
      <c r="I523" s="41">
        <v>258.33</v>
      </c>
      <c r="J523" s="40">
        <f>I523*(1-IFERROR(VLOOKUP(H523,Rabat!$D$10:$E$41,2,FALSE),0))</f>
        <v>258.33</v>
      </c>
      <c r="K523">
        <v>0.36</v>
      </c>
      <c r="L523" t="s">
        <v>1789</v>
      </c>
      <c r="M523" t="s">
        <v>2327</v>
      </c>
      <c r="N523" t="s">
        <v>2311</v>
      </c>
      <c r="O523" t="s">
        <v>1776</v>
      </c>
      <c r="P523">
        <v>1</v>
      </c>
      <c r="Q523">
        <v>0</v>
      </c>
      <c r="R523" t="s">
        <v>1777</v>
      </c>
      <c r="S523" s="42" t="str">
        <f>HYPERLINK("https://sklep.kobi.pl/produkt/boho-vienna")</f>
        <v>https://sklep.kobi.pl/produkt/boho-vienna</v>
      </c>
      <c r="T523" t="s">
        <v>71</v>
      </c>
      <c r="U523">
        <v>0.79</v>
      </c>
      <c r="V523">
        <v>0</v>
      </c>
      <c r="W523">
        <v>0</v>
      </c>
      <c r="X523">
        <v>0</v>
      </c>
      <c r="Y523">
        <v>0</v>
      </c>
      <c r="Z523" t="s">
        <v>1778</v>
      </c>
      <c r="AA523"/>
    </row>
    <row r="524" spans="1:27" ht="15" x14ac:dyDescent="0.25">
      <c r="A524" t="s">
        <v>9</v>
      </c>
      <c r="B524" t="s">
        <v>275</v>
      </c>
      <c r="C524" t="s">
        <v>257</v>
      </c>
      <c r="D524" t="s">
        <v>69</v>
      </c>
      <c r="E524" t="s">
        <v>71</v>
      </c>
      <c r="F524" t="s">
        <v>1622</v>
      </c>
      <c r="G524" t="s">
        <v>1623</v>
      </c>
      <c r="H524" t="s">
        <v>11</v>
      </c>
      <c r="I524" s="41">
        <v>44.8</v>
      </c>
      <c r="J524" s="40">
        <f>I524*(1-IFERROR(VLOOKUP(H524,Rabat!$D$10:$E$41,2,FALSE),0))</f>
        <v>44.8</v>
      </c>
      <c r="K524">
        <v>0.08</v>
      </c>
      <c r="L524" t="s">
        <v>1789</v>
      </c>
      <c r="M524" t="s">
        <v>2328</v>
      </c>
      <c r="N524" t="s">
        <v>1954</v>
      </c>
      <c r="O524" t="s">
        <v>1776</v>
      </c>
      <c r="P524">
        <v>20</v>
      </c>
      <c r="Q524">
        <v>0</v>
      </c>
      <c r="R524" t="s">
        <v>1777</v>
      </c>
      <c r="S524"/>
      <c r="T524" t="s">
        <v>71</v>
      </c>
      <c r="U524">
        <v>0.1</v>
      </c>
      <c r="V524"/>
      <c r="W524"/>
      <c r="X524"/>
      <c r="Y524"/>
      <c r="Z524" t="s">
        <v>1778</v>
      </c>
      <c r="AA524"/>
    </row>
    <row r="525" spans="1:27" ht="15" x14ac:dyDescent="0.25">
      <c r="A525" t="s">
        <v>9</v>
      </c>
      <c r="B525" t="s">
        <v>275</v>
      </c>
      <c r="C525" t="s">
        <v>257</v>
      </c>
      <c r="D525" t="s">
        <v>69</v>
      </c>
      <c r="E525" t="s">
        <v>71</v>
      </c>
      <c r="F525" t="s">
        <v>1246</v>
      </c>
      <c r="G525" t="s">
        <v>1247</v>
      </c>
      <c r="H525" t="s">
        <v>11</v>
      </c>
      <c r="I525" s="41">
        <v>58.08</v>
      </c>
      <c r="J525" s="40">
        <f>I525*(1-IFERROR(VLOOKUP(H525,Rabat!$D$10:$E$41,2,FALSE),0))</f>
        <v>58.08</v>
      </c>
      <c r="K525">
        <v>0.13</v>
      </c>
      <c r="L525" t="s">
        <v>1789</v>
      </c>
      <c r="M525" t="s">
        <v>2329</v>
      </c>
      <c r="N525" t="s">
        <v>2090</v>
      </c>
      <c r="O525" t="s">
        <v>1776</v>
      </c>
      <c r="P525">
        <v>50</v>
      </c>
      <c r="Q525">
        <v>1200</v>
      </c>
      <c r="R525" t="s">
        <v>1820</v>
      </c>
      <c r="S525" s="42" t="str">
        <f>HYPERLINK("https://sklep.kobi.pl/produkt/led-click-premium-15w-cct")</f>
        <v>https://sklep.kobi.pl/produkt/led-click-premium-15w-cct</v>
      </c>
      <c r="T525" t="s">
        <v>71</v>
      </c>
      <c r="U525">
        <v>0.15</v>
      </c>
      <c r="V525">
        <v>0.21</v>
      </c>
      <c r="W525">
        <v>280</v>
      </c>
      <c r="X525">
        <v>75</v>
      </c>
      <c r="Y525">
        <v>40</v>
      </c>
      <c r="Z525" t="s">
        <v>1778</v>
      </c>
      <c r="AA525"/>
    </row>
    <row r="526" spans="1:27" ht="15" x14ac:dyDescent="0.25">
      <c r="A526" t="s">
        <v>9</v>
      </c>
      <c r="B526" t="s">
        <v>275</v>
      </c>
      <c r="C526" t="s">
        <v>257</v>
      </c>
      <c r="D526" t="s">
        <v>69</v>
      </c>
      <c r="E526" t="s">
        <v>71</v>
      </c>
      <c r="F526" t="s">
        <v>631</v>
      </c>
      <c r="G526" t="s">
        <v>632</v>
      </c>
      <c r="H526" t="s">
        <v>11</v>
      </c>
      <c r="I526" s="41">
        <v>40.64</v>
      </c>
      <c r="J526" s="40">
        <f>I526*(1-IFERROR(VLOOKUP(H526,Rabat!$D$10:$E$41,2,FALSE),0))</f>
        <v>40.64</v>
      </c>
      <c r="K526">
        <v>0.14000000000000001</v>
      </c>
      <c r="L526" t="s">
        <v>1779</v>
      </c>
      <c r="M526" t="s">
        <v>2330</v>
      </c>
      <c r="N526" t="s">
        <v>1954</v>
      </c>
      <c r="O526" t="s">
        <v>1776</v>
      </c>
      <c r="P526">
        <v>30</v>
      </c>
      <c r="Q526">
        <v>1350</v>
      </c>
      <c r="R526" t="s">
        <v>1777</v>
      </c>
      <c r="S526" s="42" t="str">
        <f>HYPERLINK("https://sklep.kobi.pl/produkt/podszafkowa-oprawa-led-wl-4w-nb")</f>
        <v>https://sklep.kobi.pl/produkt/podszafkowa-oprawa-led-wl-4w-nb</v>
      </c>
      <c r="T526" s="42" t="str">
        <f>HYPERLINK("https://eprel.ec.europa.eu/qr/862612         ")</f>
        <v xml:space="preserve">https://eprel.ec.europa.eu/qr/862612         </v>
      </c>
      <c r="U526">
        <v>0.16600000000000001</v>
      </c>
      <c r="V526">
        <v>0.254</v>
      </c>
      <c r="W526">
        <v>75</v>
      </c>
      <c r="X526">
        <v>340</v>
      </c>
      <c r="Y526">
        <v>30</v>
      </c>
      <c r="Z526" t="s">
        <v>1778</v>
      </c>
      <c r="AA526"/>
    </row>
    <row r="527" spans="1:27" ht="15" x14ac:dyDescent="0.25">
      <c r="A527" t="s">
        <v>9</v>
      </c>
      <c r="B527" t="s">
        <v>275</v>
      </c>
      <c r="C527" t="s">
        <v>257</v>
      </c>
      <c r="D527" t="s">
        <v>69</v>
      </c>
      <c r="E527" t="s">
        <v>71</v>
      </c>
      <c r="F527" t="s">
        <v>276</v>
      </c>
      <c r="G527" t="s">
        <v>277</v>
      </c>
      <c r="H527" t="s">
        <v>11</v>
      </c>
      <c r="I527" s="41">
        <v>48</v>
      </c>
      <c r="J527" s="40">
        <f>I527*(1-IFERROR(VLOOKUP(H527,Rabat!$D$10:$E$41,2,FALSE),0))</f>
        <v>48</v>
      </c>
      <c r="K527">
        <v>0.17</v>
      </c>
      <c r="L527" t="s">
        <v>1779</v>
      </c>
      <c r="M527" t="s">
        <v>2331</v>
      </c>
      <c r="N527" t="s">
        <v>1954</v>
      </c>
      <c r="O527" t="s">
        <v>1776</v>
      </c>
      <c r="P527">
        <v>30</v>
      </c>
      <c r="Q527">
        <v>900</v>
      </c>
      <c r="R527" t="s">
        <v>1777</v>
      </c>
      <c r="S527" s="42" t="str">
        <f>HYPERLINK("https://sklep.kobi.pl/produkt/oprawa-led-wl-8w-4000k-230v-650lm-120st")</f>
        <v>https://sklep.kobi.pl/produkt/oprawa-led-wl-8w-4000k-230v-650lm-120st</v>
      </c>
      <c r="T527" s="42" t="str">
        <f>HYPERLINK("https://eprel.ec.europa.eu/qr/862613         ")</f>
        <v xml:space="preserve">https://eprel.ec.europa.eu/qr/862613         </v>
      </c>
      <c r="U527">
        <v>0.2</v>
      </c>
      <c r="V527">
        <v>0.312</v>
      </c>
      <c r="W527">
        <v>30</v>
      </c>
      <c r="X527">
        <v>60</v>
      </c>
      <c r="Y527">
        <v>600</v>
      </c>
      <c r="Z527" t="s">
        <v>1778</v>
      </c>
      <c r="AA527"/>
    </row>
    <row r="528" spans="1:27" ht="15" x14ac:dyDescent="0.25">
      <c r="A528" t="s">
        <v>9</v>
      </c>
      <c r="B528" t="s">
        <v>275</v>
      </c>
      <c r="C528" t="s">
        <v>257</v>
      </c>
      <c r="D528" t="s">
        <v>69</v>
      </c>
      <c r="E528" t="s">
        <v>71</v>
      </c>
      <c r="F528" t="s">
        <v>505</v>
      </c>
      <c r="G528" t="s">
        <v>506</v>
      </c>
      <c r="H528" t="s">
        <v>11</v>
      </c>
      <c r="I528" s="41">
        <v>62.2</v>
      </c>
      <c r="J528" s="40">
        <f>I528*(1-IFERROR(VLOOKUP(H528,Rabat!$D$10:$E$41,2,FALSE),0))</f>
        <v>62.2</v>
      </c>
      <c r="K528">
        <v>0.2</v>
      </c>
      <c r="L528" t="s">
        <v>1779</v>
      </c>
      <c r="M528" t="s">
        <v>2332</v>
      </c>
      <c r="N528" t="s">
        <v>1954</v>
      </c>
      <c r="O528" t="s">
        <v>1776</v>
      </c>
      <c r="P528">
        <v>30</v>
      </c>
      <c r="Q528">
        <v>450</v>
      </c>
      <c r="R528" t="s">
        <v>1777</v>
      </c>
      <c r="S528" s="42" t="str">
        <f>HYPERLINK("https://sklep.kobi.pl/produkt/podszafkowa-oprawa-led-wl-10w-nb")</f>
        <v>https://sklep.kobi.pl/produkt/podszafkowa-oprawa-led-wl-10w-nb</v>
      </c>
      <c r="T528" s="42" t="str">
        <f>HYPERLINK("https://eprel.ec.europa.eu/qr/862614         ")</f>
        <v xml:space="preserve">https://eprel.ec.europa.eu/qr/862614         </v>
      </c>
      <c r="U528">
        <v>0.23899999999999999</v>
      </c>
      <c r="V528">
        <v>0.38100000000000001</v>
      </c>
      <c r="W528">
        <v>75</v>
      </c>
      <c r="X528">
        <v>900</v>
      </c>
      <c r="Y528">
        <v>30</v>
      </c>
      <c r="Z528" t="s">
        <v>1778</v>
      </c>
      <c r="AA528"/>
    </row>
    <row r="529" spans="1:27" ht="15" x14ac:dyDescent="0.25">
      <c r="A529" t="s">
        <v>9</v>
      </c>
      <c r="B529" t="s">
        <v>275</v>
      </c>
      <c r="C529" t="s">
        <v>257</v>
      </c>
      <c r="D529" t="s">
        <v>69</v>
      </c>
      <c r="E529" t="s">
        <v>71</v>
      </c>
      <c r="F529" t="s">
        <v>736</v>
      </c>
      <c r="G529" t="s">
        <v>737</v>
      </c>
      <c r="H529" t="s">
        <v>11</v>
      </c>
      <c r="I529" s="41">
        <v>66.760000000000005</v>
      </c>
      <c r="J529" s="40">
        <f>I529*(1-IFERROR(VLOOKUP(H529,Rabat!$D$10:$E$41,2,FALSE),0))</f>
        <v>66.760000000000005</v>
      </c>
      <c r="K529">
        <v>0.23</v>
      </c>
      <c r="L529" t="s">
        <v>1779</v>
      </c>
      <c r="M529" t="s">
        <v>2333</v>
      </c>
      <c r="N529" t="s">
        <v>1954</v>
      </c>
      <c r="O529" t="s">
        <v>1776</v>
      </c>
      <c r="P529">
        <v>30</v>
      </c>
      <c r="Q529">
        <v>450</v>
      </c>
      <c r="R529" t="s">
        <v>1777</v>
      </c>
      <c r="S529" s="42" t="str">
        <f>HYPERLINK("https://sklep.kobi.pl/produkt/podszafkowa-oprawa-led-wl-14w-nb")</f>
        <v>https://sklep.kobi.pl/produkt/podszafkowa-oprawa-led-wl-14w-nb</v>
      </c>
      <c r="T529" s="42" t="str">
        <f>HYPERLINK("https://eprel.ec.europa.eu/qr/862617         ")</f>
        <v xml:space="preserve">https://eprel.ec.europa.eu/qr/862617         </v>
      </c>
      <c r="U529">
        <v>0.27100000000000002</v>
      </c>
      <c r="V529">
        <v>0.46800000000000003</v>
      </c>
      <c r="W529">
        <v>75</v>
      </c>
      <c r="X529">
        <v>1200</v>
      </c>
      <c r="Y529">
        <v>30</v>
      </c>
      <c r="Z529" t="s">
        <v>1778</v>
      </c>
      <c r="AA529"/>
    </row>
    <row r="530" spans="1:27" ht="15" x14ac:dyDescent="0.25">
      <c r="A530" t="s">
        <v>9</v>
      </c>
      <c r="B530" t="s">
        <v>275</v>
      </c>
      <c r="C530" t="s">
        <v>257</v>
      </c>
      <c r="D530" t="s">
        <v>69</v>
      </c>
      <c r="E530" t="s">
        <v>149</v>
      </c>
      <c r="F530" t="s">
        <v>1232</v>
      </c>
      <c r="G530" t="s">
        <v>1233</v>
      </c>
      <c r="H530" t="s">
        <v>11</v>
      </c>
      <c r="I530" s="41">
        <v>40.64</v>
      </c>
      <c r="J530" s="40">
        <f>I530*(1-IFERROR(VLOOKUP(H530,Rabat!$D$10:$E$41,2,FALSE),0))</f>
        <v>40.64</v>
      </c>
      <c r="K530">
        <v>0.14000000000000001</v>
      </c>
      <c r="L530" t="s">
        <v>1779</v>
      </c>
      <c r="M530" t="s">
        <v>2334</v>
      </c>
      <c r="N530" t="s">
        <v>1954</v>
      </c>
      <c r="O530" t="s">
        <v>1776</v>
      </c>
      <c r="P530">
        <v>30</v>
      </c>
      <c r="Q530">
        <v>1350</v>
      </c>
      <c r="R530" t="s">
        <v>1777</v>
      </c>
      <c r="S530"/>
      <c r="T530" s="42" t="str">
        <f>HYPERLINK("https://eprel.ec.europa.eu/qr/1482252        ")</f>
        <v xml:space="preserve">https://eprel.ec.europa.eu/qr/1482252        </v>
      </c>
      <c r="U530">
        <v>0.16600000000000001</v>
      </c>
      <c r="V530">
        <v>0.254</v>
      </c>
      <c r="W530">
        <v>75</v>
      </c>
      <c r="X530">
        <v>340</v>
      </c>
      <c r="Y530">
        <v>30</v>
      </c>
      <c r="Z530" t="s">
        <v>1778</v>
      </c>
      <c r="AA530"/>
    </row>
    <row r="531" spans="1:27" ht="15" x14ac:dyDescent="0.25">
      <c r="A531" t="s">
        <v>9</v>
      </c>
      <c r="B531" t="s">
        <v>275</v>
      </c>
      <c r="C531" t="s">
        <v>257</v>
      </c>
      <c r="D531" t="s">
        <v>69</v>
      </c>
      <c r="E531" t="s">
        <v>149</v>
      </c>
      <c r="F531" t="s">
        <v>1234</v>
      </c>
      <c r="G531" t="s">
        <v>1235</v>
      </c>
      <c r="H531" t="s">
        <v>11</v>
      </c>
      <c r="I531" s="41">
        <v>48</v>
      </c>
      <c r="J531" s="40">
        <f>I531*(1-IFERROR(VLOOKUP(H531,Rabat!$D$10:$E$41,2,FALSE),0))</f>
        <v>48</v>
      </c>
      <c r="K531">
        <v>0.17</v>
      </c>
      <c r="L531" t="s">
        <v>1779</v>
      </c>
      <c r="M531" t="s">
        <v>2335</v>
      </c>
      <c r="N531" t="s">
        <v>1954</v>
      </c>
      <c r="O531" t="s">
        <v>1776</v>
      </c>
      <c r="P531">
        <v>30</v>
      </c>
      <c r="Q531">
        <v>750</v>
      </c>
      <c r="R531" t="s">
        <v>1777</v>
      </c>
      <c r="S531" s="42" t="str">
        <f>HYPERLINK("https://sklep.kobi.pl/produkt/led-wl-8w-3000k")</f>
        <v>https://sklep.kobi.pl/produkt/led-wl-8w-3000k</v>
      </c>
      <c r="T531" s="42" t="str">
        <f>HYPERLINK("https://eprel.ec.europa.eu/qr/1482269        ")</f>
        <v xml:space="preserve">https://eprel.ec.europa.eu/qr/1482269        </v>
      </c>
      <c r="U531">
        <v>0.2</v>
      </c>
      <c r="V531">
        <v>0.312</v>
      </c>
      <c r="W531">
        <v>30</v>
      </c>
      <c r="X531">
        <v>60</v>
      </c>
      <c r="Y531">
        <v>600</v>
      </c>
      <c r="Z531" t="s">
        <v>1778</v>
      </c>
      <c r="AA531"/>
    </row>
    <row r="532" spans="1:27" ht="15" x14ac:dyDescent="0.25">
      <c r="A532" t="s">
        <v>9</v>
      </c>
      <c r="B532" t="s">
        <v>275</v>
      </c>
      <c r="C532" t="s">
        <v>257</v>
      </c>
      <c r="D532" t="s">
        <v>69</v>
      </c>
      <c r="E532" t="s">
        <v>149</v>
      </c>
      <c r="F532" t="s">
        <v>1236</v>
      </c>
      <c r="G532" t="s">
        <v>1237</v>
      </c>
      <c r="H532" t="s">
        <v>11</v>
      </c>
      <c r="I532" s="41">
        <v>62.2</v>
      </c>
      <c r="J532" s="40">
        <f>I532*(1-IFERROR(VLOOKUP(H532,Rabat!$D$10:$E$41,2,FALSE),0))</f>
        <v>62.2</v>
      </c>
      <c r="K532">
        <v>0.2</v>
      </c>
      <c r="L532" t="s">
        <v>1779</v>
      </c>
      <c r="M532" t="s">
        <v>2336</v>
      </c>
      <c r="N532" t="s">
        <v>1954</v>
      </c>
      <c r="O532" t="s">
        <v>1776</v>
      </c>
      <c r="P532">
        <v>30</v>
      </c>
      <c r="Q532">
        <v>450</v>
      </c>
      <c r="R532" t="s">
        <v>1777</v>
      </c>
      <c r="S532" s="42" t="str">
        <f>HYPERLINK("https://sklep.kobi.pl/produkt/led-wl-10w-3000k")</f>
        <v>https://sklep.kobi.pl/produkt/led-wl-10w-3000k</v>
      </c>
      <c r="T532" s="42" t="str">
        <f>HYPERLINK("https://eprel.ec.europa.eu/qr/1482315        ")</f>
        <v xml:space="preserve">https://eprel.ec.europa.eu/qr/1482315        </v>
      </c>
      <c r="U532">
        <v>0.23899999999999999</v>
      </c>
      <c r="V532">
        <v>0.38100000000000001</v>
      </c>
      <c r="W532">
        <v>75</v>
      </c>
      <c r="X532">
        <v>900</v>
      </c>
      <c r="Y532">
        <v>30</v>
      </c>
      <c r="Z532" t="s">
        <v>1778</v>
      </c>
      <c r="AA532"/>
    </row>
    <row r="533" spans="1:27" ht="15" x14ac:dyDescent="0.25">
      <c r="A533" t="s">
        <v>9</v>
      </c>
      <c r="B533" t="s">
        <v>275</v>
      </c>
      <c r="C533" t="s">
        <v>257</v>
      </c>
      <c r="D533" t="s">
        <v>69</v>
      </c>
      <c r="E533" t="s">
        <v>149</v>
      </c>
      <c r="F533" t="s">
        <v>1238</v>
      </c>
      <c r="G533" t="s">
        <v>1239</v>
      </c>
      <c r="H533" t="s">
        <v>11</v>
      </c>
      <c r="I533" s="41">
        <v>66.760000000000005</v>
      </c>
      <c r="J533" s="40">
        <f>I533*(1-IFERROR(VLOOKUP(H533,Rabat!$D$10:$E$41,2,FALSE),0))</f>
        <v>66.760000000000005</v>
      </c>
      <c r="K533">
        <v>0.23</v>
      </c>
      <c r="L533" t="s">
        <v>1779</v>
      </c>
      <c r="M533" t="s">
        <v>2337</v>
      </c>
      <c r="N533" t="s">
        <v>1954</v>
      </c>
      <c r="O533" t="s">
        <v>1776</v>
      </c>
      <c r="P533">
        <v>30</v>
      </c>
      <c r="Q533">
        <v>450</v>
      </c>
      <c r="R533" t="s">
        <v>1777</v>
      </c>
      <c r="S533" s="42" t="str">
        <f>HYPERLINK("https://sklep.kobi.pl/produkt/led-wl-14w-3000k")</f>
        <v>https://sklep.kobi.pl/produkt/led-wl-14w-3000k</v>
      </c>
      <c r="T533" s="42" t="str">
        <f>HYPERLINK("https://eprel.ec.europa.eu/qr/1482407        ")</f>
        <v xml:space="preserve">https://eprel.ec.europa.eu/qr/1482407        </v>
      </c>
      <c r="U533">
        <v>0.27100000000000002</v>
      </c>
      <c r="V533">
        <v>0.46800000000000003</v>
      </c>
      <c r="W533">
        <v>75</v>
      </c>
      <c r="X533">
        <v>1200</v>
      </c>
      <c r="Y533">
        <v>30</v>
      </c>
      <c r="Z533" t="s">
        <v>1778</v>
      </c>
      <c r="AA533"/>
    </row>
    <row r="534" spans="1:27" ht="15" x14ac:dyDescent="0.25">
      <c r="A534" t="s">
        <v>9</v>
      </c>
      <c r="B534" t="s">
        <v>315</v>
      </c>
      <c r="C534"/>
      <c r="D534" t="s">
        <v>69</v>
      </c>
      <c r="E534" t="s">
        <v>71</v>
      </c>
      <c r="F534" t="s">
        <v>645</v>
      </c>
      <c r="G534" t="s">
        <v>646</v>
      </c>
      <c r="H534" t="s">
        <v>54</v>
      </c>
      <c r="I534" s="41">
        <v>88.4</v>
      </c>
      <c r="J534" s="40">
        <f>I534*(1-IFERROR(VLOOKUP(H534,Rabat!$D$10:$E$41,2,FALSE),0))</f>
        <v>88.4</v>
      </c>
      <c r="K534">
        <v>0.24</v>
      </c>
      <c r="L534" t="s">
        <v>1789</v>
      </c>
      <c r="M534" t="s">
        <v>2338</v>
      </c>
      <c r="N534" t="s">
        <v>2311</v>
      </c>
      <c r="O534" t="s">
        <v>1776</v>
      </c>
      <c r="P534">
        <v>20</v>
      </c>
      <c r="Q534">
        <v>700</v>
      </c>
      <c r="R534" t="s">
        <v>1777</v>
      </c>
      <c r="S534" s="42" t="str">
        <f>HYPERLINK("https://sklep.kobi.pl/produkt/oprawa-do-nabudowania-kivi-1xgu10-bl-bl")</f>
        <v>https://sklep.kobi.pl/produkt/oprawa-do-nabudowania-kivi-1xgu10-bl-bl</v>
      </c>
      <c r="T534" t="s">
        <v>71</v>
      </c>
      <c r="U534">
        <v>0.53700000000000003</v>
      </c>
      <c r="V534">
        <v>0.59499999999999997</v>
      </c>
      <c r="W534">
        <v>105</v>
      </c>
      <c r="X534">
        <v>105</v>
      </c>
      <c r="Y534">
        <v>145</v>
      </c>
      <c r="Z534" t="s">
        <v>1778</v>
      </c>
      <c r="AA534"/>
    </row>
    <row r="535" spans="1:27" ht="15" x14ac:dyDescent="0.25">
      <c r="A535" t="s">
        <v>9</v>
      </c>
      <c r="B535" t="s">
        <v>315</v>
      </c>
      <c r="C535"/>
      <c r="D535" t="s">
        <v>69</v>
      </c>
      <c r="E535" t="s">
        <v>71</v>
      </c>
      <c r="F535" t="s">
        <v>641</v>
      </c>
      <c r="G535" t="s">
        <v>642</v>
      </c>
      <c r="H535" t="s">
        <v>54</v>
      </c>
      <c r="I535" s="41">
        <v>88.4</v>
      </c>
      <c r="J535" s="40">
        <f>I535*(1-IFERROR(VLOOKUP(H535,Rabat!$D$10:$E$41,2,FALSE),0))</f>
        <v>88.4</v>
      </c>
      <c r="K535">
        <v>0.24</v>
      </c>
      <c r="L535" t="s">
        <v>1789</v>
      </c>
      <c r="M535" t="s">
        <v>2339</v>
      </c>
      <c r="N535" t="s">
        <v>2311</v>
      </c>
      <c r="O535" t="s">
        <v>1776</v>
      </c>
      <c r="P535">
        <v>20</v>
      </c>
      <c r="Q535">
        <v>700</v>
      </c>
      <c r="R535" t="s">
        <v>1777</v>
      </c>
      <c r="S535" s="42" t="str">
        <f>HYPERLINK("https://sklep.kobi.pl/produkt/oprawa-do-nabudowania-kivi-1xgu10-bl-g")</f>
        <v>https://sklep.kobi.pl/produkt/oprawa-do-nabudowania-kivi-1xgu10-bl-g</v>
      </c>
      <c r="T535" t="s">
        <v>71</v>
      </c>
      <c r="U535">
        <v>0.53700000000000003</v>
      </c>
      <c r="V535">
        <v>0.59499999999999997</v>
      </c>
      <c r="W535">
        <v>105</v>
      </c>
      <c r="X535">
        <v>105</v>
      </c>
      <c r="Y535">
        <v>145</v>
      </c>
      <c r="Z535" t="s">
        <v>1778</v>
      </c>
      <c r="AA535"/>
    </row>
    <row r="536" spans="1:27" ht="15" x14ac:dyDescent="0.25">
      <c r="A536" t="s">
        <v>9</v>
      </c>
      <c r="B536" t="s">
        <v>315</v>
      </c>
      <c r="C536"/>
      <c r="D536" t="s">
        <v>69</v>
      </c>
      <c r="E536" t="s">
        <v>71</v>
      </c>
      <c r="F536" t="s">
        <v>643</v>
      </c>
      <c r="G536" t="s">
        <v>644</v>
      </c>
      <c r="H536" t="s">
        <v>54</v>
      </c>
      <c r="I536" s="41">
        <v>88.4</v>
      </c>
      <c r="J536" s="40">
        <f>I536*(1-IFERROR(VLOOKUP(H536,Rabat!$D$10:$E$41,2,FALSE),0))</f>
        <v>88.4</v>
      </c>
      <c r="K536">
        <v>0.24</v>
      </c>
      <c r="L536" t="s">
        <v>1789</v>
      </c>
      <c r="M536" t="s">
        <v>2340</v>
      </c>
      <c r="N536" t="s">
        <v>2311</v>
      </c>
      <c r="O536" t="s">
        <v>1776</v>
      </c>
      <c r="P536">
        <v>20</v>
      </c>
      <c r="Q536">
        <v>700</v>
      </c>
      <c r="R536" t="s">
        <v>1777</v>
      </c>
      <c r="S536" s="42" t="str">
        <f>HYPERLINK("https://sklep.kobi.pl/produkt/oprawa-do-nabudowania-kivi-1xgu10-wh-g")</f>
        <v>https://sklep.kobi.pl/produkt/oprawa-do-nabudowania-kivi-1xgu10-wh-g</v>
      </c>
      <c r="T536" t="s">
        <v>71</v>
      </c>
      <c r="U536">
        <v>0.53700000000000003</v>
      </c>
      <c r="V536">
        <v>0.59499999999999997</v>
      </c>
      <c r="W536">
        <v>105</v>
      </c>
      <c r="X536">
        <v>105</v>
      </c>
      <c r="Y536">
        <v>145</v>
      </c>
      <c r="Z536" t="s">
        <v>1778</v>
      </c>
      <c r="AA536"/>
    </row>
    <row r="537" spans="1:27" ht="15" x14ac:dyDescent="0.25">
      <c r="A537" t="s">
        <v>9</v>
      </c>
      <c r="B537" t="s">
        <v>315</v>
      </c>
      <c r="C537"/>
      <c r="D537" t="s">
        <v>69</v>
      </c>
      <c r="E537" t="s">
        <v>71</v>
      </c>
      <c r="F537" t="s">
        <v>647</v>
      </c>
      <c r="G537" t="s">
        <v>648</v>
      </c>
      <c r="H537" t="s">
        <v>54</v>
      </c>
      <c r="I537" s="41">
        <v>88.4</v>
      </c>
      <c r="J537" s="40">
        <f>I537*(1-IFERROR(VLOOKUP(H537,Rabat!$D$10:$E$41,2,FALSE),0))</f>
        <v>88.4</v>
      </c>
      <c r="K537">
        <v>0.24</v>
      </c>
      <c r="L537" t="s">
        <v>1789</v>
      </c>
      <c r="M537" t="s">
        <v>2341</v>
      </c>
      <c r="N537" t="s">
        <v>2311</v>
      </c>
      <c r="O537" t="s">
        <v>1776</v>
      </c>
      <c r="P537">
        <v>20</v>
      </c>
      <c r="Q537">
        <v>700</v>
      </c>
      <c r="R537" t="s">
        <v>1777</v>
      </c>
      <c r="S537" s="42" t="str">
        <f>HYPERLINK("https://sklep.kobi.pl/produkt/oprawa-do-nabudowania-kivi-1xgu10-wh-wh")</f>
        <v>https://sklep.kobi.pl/produkt/oprawa-do-nabudowania-kivi-1xgu10-wh-wh</v>
      </c>
      <c r="T537" t="s">
        <v>71</v>
      </c>
      <c r="U537">
        <v>0.53700000000000003</v>
      </c>
      <c r="V537">
        <v>0.59499999999999997</v>
      </c>
      <c r="W537">
        <v>105</v>
      </c>
      <c r="X537">
        <v>105</v>
      </c>
      <c r="Y537">
        <v>145</v>
      </c>
      <c r="Z537" t="s">
        <v>1778</v>
      </c>
      <c r="AA537"/>
    </row>
    <row r="538" spans="1:27" ht="15" x14ac:dyDescent="0.25">
      <c r="A538" t="s">
        <v>9</v>
      </c>
      <c r="B538" t="s">
        <v>315</v>
      </c>
      <c r="C538"/>
      <c r="D538" t="s">
        <v>69</v>
      </c>
      <c r="E538" t="s">
        <v>71</v>
      </c>
      <c r="F538" t="s">
        <v>604</v>
      </c>
      <c r="G538" t="s">
        <v>605</v>
      </c>
      <c r="H538" t="s">
        <v>54</v>
      </c>
      <c r="I538" s="41">
        <v>76.290000000000006</v>
      </c>
      <c r="J538" s="40">
        <f>I538*(1-IFERROR(VLOOKUP(H538,Rabat!$D$10:$E$41,2,FALSE),0))</f>
        <v>76.290000000000006</v>
      </c>
      <c r="K538">
        <v>0.12</v>
      </c>
      <c r="L538" t="s">
        <v>1789</v>
      </c>
      <c r="M538" t="s">
        <v>2342</v>
      </c>
      <c r="N538" t="s">
        <v>2311</v>
      </c>
      <c r="O538" t="s">
        <v>1776</v>
      </c>
      <c r="P538">
        <v>20</v>
      </c>
      <c r="Q538">
        <v>700</v>
      </c>
      <c r="R538" t="s">
        <v>1777</v>
      </c>
      <c r="S538" s="42" t="str">
        <f>HYPERLINK("https://sklep.kobi.pl/produkt/spot-nuuk-1xgu10-bialy")</f>
        <v>https://sklep.kobi.pl/produkt/spot-nuuk-1xgu10-bialy</v>
      </c>
      <c r="T538" t="s">
        <v>71</v>
      </c>
      <c r="U538">
        <v>0.26400000000000001</v>
      </c>
      <c r="V538">
        <v>0.33900000000000002</v>
      </c>
      <c r="W538">
        <v>100</v>
      </c>
      <c r="X538">
        <v>150</v>
      </c>
      <c r="Y538">
        <v>70</v>
      </c>
      <c r="Z538" t="s">
        <v>1778</v>
      </c>
      <c r="AA538"/>
    </row>
    <row r="539" spans="1:27" ht="15" x14ac:dyDescent="0.25">
      <c r="A539" t="s">
        <v>9</v>
      </c>
      <c r="B539" t="s">
        <v>315</v>
      </c>
      <c r="C539"/>
      <c r="D539" t="s">
        <v>69</v>
      </c>
      <c r="E539" t="s">
        <v>71</v>
      </c>
      <c r="F539" t="s">
        <v>606</v>
      </c>
      <c r="G539" t="s">
        <v>607</v>
      </c>
      <c r="H539" t="s">
        <v>54</v>
      </c>
      <c r="I539" s="41">
        <v>76.290000000000006</v>
      </c>
      <c r="J539" s="40">
        <f>I539*(1-IFERROR(VLOOKUP(H539,Rabat!$D$10:$E$41,2,FALSE),0))</f>
        <v>76.290000000000006</v>
      </c>
      <c r="K539">
        <v>0.12</v>
      </c>
      <c r="L539" t="s">
        <v>1789</v>
      </c>
      <c r="M539" t="s">
        <v>2343</v>
      </c>
      <c r="N539" t="s">
        <v>2311</v>
      </c>
      <c r="O539" t="s">
        <v>1776</v>
      </c>
      <c r="P539">
        <v>20</v>
      </c>
      <c r="Q539">
        <v>700</v>
      </c>
      <c r="R539" t="s">
        <v>1777</v>
      </c>
      <c r="S539" s="42" t="str">
        <f>HYPERLINK("https://sklep.kobi.pl/produkt/spot-nuuk-1xgu10-czarny")</f>
        <v>https://sklep.kobi.pl/produkt/spot-nuuk-1xgu10-czarny</v>
      </c>
      <c r="T539" t="s">
        <v>71</v>
      </c>
      <c r="U539">
        <v>0.26400000000000001</v>
      </c>
      <c r="V539">
        <v>0.33900000000000002</v>
      </c>
      <c r="W539">
        <v>100</v>
      </c>
      <c r="X539">
        <v>150</v>
      </c>
      <c r="Y539">
        <v>70</v>
      </c>
      <c r="Z539" t="s">
        <v>1778</v>
      </c>
      <c r="AA539"/>
    </row>
    <row r="540" spans="1:27" ht="15" x14ac:dyDescent="0.25">
      <c r="A540" t="s">
        <v>9</v>
      </c>
      <c r="B540" t="s">
        <v>315</v>
      </c>
      <c r="C540" t="s">
        <v>226</v>
      </c>
      <c r="D540" t="s">
        <v>69</v>
      </c>
      <c r="E540" t="s">
        <v>71</v>
      </c>
      <c r="F540" t="s">
        <v>1224</v>
      </c>
      <c r="G540" t="s">
        <v>1225</v>
      </c>
      <c r="H540" t="s">
        <v>54</v>
      </c>
      <c r="I540" s="41">
        <v>46</v>
      </c>
      <c r="J540" s="40">
        <f>I540*(1-IFERROR(VLOOKUP(H540,Rabat!$D$10:$E$41,2,FALSE),0))</f>
        <v>46</v>
      </c>
      <c r="K540">
        <v>0.11</v>
      </c>
      <c r="L540" t="s">
        <v>1789</v>
      </c>
      <c r="M540" t="s">
        <v>2344</v>
      </c>
      <c r="N540" t="s">
        <v>2311</v>
      </c>
      <c r="O540" t="s">
        <v>1776</v>
      </c>
      <c r="P540">
        <v>20</v>
      </c>
      <c r="Q540">
        <v>980</v>
      </c>
      <c r="R540" t="s">
        <v>1777</v>
      </c>
      <c r="S540" s="42" t="str">
        <f>HYPERLINK("https://sklep.kobi.pl/produkt/oprawka-halogenowa-oh36-biala")</f>
        <v>https://sklep.kobi.pl/produkt/oprawka-halogenowa-oh36-biala</v>
      </c>
      <c r="T540" t="s">
        <v>71</v>
      </c>
      <c r="U540">
        <v>0.24299999999999999</v>
      </c>
      <c r="V540">
        <v>0.316</v>
      </c>
      <c r="W540">
        <v>105</v>
      </c>
      <c r="X540">
        <v>115</v>
      </c>
      <c r="Y540">
        <v>10</v>
      </c>
      <c r="Z540" t="s">
        <v>1778</v>
      </c>
      <c r="AA540"/>
    </row>
    <row r="541" spans="1:27" ht="15" x14ac:dyDescent="0.25">
      <c r="A541" t="s">
        <v>9</v>
      </c>
      <c r="B541" t="s">
        <v>315</v>
      </c>
      <c r="C541" t="s">
        <v>226</v>
      </c>
      <c r="D541" t="s">
        <v>69</v>
      </c>
      <c r="E541" t="s">
        <v>71</v>
      </c>
      <c r="F541" t="s">
        <v>1281</v>
      </c>
      <c r="G541" t="s">
        <v>1282</v>
      </c>
      <c r="H541" t="s">
        <v>54</v>
      </c>
      <c r="I541" s="41">
        <v>46</v>
      </c>
      <c r="J541" s="40">
        <f>I541*(1-IFERROR(VLOOKUP(H541,Rabat!$D$10:$E$41,2,FALSE),0))</f>
        <v>46</v>
      </c>
      <c r="K541">
        <v>0.11</v>
      </c>
      <c r="L541" t="s">
        <v>1789</v>
      </c>
      <c r="M541" t="s">
        <v>2345</v>
      </c>
      <c r="N541" t="s">
        <v>2311</v>
      </c>
      <c r="O541" t="s">
        <v>1776</v>
      </c>
      <c r="P541">
        <v>20</v>
      </c>
      <c r="Q541">
        <v>980</v>
      </c>
      <c r="R541" t="s">
        <v>1777</v>
      </c>
      <c r="S541" s="42" t="str">
        <f>HYPERLINK("https://sklep.kobi.pl/produkt/oprawka-halogenowa-oh36-czarna")</f>
        <v>https://sklep.kobi.pl/produkt/oprawka-halogenowa-oh36-czarna</v>
      </c>
      <c r="T541" t="s">
        <v>71</v>
      </c>
      <c r="U541">
        <v>0.24299999999999999</v>
      </c>
      <c r="V541">
        <v>0.316</v>
      </c>
      <c r="W541">
        <v>105</v>
      </c>
      <c r="X541">
        <v>115</v>
      </c>
      <c r="Y541">
        <v>110</v>
      </c>
      <c r="Z541" t="s">
        <v>1778</v>
      </c>
      <c r="AA541"/>
    </row>
    <row r="542" spans="1:27" ht="15" x14ac:dyDescent="0.25">
      <c r="A542" t="s">
        <v>9</v>
      </c>
      <c r="B542" t="s">
        <v>315</v>
      </c>
      <c r="C542" t="s">
        <v>226</v>
      </c>
      <c r="D542" t="s">
        <v>69</v>
      </c>
      <c r="E542" t="s">
        <v>71</v>
      </c>
      <c r="F542" t="s">
        <v>1222</v>
      </c>
      <c r="G542" t="s">
        <v>1223</v>
      </c>
      <c r="H542" t="s">
        <v>54</v>
      </c>
      <c r="I542" s="41">
        <v>57</v>
      </c>
      <c r="J542" s="40">
        <f>I542*(1-IFERROR(VLOOKUP(H542,Rabat!$D$10:$E$41,2,FALSE),0))</f>
        <v>57</v>
      </c>
      <c r="K542">
        <v>0.13</v>
      </c>
      <c r="L542" t="s">
        <v>1789</v>
      </c>
      <c r="M542" t="s">
        <v>2346</v>
      </c>
      <c r="N542" t="s">
        <v>2311</v>
      </c>
      <c r="O542" t="s">
        <v>1776</v>
      </c>
      <c r="P542">
        <v>20</v>
      </c>
      <c r="Q542">
        <v>700</v>
      </c>
      <c r="R542" t="s">
        <v>1777</v>
      </c>
      <c r="S542" s="42" t="str">
        <f>HYPERLINK("https://sklep.kobi.pl/produkt/oprawka-halogenowa-oh36l-biala")</f>
        <v>https://sklep.kobi.pl/produkt/oprawka-halogenowa-oh36l-biala</v>
      </c>
      <c r="T542" t="s">
        <v>71</v>
      </c>
      <c r="U542">
        <v>0.27500000000000002</v>
      </c>
      <c r="V542">
        <v>0.38600000000000001</v>
      </c>
      <c r="W542">
        <v>111</v>
      </c>
      <c r="X542">
        <v>110</v>
      </c>
      <c r="Y542">
        <v>141</v>
      </c>
      <c r="Z542" t="s">
        <v>1778</v>
      </c>
      <c r="AA542"/>
    </row>
    <row r="543" spans="1:27" ht="15" x14ac:dyDescent="0.25">
      <c r="A543" t="s">
        <v>9</v>
      </c>
      <c r="B543" t="s">
        <v>315</v>
      </c>
      <c r="C543" t="s">
        <v>226</v>
      </c>
      <c r="D543" t="s">
        <v>69</v>
      </c>
      <c r="E543" t="s">
        <v>71</v>
      </c>
      <c r="F543" t="s">
        <v>1279</v>
      </c>
      <c r="G543" t="s">
        <v>1280</v>
      </c>
      <c r="H543" t="s">
        <v>54</v>
      </c>
      <c r="I543" s="41">
        <v>57</v>
      </c>
      <c r="J543" s="40">
        <f>I543*(1-IFERROR(VLOOKUP(H543,Rabat!$D$10:$E$41,2,FALSE),0))</f>
        <v>57</v>
      </c>
      <c r="K543">
        <v>0.13</v>
      </c>
      <c r="L543" t="s">
        <v>1789</v>
      </c>
      <c r="M543" t="s">
        <v>2347</v>
      </c>
      <c r="N543" t="s">
        <v>2311</v>
      </c>
      <c r="O543" t="s">
        <v>1776</v>
      </c>
      <c r="P543">
        <v>20</v>
      </c>
      <c r="Q543">
        <v>700</v>
      </c>
      <c r="R543" t="s">
        <v>1777</v>
      </c>
      <c r="S543" s="42" t="str">
        <f>HYPERLINK("https://sklep.kobi.pl/produkt/oprawka-halogenowa-oh36l-czarna")</f>
        <v>https://sklep.kobi.pl/produkt/oprawka-halogenowa-oh36l-czarna</v>
      </c>
      <c r="T543" t="s">
        <v>71</v>
      </c>
      <c r="U543">
        <v>0.27500000000000002</v>
      </c>
      <c r="V543">
        <v>0.38600000000000001</v>
      </c>
      <c r="W543">
        <v>111</v>
      </c>
      <c r="X543">
        <v>110</v>
      </c>
      <c r="Y543">
        <v>141</v>
      </c>
      <c r="Z543" t="s">
        <v>1778</v>
      </c>
      <c r="AA543"/>
    </row>
    <row r="544" spans="1:27" ht="15" x14ac:dyDescent="0.25">
      <c r="A544" t="s">
        <v>9</v>
      </c>
      <c r="B544" t="s">
        <v>315</v>
      </c>
      <c r="C544" t="s">
        <v>226</v>
      </c>
      <c r="D544" t="s">
        <v>69</v>
      </c>
      <c r="E544" t="s">
        <v>71</v>
      </c>
      <c r="F544" t="s">
        <v>1275</v>
      </c>
      <c r="G544" t="s">
        <v>1276</v>
      </c>
      <c r="H544" t="s">
        <v>54</v>
      </c>
      <c r="I544" s="41">
        <v>43</v>
      </c>
      <c r="J544" s="40">
        <f>I544*(1-IFERROR(VLOOKUP(H544,Rabat!$D$10:$E$41,2,FALSE),0))</f>
        <v>43</v>
      </c>
      <c r="K544">
        <v>0.09</v>
      </c>
      <c r="L544" t="s">
        <v>1789</v>
      </c>
      <c r="M544" t="s">
        <v>2348</v>
      </c>
      <c r="N544" t="s">
        <v>2349</v>
      </c>
      <c r="O544" t="s">
        <v>1776</v>
      </c>
      <c r="P544">
        <v>20</v>
      </c>
      <c r="Q544">
        <v>1260</v>
      </c>
      <c r="R544" t="s">
        <v>1777</v>
      </c>
      <c r="S544" s="42" t="str">
        <f>HYPERLINK("https://sklep.kobi.pl/produkt/oprawa-do-nabudowania-oh36-s-biala")</f>
        <v>https://sklep.kobi.pl/produkt/oprawa-do-nabudowania-oh36-s-biala</v>
      </c>
      <c r="T544" t="s">
        <v>71</v>
      </c>
      <c r="U544">
        <v>0.20300000000000001</v>
      </c>
      <c r="V544">
        <v>0.246</v>
      </c>
      <c r="W544">
        <v>120</v>
      </c>
      <c r="X544">
        <v>425</v>
      </c>
      <c r="Y544">
        <v>425</v>
      </c>
      <c r="Z544" t="s">
        <v>1778</v>
      </c>
      <c r="AA544"/>
    </row>
    <row r="545" spans="1:27" ht="15" x14ac:dyDescent="0.25">
      <c r="A545" t="s">
        <v>9</v>
      </c>
      <c r="B545" t="s">
        <v>315</v>
      </c>
      <c r="C545" t="s">
        <v>226</v>
      </c>
      <c r="D545" t="s">
        <v>69</v>
      </c>
      <c r="E545" t="s">
        <v>71</v>
      </c>
      <c r="F545" t="s">
        <v>1277</v>
      </c>
      <c r="G545" t="s">
        <v>1278</v>
      </c>
      <c r="H545" t="s">
        <v>54</v>
      </c>
      <c r="I545" s="41">
        <v>43</v>
      </c>
      <c r="J545" s="40">
        <f>I545*(1-IFERROR(VLOOKUP(H545,Rabat!$D$10:$E$41,2,FALSE),0))</f>
        <v>43</v>
      </c>
      <c r="K545">
        <v>0.09</v>
      </c>
      <c r="L545" t="s">
        <v>1789</v>
      </c>
      <c r="M545" t="s">
        <v>2350</v>
      </c>
      <c r="N545" t="s">
        <v>2349</v>
      </c>
      <c r="O545" t="s">
        <v>1776</v>
      </c>
      <c r="P545">
        <v>20</v>
      </c>
      <c r="Q545">
        <v>1260</v>
      </c>
      <c r="R545" t="s">
        <v>1777</v>
      </c>
      <c r="S545" s="42" t="str">
        <f>HYPERLINK("https://sklep.kobi.pl/produkt/oprawa-do-nabudowania-oh36-s-czarna")</f>
        <v>https://sklep.kobi.pl/produkt/oprawa-do-nabudowania-oh36-s-czarna</v>
      </c>
      <c r="T545" t="s">
        <v>71</v>
      </c>
      <c r="U545">
        <v>0.20300000000000001</v>
      </c>
      <c r="V545">
        <v>0.246</v>
      </c>
      <c r="W545">
        <v>110</v>
      </c>
      <c r="X545">
        <v>80</v>
      </c>
      <c r="Y545">
        <v>105</v>
      </c>
      <c r="Z545" t="s">
        <v>1778</v>
      </c>
      <c r="AA545"/>
    </row>
    <row r="546" spans="1:27" ht="15" x14ac:dyDescent="0.25">
      <c r="A546" t="s">
        <v>9</v>
      </c>
      <c r="B546" t="s">
        <v>315</v>
      </c>
      <c r="C546" t="s">
        <v>226</v>
      </c>
      <c r="D546" t="s">
        <v>69</v>
      </c>
      <c r="E546" t="s">
        <v>71</v>
      </c>
      <c r="F546" t="s">
        <v>316</v>
      </c>
      <c r="G546" t="s">
        <v>317</v>
      </c>
      <c r="H546" t="s">
        <v>54</v>
      </c>
      <c r="I546" s="41">
        <v>55.5</v>
      </c>
      <c r="J546" s="40">
        <f>I546*(1-IFERROR(VLOOKUP(H546,Rabat!$D$10:$E$41,2,FALSE),0))</f>
        <v>55.5</v>
      </c>
      <c r="K546">
        <v>0.24</v>
      </c>
      <c r="L546" t="s">
        <v>1789</v>
      </c>
      <c r="M546" t="s">
        <v>2351</v>
      </c>
      <c r="N546" t="s">
        <v>2311</v>
      </c>
      <c r="O546" t="s">
        <v>1776</v>
      </c>
      <c r="P546">
        <v>20</v>
      </c>
      <c r="Q546">
        <v>980</v>
      </c>
      <c r="R546" t="s">
        <v>1777</v>
      </c>
      <c r="S546" s="42" t="str">
        <f>HYPERLINK("https://sklep.kobi.pl/produkt/oprawka-halogenowa-oh37-biala")</f>
        <v>https://sklep.kobi.pl/produkt/oprawka-halogenowa-oh37-biala</v>
      </c>
      <c r="T546" t="s">
        <v>71</v>
      </c>
      <c r="U546">
        <v>0.53600000000000003</v>
      </c>
      <c r="V546">
        <v>0.59899999999999998</v>
      </c>
      <c r="W546">
        <v>105</v>
      </c>
      <c r="X546">
        <v>110</v>
      </c>
      <c r="Y546">
        <v>110</v>
      </c>
      <c r="Z546" t="s">
        <v>1778</v>
      </c>
      <c r="AA546"/>
    </row>
    <row r="547" spans="1:27" ht="15" x14ac:dyDescent="0.25">
      <c r="A547" t="s">
        <v>9</v>
      </c>
      <c r="B547" t="s">
        <v>315</v>
      </c>
      <c r="C547" t="s">
        <v>226</v>
      </c>
      <c r="D547" t="s">
        <v>69</v>
      </c>
      <c r="E547" t="s">
        <v>149</v>
      </c>
      <c r="F547" t="s">
        <v>346</v>
      </c>
      <c r="G547" t="s">
        <v>347</v>
      </c>
      <c r="H547" t="s">
        <v>54</v>
      </c>
      <c r="I547" s="41">
        <v>55.5</v>
      </c>
      <c r="J547" s="40">
        <f>I547*(1-IFERROR(VLOOKUP(H547,Rabat!$D$10:$E$41,2,FALSE),0))</f>
        <v>55.5</v>
      </c>
      <c r="K547">
        <v>0.24</v>
      </c>
      <c r="L547" t="s">
        <v>1789</v>
      </c>
      <c r="M547" t="s">
        <v>2352</v>
      </c>
      <c r="N547" t="s">
        <v>2311</v>
      </c>
      <c r="O547" t="s">
        <v>1776</v>
      </c>
      <c r="P547">
        <v>20</v>
      </c>
      <c r="Q547">
        <v>980</v>
      </c>
      <c r="R547" t="s">
        <v>1777</v>
      </c>
      <c r="S547" s="42" t="str">
        <f>HYPERLINK("https://sklep.kobi.pl/produkt/oprawka-halogenowa-oh37-chrom")</f>
        <v>https://sklep.kobi.pl/produkt/oprawka-halogenowa-oh37-chrom</v>
      </c>
      <c r="T547" t="s">
        <v>71</v>
      </c>
      <c r="U547">
        <v>0.53600000000000003</v>
      </c>
      <c r="V547">
        <v>0.59899999999999998</v>
      </c>
      <c r="W547">
        <v>105</v>
      </c>
      <c r="X547">
        <v>110</v>
      </c>
      <c r="Y547">
        <v>110</v>
      </c>
      <c r="Z547" t="s">
        <v>1778</v>
      </c>
      <c r="AA547"/>
    </row>
    <row r="548" spans="1:27" ht="15" x14ac:dyDescent="0.25">
      <c r="A548" t="s">
        <v>9</v>
      </c>
      <c r="B548" t="s">
        <v>315</v>
      </c>
      <c r="C548" t="s">
        <v>226</v>
      </c>
      <c r="D548" t="s">
        <v>69</v>
      </c>
      <c r="E548" t="s">
        <v>71</v>
      </c>
      <c r="F548" t="s">
        <v>348</v>
      </c>
      <c r="G548" t="s">
        <v>349</v>
      </c>
      <c r="H548" t="s">
        <v>54</v>
      </c>
      <c r="I548" s="41">
        <v>55.5</v>
      </c>
      <c r="J548" s="40">
        <f>I548*(1-IFERROR(VLOOKUP(H548,Rabat!$D$10:$E$41,2,FALSE),0))</f>
        <v>55.5</v>
      </c>
      <c r="K548">
        <v>0.24</v>
      </c>
      <c r="L548" t="s">
        <v>1789</v>
      </c>
      <c r="M548" t="s">
        <v>2353</v>
      </c>
      <c r="N548" t="s">
        <v>2311</v>
      </c>
      <c r="O548" t="s">
        <v>1776</v>
      </c>
      <c r="P548">
        <v>20</v>
      </c>
      <c r="Q548">
        <v>980</v>
      </c>
      <c r="R548" t="s">
        <v>1777</v>
      </c>
      <c r="S548" s="42" t="str">
        <f>HYPERLINK("https://sklep.kobi.pl/produkt/oprawka-halogenowa-oh37-czarna")</f>
        <v>https://sklep.kobi.pl/produkt/oprawka-halogenowa-oh37-czarna</v>
      </c>
      <c r="T548" t="s">
        <v>71</v>
      </c>
      <c r="U548">
        <v>0.53600000000000003</v>
      </c>
      <c r="V548">
        <v>0.59899999999999998</v>
      </c>
      <c r="W548">
        <v>105</v>
      </c>
      <c r="X548">
        <v>110</v>
      </c>
      <c r="Y548">
        <v>110</v>
      </c>
      <c r="Z548" t="s">
        <v>1778</v>
      </c>
      <c r="AA548"/>
    </row>
    <row r="549" spans="1:27" ht="15" x14ac:dyDescent="0.25">
      <c r="A549" t="s">
        <v>9</v>
      </c>
      <c r="B549" t="s">
        <v>315</v>
      </c>
      <c r="C549" t="s">
        <v>226</v>
      </c>
      <c r="D549" t="s">
        <v>69</v>
      </c>
      <c r="E549" t="s">
        <v>71</v>
      </c>
      <c r="F549" t="s">
        <v>499</v>
      </c>
      <c r="G549" t="s">
        <v>500</v>
      </c>
      <c r="H549" t="s">
        <v>54</v>
      </c>
      <c r="I549" s="41">
        <v>52</v>
      </c>
      <c r="J549" s="40">
        <f>I549*(1-IFERROR(VLOOKUP(H549,Rabat!$D$10:$E$41,2,FALSE),0))</f>
        <v>52</v>
      </c>
      <c r="K549">
        <v>0.17</v>
      </c>
      <c r="L549" t="s">
        <v>1789</v>
      </c>
      <c r="M549" t="s">
        <v>2354</v>
      </c>
      <c r="N549" t="s">
        <v>2349</v>
      </c>
      <c r="O549" t="s">
        <v>1776</v>
      </c>
      <c r="P549">
        <v>20</v>
      </c>
      <c r="Q549">
        <v>1260</v>
      </c>
      <c r="R549" t="s">
        <v>1777</v>
      </c>
      <c r="S549" s="42" t="str">
        <f>HYPERLINK("https://sklep.kobi.pl/produkt/oprawa-do-nabudowania-oh37-s-biala")</f>
        <v>https://sklep.kobi.pl/produkt/oprawa-do-nabudowania-oh37-s-biala</v>
      </c>
      <c r="T549" t="s">
        <v>71</v>
      </c>
      <c r="U549">
        <v>0.38300000000000001</v>
      </c>
      <c r="V549">
        <v>0.443</v>
      </c>
      <c r="W549">
        <v>105</v>
      </c>
      <c r="X549">
        <v>80</v>
      </c>
      <c r="Y549">
        <v>110</v>
      </c>
      <c r="Z549" t="s">
        <v>1778</v>
      </c>
      <c r="AA549"/>
    </row>
    <row r="550" spans="1:27" ht="15" x14ac:dyDescent="0.25">
      <c r="A550" t="s">
        <v>9</v>
      </c>
      <c r="B550" t="s">
        <v>315</v>
      </c>
      <c r="C550" t="s">
        <v>226</v>
      </c>
      <c r="D550" t="s">
        <v>69</v>
      </c>
      <c r="E550" t="s">
        <v>149</v>
      </c>
      <c r="F550" t="s">
        <v>501</v>
      </c>
      <c r="G550" t="s">
        <v>502</v>
      </c>
      <c r="H550" t="s">
        <v>54</v>
      </c>
      <c r="I550" s="41">
        <v>72</v>
      </c>
      <c r="J550" s="40">
        <f>I550*(1-IFERROR(VLOOKUP(H550,Rabat!$D$10:$E$41,2,FALSE),0))</f>
        <v>72</v>
      </c>
      <c r="K550">
        <v>0.17</v>
      </c>
      <c r="L550" t="s">
        <v>1789</v>
      </c>
      <c r="M550" t="s">
        <v>2355</v>
      </c>
      <c r="N550" t="s">
        <v>2349</v>
      </c>
      <c r="O550" t="s">
        <v>1776</v>
      </c>
      <c r="P550">
        <v>20</v>
      </c>
      <c r="Q550">
        <v>1260</v>
      </c>
      <c r="R550" t="s">
        <v>1777</v>
      </c>
      <c r="S550" s="42" t="str">
        <f>HYPERLINK("https://sklep.kobi.pl/produkt/oprawa-do-nabudowania-oh37-s-chrom")</f>
        <v>https://sklep.kobi.pl/produkt/oprawa-do-nabudowania-oh37-s-chrom</v>
      </c>
      <c r="T550" t="s">
        <v>71</v>
      </c>
      <c r="U550">
        <v>0.38300000000000001</v>
      </c>
      <c r="V550">
        <v>0.443</v>
      </c>
      <c r="W550">
        <v>105</v>
      </c>
      <c r="X550">
        <v>80</v>
      </c>
      <c r="Y550">
        <v>110</v>
      </c>
      <c r="Z550" t="s">
        <v>1778</v>
      </c>
      <c r="AA550"/>
    </row>
    <row r="551" spans="1:27" ht="15" x14ac:dyDescent="0.25">
      <c r="A551" t="s">
        <v>9</v>
      </c>
      <c r="B551" t="s">
        <v>315</v>
      </c>
      <c r="C551" t="s">
        <v>226</v>
      </c>
      <c r="D551" t="s">
        <v>69</v>
      </c>
      <c r="E551" t="s">
        <v>71</v>
      </c>
      <c r="F551" t="s">
        <v>503</v>
      </c>
      <c r="G551" t="s">
        <v>504</v>
      </c>
      <c r="H551" t="s">
        <v>54</v>
      </c>
      <c r="I551" s="41">
        <v>52</v>
      </c>
      <c r="J551" s="40">
        <f>I551*(1-IFERROR(VLOOKUP(H551,Rabat!$D$10:$E$41,2,FALSE),0))</f>
        <v>52</v>
      </c>
      <c r="K551">
        <v>0.17</v>
      </c>
      <c r="L551" t="s">
        <v>1789</v>
      </c>
      <c r="M551" t="s">
        <v>2356</v>
      </c>
      <c r="N551" t="s">
        <v>2349</v>
      </c>
      <c r="O551" t="s">
        <v>1776</v>
      </c>
      <c r="P551">
        <v>20</v>
      </c>
      <c r="Q551">
        <v>1260</v>
      </c>
      <c r="R551" t="s">
        <v>1777</v>
      </c>
      <c r="S551" s="42" t="str">
        <f>HYPERLINK("https://sklep.kobi.pl/produkt/oprawa-do-nabudowania-oh37-s-czarna")</f>
        <v>https://sklep.kobi.pl/produkt/oprawa-do-nabudowania-oh37-s-czarna</v>
      </c>
      <c r="T551" t="s">
        <v>71</v>
      </c>
      <c r="U551">
        <v>0.38300000000000001</v>
      </c>
      <c r="V551">
        <v>0.443</v>
      </c>
      <c r="W551">
        <v>105</v>
      </c>
      <c r="X551">
        <v>80</v>
      </c>
      <c r="Y551">
        <v>110</v>
      </c>
      <c r="Z551" t="s">
        <v>1778</v>
      </c>
      <c r="AA551"/>
    </row>
    <row r="552" spans="1:27" ht="15" x14ac:dyDescent="0.25">
      <c r="A552" t="s">
        <v>9</v>
      </c>
      <c r="B552" t="s">
        <v>315</v>
      </c>
      <c r="C552" t="s">
        <v>257</v>
      </c>
      <c r="D552" t="s">
        <v>486</v>
      </c>
      <c r="E552" t="s">
        <v>71</v>
      </c>
      <c r="F552" t="s">
        <v>1117</v>
      </c>
      <c r="G552" t="s">
        <v>1118</v>
      </c>
      <c r="H552" t="s">
        <v>53</v>
      </c>
      <c r="I552" s="41">
        <v>350</v>
      </c>
      <c r="J552" s="40">
        <f>I552*(1-IFERROR(VLOOKUP(H552,Rabat!$D$10:$E$41,2,FALSE),0))</f>
        <v>350</v>
      </c>
      <c r="K552">
        <v>0.66</v>
      </c>
      <c r="L552" t="s">
        <v>1789</v>
      </c>
      <c r="M552" t="s">
        <v>2357</v>
      </c>
      <c r="N552" t="s">
        <v>2000</v>
      </c>
      <c r="O552" t="s">
        <v>1776</v>
      </c>
      <c r="P552">
        <v>24</v>
      </c>
      <c r="Q552">
        <v>0</v>
      </c>
      <c r="R552" t="s">
        <v>1777</v>
      </c>
      <c r="S552" s="42" t="str">
        <f>HYPERLINK("https://sklep.kobi.pl/produkt/oprawa-lahti-dim-105w-3000k-black")</f>
        <v>https://sklep.kobi.pl/produkt/oprawa-lahti-dim-105w-3000k-black</v>
      </c>
      <c r="T552" t="s">
        <v>71</v>
      </c>
      <c r="U552">
        <v>0.77700000000000002</v>
      </c>
      <c r="V552">
        <v>0.89</v>
      </c>
      <c r="W552">
        <v>130</v>
      </c>
      <c r="X552">
        <v>135</v>
      </c>
      <c r="Y552">
        <v>135</v>
      </c>
      <c r="Z552" t="s">
        <v>1778</v>
      </c>
      <c r="AA552"/>
    </row>
    <row r="553" spans="1:27" ht="15" x14ac:dyDescent="0.25">
      <c r="A553" t="s">
        <v>9</v>
      </c>
      <c r="B553" t="s">
        <v>315</v>
      </c>
      <c r="C553" t="s">
        <v>257</v>
      </c>
      <c r="D553" t="s">
        <v>486</v>
      </c>
      <c r="E553" t="s">
        <v>71</v>
      </c>
      <c r="F553" t="s">
        <v>1119</v>
      </c>
      <c r="G553" t="s">
        <v>1120</v>
      </c>
      <c r="H553" t="s">
        <v>53</v>
      </c>
      <c r="I553" s="41">
        <v>350</v>
      </c>
      <c r="J553" s="40">
        <f>I553*(1-IFERROR(VLOOKUP(H553,Rabat!$D$10:$E$41,2,FALSE),0))</f>
        <v>350</v>
      </c>
      <c r="K553">
        <v>0.66</v>
      </c>
      <c r="L553" t="s">
        <v>1789</v>
      </c>
      <c r="M553" t="s">
        <v>2358</v>
      </c>
      <c r="N553" t="s">
        <v>2000</v>
      </c>
      <c r="O553" t="s">
        <v>1776</v>
      </c>
      <c r="P553">
        <v>24</v>
      </c>
      <c r="Q553">
        <v>0</v>
      </c>
      <c r="R553" t="s">
        <v>1777</v>
      </c>
      <c r="S553" s="42" t="str">
        <f>HYPERLINK("https://sklep.kobi.pl/produkt/oprawa-lahti-dim-105w-3000k-white")</f>
        <v>https://sklep.kobi.pl/produkt/oprawa-lahti-dim-105w-3000k-white</v>
      </c>
      <c r="T553" t="s">
        <v>71</v>
      </c>
      <c r="U553">
        <v>0.77700000000000002</v>
      </c>
      <c r="V553">
        <v>0.89</v>
      </c>
      <c r="W553">
        <v>130</v>
      </c>
      <c r="X553">
        <v>135</v>
      </c>
      <c r="Y553">
        <v>135</v>
      </c>
      <c r="Z553" t="s">
        <v>1778</v>
      </c>
      <c r="AA553"/>
    </row>
    <row r="554" spans="1:27" ht="15" x14ac:dyDescent="0.25">
      <c r="A554" t="s">
        <v>9</v>
      </c>
      <c r="B554" t="s">
        <v>315</v>
      </c>
      <c r="C554" t="s">
        <v>257</v>
      </c>
      <c r="D554" t="s">
        <v>486</v>
      </c>
      <c r="E554" t="s">
        <v>71</v>
      </c>
      <c r="F554" t="s">
        <v>1121</v>
      </c>
      <c r="G554" t="s">
        <v>1122</v>
      </c>
      <c r="H554" t="s">
        <v>53</v>
      </c>
      <c r="I554" s="41">
        <v>365</v>
      </c>
      <c r="J554" s="40">
        <f>I554*(1-IFERROR(VLOOKUP(H554,Rabat!$D$10:$E$41,2,FALSE),0))</f>
        <v>365</v>
      </c>
      <c r="K554">
        <v>0.66</v>
      </c>
      <c r="L554" t="s">
        <v>1789</v>
      </c>
      <c r="M554" t="s">
        <v>2359</v>
      </c>
      <c r="N554" t="s">
        <v>2000</v>
      </c>
      <c r="O554" t="s">
        <v>1776</v>
      </c>
      <c r="P554">
        <v>24</v>
      </c>
      <c r="Q554">
        <v>0</v>
      </c>
      <c r="R554" t="s">
        <v>1777</v>
      </c>
      <c r="S554" s="42" t="str">
        <f>HYPERLINK("https://sklep.kobi.pl/produkt/oprawa-lahti-dim-135w-3000k-black")</f>
        <v>https://sklep.kobi.pl/produkt/oprawa-lahti-dim-135w-3000k-black</v>
      </c>
      <c r="T554" t="s">
        <v>71</v>
      </c>
      <c r="U554">
        <v>0.78500000000000003</v>
      </c>
      <c r="V554">
        <v>0.89</v>
      </c>
      <c r="W554">
        <v>130</v>
      </c>
      <c r="X554">
        <v>135</v>
      </c>
      <c r="Y554">
        <v>135</v>
      </c>
      <c r="Z554" t="s">
        <v>1778</v>
      </c>
      <c r="AA554"/>
    </row>
    <row r="555" spans="1:27" ht="15" x14ac:dyDescent="0.25">
      <c r="A555" t="s">
        <v>9</v>
      </c>
      <c r="B555" t="s">
        <v>315</v>
      </c>
      <c r="C555" t="s">
        <v>257</v>
      </c>
      <c r="D555" t="s">
        <v>486</v>
      </c>
      <c r="E555" t="s">
        <v>71</v>
      </c>
      <c r="F555" t="s">
        <v>1123</v>
      </c>
      <c r="G555" t="s">
        <v>1124</v>
      </c>
      <c r="H555" t="s">
        <v>53</v>
      </c>
      <c r="I555" s="41">
        <v>365</v>
      </c>
      <c r="J555" s="40">
        <f>I555*(1-IFERROR(VLOOKUP(H555,Rabat!$D$10:$E$41,2,FALSE),0))</f>
        <v>365</v>
      </c>
      <c r="K555">
        <v>0.66</v>
      </c>
      <c r="L555" t="s">
        <v>1789</v>
      </c>
      <c r="M555" t="s">
        <v>2360</v>
      </c>
      <c r="N555" t="s">
        <v>2000</v>
      </c>
      <c r="O555" t="s">
        <v>1776</v>
      </c>
      <c r="P555">
        <v>24</v>
      </c>
      <c r="Q555">
        <v>0</v>
      </c>
      <c r="R555" t="s">
        <v>1777</v>
      </c>
      <c r="S555" s="42" t="str">
        <f>HYPERLINK("https://sklep.kobi.pl/produkt/oprawa-lahti-dim-135w-3000k-white")</f>
        <v>https://sklep.kobi.pl/produkt/oprawa-lahti-dim-135w-3000k-white</v>
      </c>
      <c r="T555" t="s">
        <v>71</v>
      </c>
      <c r="U555">
        <v>0.78500000000000003</v>
      </c>
      <c r="V555">
        <v>0.89</v>
      </c>
      <c r="W555">
        <v>130</v>
      </c>
      <c r="X555">
        <v>135</v>
      </c>
      <c r="Y555">
        <v>135</v>
      </c>
      <c r="Z555" t="s">
        <v>1778</v>
      </c>
      <c r="AA555"/>
    </row>
    <row r="556" spans="1:27" ht="15" x14ac:dyDescent="0.25">
      <c r="A556" t="s">
        <v>9</v>
      </c>
      <c r="B556" t="s">
        <v>315</v>
      </c>
      <c r="C556" t="s">
        <v>257</v>
      </c>
      <c r="D556" t="s">
        <v>486</v>
      </c>
      <c r="E556" t="s">
        <v>71</v>
      </c>
      <c r="F556" t="s">
        <v>1109</v>
      </c>
      <c r="G556" t="s">
        <v>1110</v>
      </c>
      <c r="H556" t="s">
        <v>53</v>
      </c>
      <c r="I556" s="41">
        <v>340</v>
      </c>
      <c r="J556" s="40">
        <f>I556*(1-IFERROR(VLOOKUP(H556,Rabat!$D$10:$E$41,2,FALSE),0))</f>
        <v>340</v>
      </c>
      <c r="K556">
        <v>0.37</v>
      </c>
      <c r="L556" t="s">
        <v>1789</v>
      </c>
      <c r="M556" t="s">
        <v>2361</v>
      </c>
      <c r="N556" t="s">
        <v>2023</v>
      </c>
      <c r="O556" t="s">
        <v>1776</v>
      </c>
      <c r="P556">
        <v>24</v>
      </c>
      <c r="Q556">
        <v>0</v>
      </c>
      <c r="R556" t="s">
        <v>1777</v>
      </c>
      <c r="S556" s="42" t="str">
        <f>HYPERLINK("https://sklep.kobi.pl/produkt/oprawa-lahti-mini-dim-9w-3000k-black")</f>
        <v>https://sklep.kobi.pl/produkt/oprawa-lahti-mini-dim-9w-3000k-black</v>
      </c>
      <c r="T556" t="s">
        <v>71</v>
      </c>
      <c r="U556">
        <v>0.432</v>
      </c>
      <c r="V556">
        <v>0.5</v>
      </c>
      <c r="W556">
        <v>105</v>
      </c>
      <c r="X556">
        <v>105</v>
      </c>
      <c r="Y556">
        <v>115</v>
      </c>
      <c r="Z556" t="s">
        <v>1778</v>
      </c>
      <c r="AA556"/>
    </row>
    <row r="557" spans="1:27" ht="15" x14ac:dyDescent="0.25">
      <c r="A557" t="s">
        <v>9</v>
      </c>
      <c r="B557" t="s">
        <v>315</v>
      </c>
      <c r="C557" t="s">
        <v>257</v>
      </c>
      <c r="D557" t="s">
        <v>486</v>
      </c>
      <c r="E557" t="s">
        <v>71</v>
      </c>
      <c r="F557" t="s">
        <v>1111</v>
      </c>
      <c r="G557" t="s">
        <v>1112</v>
      </c>
      <c r="H557" t="s">
        <v>53</v>
      </c>
      <c r="I557" s="41">
        <v>340</v>
      </c>
      <c r="J557" s="40">
        <f>I557*(1-IFERROR(VLOOKUP(H557,Rabat!$D$10:$E$41,2,FALSE),0))</f>
        <v>340</v>
      </c>
      <c r="K557">
        <v>0.37</v>
      </c>
      <c r="L557" t="s">
        <v>1789</v>
      </c>
      <c r="M557" t="s">
        <v>2362</v>
      </c>
      <c r="N557" t="s">
        <v>2023</v>
      </c>
      <c r="O557" t="s">
        <v>1776</v>
      </c>
      <c r="P557">
        <v>24</v>
      </c>
      <c r="Q557">
        <v>0</v>
      </c>
      <c r="R557" t="s">
        <v>1777</v>
      </c>
      <c r="S557" s="42" t="str">
        <f>HYPERLINK("https://sklep.kobi.pl/produkt/oprawa-lahti-mini-dim-9w-3000k-white")</f>
        <v>https://sklep.kobi.pl/produkt/oprawa-lahti-mini-dim-9w-3000k-white</v>
      </c>
      <c r="T557" t="s">
        <v>71</v>
      </c>
      <c r="U557">
        <v>0.432</v>
      </c>
      <c r="V557">
        <v>0.5</v>
      </c>
      <c r="W557">
        <v>105</v>
      </c>
      <c r="X557">
        <v>105</v>
      </c>
      <c r="Y557">
        <v>115</v>
      </c>
      <c r="Z557" t="s">
        <v>1778</v>
      </c>
      <c r="AA557"/>
    </row>
    <row r="558" spans="1:27" ht="15" x14ac:dyDescent="0.25">
      <c r="A558" t="s">
        <v>9</v>
      </c>
      <c r="B558" t="s">
        <v>315</v>
      </c>
      <c r="C558" t="s">
        <v>257</v>
      </c>
      <c r="D558" t="s">
        <v>486</v>
      </c>
      <c r="E558" t="s">
        <v>71</v>
      </c>
      <c r="F558" t="s">
        <v>1115</v>
      </c>
      <c r="G558" t="s">
        <v>1116</v>
      </c>
      <c r="H558" t="s">
        <v>53</v>
      </c>
      <c r="I558" s="41">
        <v>615</v>
      </c>
      <c r="J558" s="40">
        <f>I558*(1-IFERROR(VLOOKUP(H558,Rabat!$D$10:$E$41,2,FALSE),0))</f>
        <v>615</v>
      </c>
      <c r="K558">
        <v>0.72</v>
      </c>
      <c r="L558" t="s">
        <v>1789</v>
      </c>
      <c r="M558" t="s">
        <v>2363</v>
      </c>
      <c r="N558" t="s">
        <v>2023</v>
      </c>
      <c r="O558" t="s">
        <v>1776</v>
      </c>
      <c r="P558">
        <v>12</v>
      </c>
      <c r="Q558">
        <v>0</v>
      </c>
      <c r="R558" t="s">
        <v>1777</v>
      </c>
      <c r="S558" s="42" t="str">
        <f>HYPERLINK("https://sklep.kobi.pl/produkt/oprawa-lahti-mini-dim-2x9w-3000k-black")</f>
        <v>https://sklep.kobi.pl/produkt/oprawa-lahti-mini-dim-2x9w-3000k-black</v>
      </c>
      <c r="T558" t="s">
        <v>71</v>
      </c>
      <c r="U558">
        <v>0.85699999999999998</v>
      </c>
      <c r="V558">
        <v>0.98</v>
      </c>
      <c r="W558">
        <v>80</v>
      </c>
      <c r="X558">
        <v>60</v>
      </c>
      <c r="Y558">
        <v>130</v>
      </c>
      <c r="Z558" t="s">
        <v>1778</v>
      </c>
      <c r="AA558"/>
    </row>
    <row r="559" spans="1:27" ht="15" x14ac:dyDescent="0.25">
      <c r="A559" t="s">
        <v>9</v>
      </c>
      <c r="B559" t="s">
        <v>315</v>
      </c>
      <c r="C559" t="s">
        <v>257</v>
      </c>
      <c r="D559" t="s">
        <v>486</v>
      </c>
      <c r="E559" t="s">
        <v>71</v>
      </c>
      <c r="F559" t="s">
        <v>1113</v>
      </c>
      <c r="G559" t="s">
        <v>1114</v>
      </c>
      <c r="H559" t="s">
        <v>53</v>
      </c>
      <c r="I559" s="41">
        <v>615</v>
      </c>
      <c r="J559" s="40">
        <f>I559*(1-IFERROR(VLOOKUP(H559,Rabat!$D$10:$E$41,2,FALSE),0))</f>
        <v>615</v>
      </c>
      <c r="K559">
        <v>0.72</v>
      </c>
      <c r="L559" t="s">
        <v>1789</v>
      </c>
      <c r="M559" t="s">
        <v>2364</v>
      </c>
      <c r="N559" t="s">
        <v>2023</v>
      </c>
      <c r="O559" t="s">
        <v>1776</v>
      </c>
      <c r="P559">
        <v>12</v>
      </c>
      <c r="Q559">
        <v>0</v>
      </c>
      <c r="R559" t="s">
        <v>1777</v>
      </c>
      <c r="S559" s="42" t="str">
        <f>HYPERLINK("https://sklep.kobi.pl/produkt/oprawa-lahti-mini-dim-2x9w-3000k-white")</f>
        <v>https://sklep.kobi.pl/produkt/oprawa-lahti-mini-dim-2x9w-3000k-white</v>
      </c>
      <c r="T559" t="s">
        <v>71</v>
      </c>
      <c r="U559">
        <v>0.85699999999999998</v>
      </c>
      <c r="V559">
        <v>0.98</v>
      </c>
      <c r="W559">
        <v>80</v>
      </c>
      <c r="X559">
        <v>60</v>
      </c>
      <c r="Y559">
        <v>130</v>
      </c>
      <c r="Z559" t="s">
        <v>1778</v>
      </c>
      <c r="AA559"/>
    </row>
    <row r="560" spans="1:27" ht="15" x14ac:dyDescent="0.25">
      <c r="A560" t="s">
        <v>9</v>
      </c>
      <c r="B560" t="s">
        <v>315</v>
      </c>
      <c r="C560" t="s">
        <v>257</v>
      </c>
      <c r="D560" t="s">
        <v>486</v>
      </c>
      <c r="E560" t="s">
        <v>149</v>
      </c>
      <c r="F560" t="s">
        <v>1007</v>
      </c>
      <c r="G560" t="s">
        <v>1008</v>
      </c>
      <c r="H560" t="s">
        <v>53</v>
      </c>
      <c r="I560" s="41">
        <v>447</v>
      </c>
      <c r="J560" s="40">
        <f>I560*(1-IFERROR(VLOOKUP(H560,Rabat!$D$10:$E$41,2,FALSE),0))</f>
        <v>447</v>
      </c>
      <c r="K560">
        <v>0.56000000000000005</v>
      </c>
      <c r="L560" t="s">
        <v>1789</v>
      </c>
      <c r="M560" t="s">
        <v>2365</v>
      </c>
      <c r="N560" t="s">
        <v>2023</v>
      </c>
      <c r="O560" t="s">
        <v>1776</v>
      </c>
      <c r="P560">
        <v>12</v>
      </c>
      <c r="Q560">
        <v>0</v>
      </c>
      <c r="R560" t="s">
        <v>1955</v>
      </c>
      <c r="S560" s="42" t="str">
        <f>HYPERLINK("https://sklep.kobi.pl/produkt/led-moss-10w-3000k-black")</f>
        <v>https://sklep.kobi.pl/produkt/led-moss-10w-3000k-black</v>
      </c>
      <c r="T560" t="s">
        <v>71</v>
      </c>
      <c r="U560">
        <v>0.66600000000000004</v>
      </c>
      <c r="V560">
        <v>0.88500000000000001</v>
      </c>
      <c r="W560">
        <v>260</v>
      </c>
      <c r="X560">
        <v>120</v>
      </c>
      <c r="Y560">
        <v>190</v>
      </c>
      <c r="Z560" t="s">
        <v>1778</v>
      </c>
      <c r="AA560"/>
    </row>
    <row r="561" spans="1:27" ht="15" x14ac:dyDescent="0.25">
      <c r="A561" t="s">
        <v>9</v>
      </c>
      <c r="B561" t="s">
        <v>315</v>
      </c>
      <c r="C561" t="s">
        <v>257</v>
      </c>
      <c r="D561" t="s">
        <v>486</v>
      </c>
      <c r="E561" t="s">
        <v>149</v>
      </c>
      <c r="F561" t="s">
        <v>1009</v>
      </c>
      <c r="G561" t="s">
        <v>1010</v>
      </c>
      <c r="H561" t="s">
        <v>53</v>
      </c>
      <c r="I561" s="41">
        <v>465</v>
      </c>
      <c r="J561" s="40">
        <f>I561*(1-IFERROR(VLOOKUP(H561,Rabat!$D$10:$E$41,2,FALSE),0))</f>
        <v>465</v>
      </c>
      <c r="K561">
        <v>0.74</v>
      </c>
      <c r="L561" t="s">
        <v>1789</v>
      </c>
      <c r="M561" t="s">
        <v>2366</v>
      </c>
      <c r="N561" t="s">
        <v>2023</v>
      </c>
      <c r="O561" t="s">
        <v>1776</v>
      </c>
      <c r="P561">
        <v>12</v>
      </c>
      <c r="Q561">
        <v>0</v>
      </c>
      <c r="R561" t="s">
        <v>1955</v>
      </c>
      <c r="S561" s="42" t="str">
        <f>HYPERLINK("https://sklep.kobi.pl/produkt/led-moss-20w-3000k-black")</f>
        <v>https://sklep.kobi.pl/produkt/led-moss-20w-3000k-black</v>
      </c>
      <c r="T561" t="s">
        <v>71</v>
      </c>
      <c r="U561">
        <v>0.88</v>
      </c>
      <c r="V561">
        <v>0.88500000000000001</v>
      </c>
      <c r="W561">
        <v>260</v>
      </c>
      <c r="X561">
        <v>120</v>
      </c>
      <c r="Y561">
        <v>190</v>
      </c>
      <c r="Z561" t="s">
        <v>1778</v>
      </c>
      <c r="AA561"/>
    </row>
    <row r="562" spans="1:27" ht="15" x14ac:dyDescent="0.25">
      <c r="A562" t="s">
        <v>9</v>
      </c>
      <c r="B562" t="s">
        <v>460</v>
      </c>
      <c r="C562"/>
      <c r="D562" t="s">
        <v>69</v>
      </c>
      <c r="E562" t="s">
        <v>71</v>
      </c>
      <c r="F562" t="s">
        <v>465</v>
      </c>
      <c r="G562" t="s">
        <v>466</v>
      </c>
      <c r="H562" t="s">
        <v>54</v>
      </c>
      <c r="I562" s="41">
        <v>65.3</v>
      </c>
      <c r="J562" s="40">
        <f>I562*(1-IFERROR(VLOOKUP(H562,Rabat!$D$10:$E$41,2,FALSE),0))</f>
        <v>65.3</v>
      </c>
      <c r="K562">
        <v>0.13</v>
      </c>
      <c r="L562" t="s">
        <v>1789</v>
      </c>
      <c r="M562" t="s">
        <v>2367</v>
      </c>
      <c r="N562" t="s">
        <v>2311</v>
      </c>
      <c r="O562" t="s">
        <v>1776</v>
      </c>
      <c r="P562">
        <v>20</v>
      </c>
      <c r="Q562">
        <v>840</v>
      </c>
      <c r="R562" t="s">
        <v>1777</v>
      </c>
      <c r="S562" s="42" t="str">
        <f>HYPERLINK("https://sklep.kobi.pl/produkt/aquarius-round-black")</f>
        <v>https://sklep.kobi.pl/produkt/aquarius-round-black</v>
      </c>
      <c r="T562" t="s">
        <v>71</v>
      </c>
      <c r="U562">
        <v>0.27700000000000002</v>
      </c>
      <c r="V562">
        <v>0.33400000000000002</v>
      </c>
      <c r="W562">
        <v>105</v>
      </c>
      <c r="X562">
        <v>125</v>
      </c>
      <c r="Y562">
        <v>110</v>
      </c>
      <c r="Z562" t="s">
        <v>1778</v>
      </c>
      <c r="AA562"/>
    </row>
    <row r="563" spans="1:27" ht="15" x14ac:dyDescent="0.25">
      <c r="A563" t="s">
        <v>9</v>
      </c>
      <c r="B563" t="s">
        <v>460</v>
      </c>
      <c r="C563"/>
      <c r="D563" t="s">
        <v>69</v>
      </c>
      <c r="E563" t="s">
        <v>149</v>
      </c>
      <c r="F563" t="s">
        <v>463</v>
      </c>
      <c r="G563" t="s">
        <v>464</v>
      </c>
      <c r="H563" t="s">
        <v>54</v>
      </c>
      <c r="I563" s="41">
        <v>65.3</v>
      </c>
      <c r="J563" s="40">
        <f>I563*(1-IFERROR(VLOOKUP(H563,Rabat!$D$10:$E$41,2,FALSE),0))</f>
        <v>65.3</v>
      </c>
      <c r="K563">
        <v>0.13</v>
      </c>
      <c r="L563" t="s">
        <v>1789</v>
      </c>
      <c r="M563" t="s">
        <v>2368</v>
      </c>
      <c r="N563" t="s">
        <v>2311</v>
      </c>
      <c r="O563" t="s">
        <v>1776</v>
      </c>
      <c r="P563">
        <v>20</v>
      </c>
      <c r="Q563">
        <v>840</v>
      </c>
      <c r="R563" t="s">
        <v>1777</v>
      </c>
      <c r="S563" s="42" t="str">
        <f>HYPERLINK("https://sklep.kobi.pl/produkt/aquarius-round-chrome")</f>
        <v>https://sklep.kobi.pl/produkt/aquarius-round-chrome</v>
      </c>
      <c r="T563" t="s">
        <v>71</v>
      </c>
      <c r="U563">
        <v>0.27700000000000002</v>
      </c>
      <c r="V563">
        <v>0.33400000000000002</v>
      </c>
      <c r="W563">
        <v>105</v>
      </c>
      <c r="X563">
        <v>125</v>
      </c>
      <c r="Y563">
        <v>110</v>
      </c>
      <c r="Z563" t="s">
        <v>1778</v>
      </c>
      <c r="AA563"/>
    </row>
    <row r="564" spans="1:27" ht="15" x14ac:dyDescent="0.25">
      <c r="A564" t="s">
        <v>9</v>
      </c>
      <c r="B564" t="s">
        <v>460</v>
      </c>
      <c r="C564"/>
      <c r="D564" t="s">
        <v>69</v>
      </c>
      <c r="E564" t="s">
        <v>71</v>
      </c>
      <c r="F564" t="s">
        <v>461</v>
      </c>
      <c r="G564" t="s">
        <v>462</v>
      </c>
      <c r="H564" t="s">
        <v>54</v>
      </c>
      <c r="I564" s="41">
        <v>65.3</v>
      </c>
      <c r="J564" s="40">
        <f>I564*(1-IFERROR(VLOOKUP(H564,Rabat!$D$10:$E$41,2,FALSE),0))</f>
        <v>65.3</v>
      </c>
      <c r="K564">
        <v>0.13</v>
      </c>
      <c r="L564" t="s">
        <v>1789</v>
      </c>
      <c r="M564" t="s">
        <v>2369</v>
      </c>
      <c r="N564" t="s">
        <v>2311</v>
      </c>
      <c r="O564" t="s">
        <v>1776</v>
      </c>
      <c r="P564">
        <v>20</v>
      </c>
      <c r="Q564">
        <v>840</v>
      </c>
      <c r="R564" t="s">
        <v>1777</v>
      </c>
      <c r="S564" s="42" t="str">
        <f>HYPERLINK("https://sklep.kobi.pl/produkt/aquarius-round-white")</f>
        <v>https://sklep.kobi.pl/produkt/aquarius-round-white</v>
      </c>
      <c r="T564" t="s">
        <v>71</v>
      </c>
      <c r="U564">
        <v>0.27700000000000002</v>
      </c>
      <c r="V564">
        <v>0.33400000000000002</v>
      </c>
      <c r="W564">
        <v>105</v>
      </c>
      <c r="X564">
        <v>125</v>
      </c>
      <c r="Y564">
        <v>110</v>
      </c>
      <c r="Z564" t="s">
        <v>1778</v>
      </c>
      <c r="AA564"/>
    </row>
    <row r="565" spans="1:27" ht="15" x14ac:dyDescent="0.25">
      <c r="A565" t="s">
        <v>9</v>
      </c>
      <c r="B565" t="s">
        <v>460</v>
      </c>
      <c r="C565"/>
      <c r="D565" t="s">
        <v>69</v>
      </c>
      <c r="E565" t="s">
        <v>149</v>
      </c>
      <c r="F565" t="s">
        <v>469</v>
      </c>
      <c r="G565" t="s">
        <v>470</v>
      </c>
      <c r="H565" t="s">
        <v>54</v>
      </c>
      <c r="I565" s="41">
        <v>79.3</v>
      </c>
      <c r="J565" s="40">
        <f>I565*(1-IFERROR(VLOOKUP(H565,Rabat!$D$10:$E$41,2,FALSE),0))</f>
        <v>79.3</v>
      </c>
      <c r="K565">
        <v>0.28999999999999998</v>
      </c>
      <c r="L565" t="s">
        <v>1789</v>
      </c>
      <c r="M565" t="s">
        <v>2370</v>
      </c>
      <c r="N565" t="s">
        <v>2311</v>
      </c>
      <c r="O565" t="s">
        <v>1776</v>
      </c>
      <c r="P565">
        <v>20</v>
      </c>
      <c r="Q565">
        <v>0</v>
      </c>
      <c r="R565" t="s">
        <v>1777</v>
      </c>
      <c r="S565" s="42" t="str">
        <f>HYPERLINK("https://sklep.kobi.pl/produkt/aquarius-square-black")</f>
        <v>https://sklep.kobi.pl/produkt/aquarius-square-black</v>
      </c>
      <c r="T565" t="s">
        <v>71</v>
      </c>
      <c r="U565">
        <v>0.64800000000000002</v>
      </c>
      <c r="V565">
        <v>0.72899999999999998</v>
      </c>
      <c r="W565">
        <v>110</v>
      </c>
      <c r="X565">
        <v>125</v>
      </c>
      <c r="Y565">
        <v>105</v>
      </c>
      <c r="Z565" t="s">
        <v>1778</v>
      </c>
      <c r="AA565"/>
    </row>
    <row r="566" spans="1:27" ht="15" x14ac:dyDescent="0.25">
      <c r="A566" t="s">
        <v>9</v>
      </c>
      <c r="B566" t="s">
        <v>460</v>
      </c>
      <c r="C566"/>
      <c r="D566" t="s">
        <v>69</v>
      </c>
      <c r="E566" t="s">
        <v>149</v>
      </c>
      <c r="F566" t="s">
        <v>467</v>
      </c>
      <c r="G566" t="s">
        <v>468</v>
      </c>
      <c r="H566" t="s">
        <v>54</v>
      </c>
      <c r="I566" s="41">
        <v>79.3</v>
      </c>
      <c r="J566" s="40">
        <f>I566*(1-IFERROR(VLOOKUP(H566,Rabat!$D$10:$E$41,2,FALSE),0))</f>
        <v>79.3</v>
      </c>
      <c r="K566">
        <v>0.28999999999999998</v>
      </c>
      <c r="L566" t="s">
        <v>1789</v>
      </c>
      <c r="M566" t="s">
        <v>2371</v>
      </c>
      <c r="N566" t="s">
        <v>2311</v>
      </c>
      <c r="O566" t="s">
        <v>1776</v>
      </c>
      <c r="P566">
        <v>20</v>
      </c>
      <c r="Q566">
        <v>0</v>
      </c>
      <c r="R566" t="s">
        <v>1777</v>
      </c>
      <c r="S566" s="42" t="str">
        <f>HYPERLINK("https://sklep.kobi.pl/produkt/aquarius-square-white")</f>
        <v>https://sklep.kobi.pl/produkt/aquarius-square-white</v>
      </c>
      <c r="T566" t="s">
        <v>71</v>
      </c>
      <c r="U566">
        <v>0.64800000000000002</v>
      </c>
      <c r="V566">
        <v>0.72899999999999998</v>
      </c>
      <c r="W566">
        <v>110</v>
      </c>
      <c r="X566">
        <v>125</v>
      </c>
      <c r="Y566">
        <v>105</v>
      </c>
      <c r="Z566" t="s">
        <v>1778</v>
      </c>
      <c r="AA566"/>
    </row>
    <row r="567" spans="1:27" ht="15" x14ac:dyDescent="0.25">
      <c r="A567" t="s">
        <v>9</v>
      </c>
      <c r="B567" t="s">
        <v>212</v>
      </c>
      <c r="C567" t="s">
        <v>278</v>
      </c>
      <c r="D567" t="s">
        <v>69</v>
      </c>
      <c r="E567" t="s">
        <v>71</v>
      </c>
      <c r="F567" t="s">
        <v>372</v>
      </c>
      <c r="G567" t="s">
        <v>373</v>
      </c>
      <c r="H567" t="s">
        <v>13</v>
      </c>
      <c r="I567" s="41">
        <v>48.63</v>
      </c>
      <c r="J567" s="40">
        <f>I567*(1-IFERROR(VLOOKUP(H567,Rabat!$D$10:$E$41,2,FALSE),0))</f>
        <v>48.63</v>
      </c>
      <c r="K567">
        <v>0.19</v>
      </c>
      <c r="L567" t="s">
        <v>1789</v>
      </c>
      <c r="M567" t="s">
        <v>2372</v>
      </c>
      <c r="N567" t="s">
        <v>2092</v>
      </c>
      <c r="O567" t="s">
        <v>1776</v>
      </c>
      <c r="P567">
        <v>24</v>
      </c>
      <c r="Q567">
        <v>480</v>
      </c>
      <c r="R567" t="s">
        <v>1777</v>
      </c>
      <c r="S567" s="42" t="str">
        <f>HYPERLINK("https://sklep.kobi.pl/produkt/lampa-ogrodowa-blake-2-czarna-gu10-ip65")</f>
        <v>https://sklep.kobi.pl/produkt/lampa-ogrodowa-blake-2-czarna-gu10-ip65</v>
      </c>
      <c r="T567" t="s">
        <v>71</v>
      </c>
      <c r="U567">
        <v>0.42099999999999999</v>
      </c>
      <c r="V567">
        <v>0.49299999999999999</v>
      </c>
      <c r="W567">
        <v>110</v>
      </c>
      <c r="X567">
        <v>112</v>
      </c>
      <c r="Y567">
        <v>180</v>
      </c>
      <c r="Z567" t="s">
        <v>1778</v>
      </c>
      <c r="AA567"/>
    </row>
    <row r="568" spans="1:27" ht="15" x14ac:dyDescent="0.25">
      <c r="A568" t="s">
        <v>9</v>
      </c>
      <c r="B568" t="s">
        <v>212</v>
      </c>
      <c r="C568" t="s">
        <v>278</v>
      </c>
      <c r="D568" t="s">
        <v>69</v>
      </c>
      <c r="E568" t="s">
        <v>71</v>
      </c>
      <c r="F568" t="s">
        <v>279</v>
      </c>
      <c r="G568" t="s">
        <v>280</v>
      </c>
      <c r="H568" t="s">
        <v>12</v>
      </c>
      <c r="I568" s="41">
        <v>94.26</v>
      </c>
      <c r="J568" s="40">
        <f>I568*(1-IFERROR(VLOOKUP(H568,Rabat!$D$10:$E$41,2,FALSE),0))</f>
        <v>94.26</v>
      </c>
      <c r="K568">
        <v>0.27</v>
      </c>
      <c r="L568" t="s">
        <v>1789</v>
      </c>
      <c r="M568" t="s">
        <v>2373</v>
      </c>
      <c r="N568" t="s">
        <v>2092</v>
      </c>
      <c r="O568" t="s">
        <v>1776</v>
      </c>
      <c r="P568">
        <v>18</v>
      </c>
      <c r="Q568">
        <v>0</v>
      </c>
      <c r="R568" t="s">
        <v>1777</v>
      </c>
      <c r="S568" s="42" t="str">
        <f>HYPERLINK("https://sklep.kobi.pl/produkt/opr-dogrun-gu10-entrada1-kwadrat")</f>
        <v>https://sklep.kobi.pl/produkt/opr-dogrun-gu10-entrada1-kwadrat</v>
      </c>
      <c r="T568" t="s">
        <v>71</v>
      </c>
      <c r="U568">
        <v>0.58899999999999997</v>
      </c>
      <c r="V568">
        <v>0.64400000000000002</v>
      </c>
      <c r="W568">
        <v>116</v>
      </c>
      <c r="X568">
        <v>117</v>
      </c>
      <c r="Y568">
        <v>130</v>
      </c>
      <c r="Z568" t="s">
        <v>1778</v>
      </c>
      <c r="AA568"/>
    </row>
    <row r="569" spans="1:27" ht="15" x14ac:dyDescent="0.25">
      <c r="A569" t="s">
        <v>9</v>
      </c>
      <c r="B569" t="s">
        <v>212</v>
      </c>
      <c r="C569" t="s">
        <v>278</v>
      </c>
      <c r="D569" t="s">
        <v>69</v>
      </c>
      <c r="E569" t="s">
        <v>71</v>
      </c>
      <c r="F569" t="s">
        <v>281</v>
      </c>
      <c r="G569" t="s">
        <v>282</v>
      </c>
      <c r="H569" t="s">
        <v>12</v>
      </c>
      <c r="I569" s="41">
        <v>86.84</v>
      </c>
      <c r="J569" s="40">
        <f>I569*(1-IFERROR(VLOOKUP(H569,Rabat!$D$10:$E$41,2,FALSE),0))</f>
        <v>86.84</v>
      </c>
      <c r="K569">
        <v>0.23</v>
      </c>
      <c r="L569" t="s">
        <v>1789</v>
      </c>
      <c r="M569" t="s">
        <v>2374</v>
      </c>
      <c r="N569" t="s">
        <v>2092</v>
      </c>
      <c r="O569" t="s">
        <v>1776</v>
      </c>
      <c r="P569">
        <v>18</v>
      </c>
      <c r="Q569">
        <v>0</v>
      </c>
      <c r="R569" t="s">
        <v>1777</v>
      </c>
      <c r="S569" s="42" t="str">
        <f>HYPERLINK("https://sklep.kobi.pl/produkt/opr-dogrun-gu10-entrada2-okragla")</f>
        <v>https://sklep.kobi.pl/produkt/opr-dogrun-gu10-entrada2-okragla</v>
      </c>
      <c r="T569" t="s">
        <v>71</v>
      </c>
      <c r="U569">
        <v>0.51100000000000001</v>
      </c>
      <c r="V569">
        <v>0.57599999999999996</v>
      </c>
      <c r="W569">
        <v>115</v>
      </c>
      <c r="X569">
        <v>112</v>
      </c>
      <c r="Y569">
        <v>130</v>
      </c>
      <c r="Z569" t="s">
        <v>1778</v>
      </c>
      <c r="AA569"/>
    </row>
    <row r="570" spans="1:27" ht="15" x14ac:dyDescent="0.25">
      <c r="A570" t="s">
        <v>9</v>
      </c>
      <c r="B570" t="s">
        <v>212</v>
      </c>
      <c r="C570" t="s">
        <v>278</v>
      </c>
      <c r="D570" t="s">
        <v>667</v>
      </c>
      <c r="E570" t="s">
        <v>1289</v>
      </c>
      <c r="F570" t="s">
        <v>1504</v>
      </c>
      <c r="G570" t="s">
        <v>1505</v>
      </c>
      <c r="H570" t="s">
        <v>13</v>
      </c>
      <c r="I570" s="41">
        <v>57.4</v>
      </c>
      <c r="J570" s="40">
        <f>I570*(1-IFERROR(VLOOKUP(H570,Rabat!$D$10:$E$41,2,FALSE),0))</f>
        <v>57.4</v>
      </c>
      <c r="K570">
        <v>0.18</v>
      </c>
      <c r="L570" t="s">
        <v>1789</v>
      </c>
      <c r="M570" t="s">
        <v>2375</v>
      </c>
      <c r="N570" t="s">
        <v>2092</v>
      </c>
      <c r="O570" t="s">
        <v>1776</v>
      </c>
      <c r="P570">
        <v>20</v>
      </c>
      <c r="Q570">
        <v>0</v>
      </c>
      <c r="R570" t="s">
        <v>1777</v>
      </c>
      <c r="S570" s="42" t="str">
        <f>HYPERLINK("https://sklep.kobi.pl/produkt/ingress-gu10-round-led2b")</f>
        <v>https://sklep.kobi.pl/produkt/ingress-gu10-round-led2b</v>
      </c>
      <c r="T570" t="s">
        <v>71</v>
      </c>
      <c r="U570">
        <v>0.39</v>
      </c>
      <c r="V570">
        <v>0</v>
      </c>
      <c r="W570">
        <v>0</v>
      </c>
      <c r="X570">
        <v>0</v>
      </c>
      <c r="Y570">
        <v>0</v>
      </c>
      <c r="Z570" t="s">
        <v>1778</v>
      </c>
      <c r="AA570"/>
    </row>
    <row r="571" spans="1:27" ht="15" x14ac:dyDescent="0.25">
      <c r="A571" t="s">
        <v>9</v>
      </c>
      <c r="B571" t="s">
        <v>212</v>
      </c>
      <c r="C571" t="s">
        <v>278</v>
      </c>
      <c r="D571" t="s">
        <v>667</v>
      </c>
      <c r="E571" t="s">
        <v>1289</v>
      </c>
      <c r="F571" t="s">
        <v>1506</v>
      </c>
      <c r="G571" t="s">
        <v>1507</v>
      </c>
      <c r="H571" t="s">
        <v>13</v>
      </c>
      <c r="I571" s="41">
        <v>59.8</v>
      </c>
      <c r="J571" s="40">
        <f>I571*(1-IFERROR(VLOOKUP(H571,Rabat!$D$10:$E$41,2,FALSE),0))</f>
        <v>59.8</v>
      </c>
      <c r="K571">
        <v>0.22</v>
      </c>
      <c r="L571" t="s">
        <v>1789</v>
      </c>
      <c r="M571" t="s">
        <v>2376</v>
      </c>
      <c r="N571" t="s">
        <v>2092</v>
      </c>
      <c r="O571" t="s">
        <v>1776</v>
      </c>
      <c r="P571">
        <v>20</v>
      </c>
      <c r="Q571">
        <v>0</v>
      </c>
      <c r="R571" t="s">
        <v>1777</v>
      </c>
      <c r="S571" s="42" t="str">
        <f>HYPERLINK("https://sklep.kobi.pl/produkt/ingress-gu10-square-led2b")</f>
        <v>https://sklep.kobi.pl/produkt/ingress-gu10-square-led2b</v>
      </c>
      <c r="T571" t="s">
        <v>71</v>
      </c>
      <c r="U571">
        <v>0.49</v>
      </c>
      <c r="V571">
        <v>0</v>
      </c>
      <c r="W571">
        <v>0</v>
      </c>
      <c r="X571">
        <v>0</v>
      </c>
      <c r="Y571">
        <v>0</v>
      </c>
      <c r="Z571" t="s">
        <v>1778</v>
      </c>
      <c r="AA571"/>
    </row>
    <row r="572" spans="1:27" ht="15" x14ac:dyDescent="0.25">
      <c r="A572" t="s">
        <v>9</v>
      </c>
      <c r="B572" t="s">
        <v>212</v>
      </c>
      <c r="C572" t="s">
        <v>748</v>
      </c>
      <c r="D572" t="s">
        <v>69</v>
      </c>
      <c r="E572" t="s">
        <v>71</v>
      </c>
      <c r="F572" t="s">
        <v>749</v>
      </c>
      <c r="G572" t="s">
        <v>750</v>
      </c>
      <c r="H572" t="s">
        <v>13</v>
      </c>
      <c r="I572" s="41">
        <v>211</v>
      </c>
      <c r="J572" s="40">
        <f>I572*(1-IFERROR(VLOOKUP(H572,Rabat!$D$10:$E$41,2,FALSE),0))</f>
        <v>211</v>
      </c>
      <c r="K572">
        <v>0.88</v>
      </c>
      <c r="L572" t="s">
        <v>1789</v>
      </c>
      <c r="M572" t="s">
        <v>2377</v>
      </c>
      <c r="N572" t="s">
        <v>2092</v>
      </c>
      <c r="O572" t="s">
        <v>1776</v>
      </c>
      <c r="P572">
        <v>8</v>
      </c>
      <c r="Q572">
        <v>128</v>
      </c>
      <c r="R572" t="s">
        <v>1777</v>
      </c>
      <c r="S572" s="42" t="str">
        <f>HYPERLINK("https://sklep.kobi.pl/produkt/girlanda-mimosa-10m-20xe27")</f>
        <v>https://sklep.kobi.pl/produkt/girlanda-mimosa-10m-20xe27</v>
      </c>
      <c r="T572" t="s">
        <v>71</v>
      </c>
      <c r="U572">
        <v>1.93</v>
      </c>
      <c r="V572">
        <v>2.1749999999999998</v>
      </c>
      <c r="W572">
        <v>310</v>
      </c>
      <c r="X572">
        <v>165</v>
      </c>
      <c r="Y572">
        <v>205</v>
      </c>
      <c r="Z572" t="s">
        <v>1778</v>
      </c>
      <c r="AA572"/>
    </row>
    <row r="573" spans="1:27" ht="15" x14ac:dyDescent="0.25">
      <c r="A573" t="s">
        <v>9</v>
      </c>
      <c r="B573" t="s">
        <v>212</v>
      </c>
      <c r="C573" t="s">
        <v>748</v>
      </c>
      <c r="D573" t="s">
        <v>69</v>
      </c>
      <c r="E573" t="s">
        <v>71</v>
      </c>
      <c r="F573" t="s">
        <v>751</v>
      </c>
      <c r="G573" t="s">
        <v>752</v>
      </c>
      <c r="H573" t="s">
        <v>13</v>
      </c>
      <c r="I573" s="41">
        <v>290</v>
      </c>
      <c r="J573" s="40">
        <f>I573*(1-IFERROR(VLOOKUP(H573,Rabat!$D$10:$E$41,2,FALSE),0))</f>
        <v>290</v>
      </c>
      <c r="K573">
        <v>1.18</v>
      </c>
      <c r="L573" t="s">
        <v>1789</v>
      </c>
      <c r="M573" t="s">
        <v>2378</v>
      </c>
      <c r="N573" t="s">
        <v>2092</v>
      </c>
      <c r="O573" t="s">
        <v>1776</v>
      </c>
      <c r="P573">
        <v>8</v>
      </c>
      <c r="Q573">
        <v>96</v>
      </c>
      <c r="R573" t="s">
        <v>1777</v>
      </c>
      <c r="S573" s="42" t="str">
        <f>HYPERLINK("https://sklep.kobi.pl/produkt/girlanda-mimosa-20m-20xe27")</f>
        <v>https://sklep.kobi.pl/produkt/girlanda-mimosa-20m-20xe27</v>
      </c>
      <c r="T573" t="s">
        <v>71</v>
      </c>
      <c r="U573">
        <v>2.5979999999999999</v>
      </c>
      <c r="V573">
        <v>2.9329999999999998</v>
      </c>
      <c r="W573">
        <v>310</v>
      </c>
      <c r="X573">
        <v>165</v>
      </c>
      <c r="Y573">
        <v>180</v>
      </c>
      <c r="Z573" t="s">
        <v>1778</v>
      </c>
      <c r="AA573"/>
    </row>
    <row r="574" spans="1:27" ht="15" x14ac:dyDescent="0.25">
      <c r="A574" t="s">
        <v>9</v>
      </c>
      <c r="B574" t="s">
        <v>212</v>
      </c>
      <c r="C574" t="s">
        <v>748</v>
      </c>
      <c r="D574" t="s">
        <v>69</v>
      </c>
      <c r="E574" t="s">
        <v>1289</v>
      </c>
      <c r="F574" t="s">
        <v>1486</v>
      </c>
      <c r="G574" t="s">
        <v>1487</v>
      </c>
      <c r="H574" t="s">
        <v>13</v>
      </c>
      <c r="I574" s="41">
        <v>201.42</v>
      </c>
      <c r="J574" s="40">
        <f>I574*(1-IFERROR(VLOOKUP(H574,Rabat!$D$10:$E$41,2,FALSE),0))</f>
        <v>201.42</v>
      </c>
      <c r="K574">
        <v>1.47</v>
      </c>
      <c r="L574" t="s">
        <v>1789</v>
      </c>
      <c r="M574" t="s">
        <v>2379</v>
      </c>
      <c r="N574" t="s">
        <v>2092</v>
      </c>
      <c r="O574" t="s">
        <v>1776</v>
      </c>
      <c r="P574">
        <v>4</v>
      </c>
      <c r="Q574">
        <v>0</v>
      </c>
      <c r="R574" t="s">
        <v>1777</v>
      </c>
      <c r="S574" s="42" t="str">
        <f>HYPERLINK("https://sklep.kobi.pl/produkt/mimosa-led-set-10m-10x1w-e27")</f>
        <v>https://sklep.kobi.pl/produkt/mimosa-led-set-10m-10x1w-e27</v>
      </c>
      <c r="T574" t="s">
        <v>71</v>
      </c>
      <c r="U574">
        <v>1.74</v>
      </c>
      <c r="V574">
        <v>0</v>
      </c>
      <c r="W574">
        <v>0</v>
      </c>
      <c r="X574">
        <v>0</v>
      </c>
      <c r="Y574">
        <v>0</v>
      </c>
      <c r="Z574" t="s">
        <v>1778</v>
      </c>
      <c r="AA574"/>
    </row>
    <row r="575" spans="1:27" ht="15" x14ac:dyDescent="0.25">
      <c r="A575" t="s">
        <v>9</v>
      </c>
      <c r="B575" t="s">
        <v>212</v>
      </c>
      <c r="C575" t="s">
        <v>748</v>
      </c>
      <c r="D575" t="s">
        <v>69</v>
      </c>
      <c r="E575" t="s">
        <v>1289</v>
      </c>
      <c r="F575" t="s">
        <v>1488</v>
      </c>
      <c r="G575" t="s">
        <v>1489</v>
      </c>
      <c r="H575" t="s">
        <v>13</v>
      </c>
      <c r="I575" s="41">
        <v>353.72</v>
      </c>
      <c r="J575" s="40">
        <f>I575*(1-IFERROR(VLOOKUP(H575,Rabat!$D$10:$E$41,2,FALSE),0))</f>
        <v>353.72</v>
      </c>
      <c r="K575">
        <v>2.62</v>
      </c>
      <c r="L575" t="s">
        <v>1789</v>
      </c>
      <c r="M575" t="s">
        <v>2380</v>
      </c>
      <c r="N575" t="s">
        <v>2092</v>
      </c>
      <c r="O575" t="s">
        <v>1776</v>
      </c>
      <c r="P575">
        <v>4</v>
      </c>
      <c r="Q575">
        <v>0</v>
      </c>
      <c r="R575" t="s">
        <v>1777</v>
      </c>
      <c r="S575" s="42" t="str">
        <f>HYPERLINK("https://sklep.kobi.pl/produkt/mimosa-led-set-20m-20x1w-e27")</f>
        <v>https://sklep.kobi.pl/produkt/mimosa-led-set-20m-20x1w-e27</v>
      </c>
      <c r="T575" t="s">
        <v>71</v>
      </c>
      <c r="U575">
        <v>3.1</v>
      </c>
      <c r="V575">
        <v>0</v>
      </c>
      <c r="W575">
        <v>0</v>
      </c>
      <c r="X575">
        <v>0</v>
      </c>
      <c r="Y575">
        <v>0</v>
      </c>
      <c r="Z575" t="s">
        <v>1778</v>
      </c>
      <c r="AA575"/>
    </row>
    <row r="576" spans="1:27" ht="15" x14ac:dyDescent="0.25">
      <c r="A576" t="s">
        <v>9</v>
      </c>
      <c r="B576" t="s">
        <v>212</v>
      </c>
      <c r="C576" t="s">
        <v>748</v>
      </c>
      <c r="D576" t="s">
        <v>69</v>
      </c>
      <c r="E576" t="s">
        <v>71</v>
      </c>
      <c r="F576" t="s">
        <v>1385</v>
      </c>
      <c r="G576" t="s">
        <v>1386</v>
      </c>
      <c r="H576" t="s">
        <v>13</v>
      </c>
      <c r="I576" s="41">
        <v>181.48</v>
      </c>
      <c r="J576" s="40">
        <f>I576*(1-IFERROR(VLOOKUP(H576,Rabat!$D$10:$E$41,2,FALSE),0))</f>
        <v>181.48</v>
      </c>
      <c r="K576">
        <v>0.67</v>
      </c>
      <c r="L576" t="s">
        <v>1789</v>
      </c>
      <c r="M576" t="s">
        <v>2381</v>
      </c>
      <c r="N576" t="s">
        <v>2092</v>
      </c>
      <c r="O576" t="s">
        <v>1776</v>
      </c>
      <c r="P576">
        <v>8</v>
      </c>
      <c r="Q576">
        <v>160</v>
      </c>
      <c r="R576" t="s">
        <v>1777</v>
      </c>
      <c r="S576" s="42" t="str">
        <f>HYPERLINK("https://sklep.kobi.pl/produkt/girlanda-mimosa-2-10m-10xe27")</f>
        <v>https://sklep.kobi.pl/produkt/girlanda-mimosa-2-10m-10xe27</v>
      </c>
      <c r="T576" t="s">
        <v>71</v>
      </c>
      <c r="U576">
        <v>1.462</v>
      </c>
      <c r="V576">
        <v>1.63</v>
      </c>
      <c r="W576">
        <v>225</v>
      </c>
      <c r="X576">
        <v>165</v>
      </c>
      <c r="Y576">
        <v>185</v>
      </c>
      <c r="Z576" t="s">
        <v>1778</v>
      </c>
      <c r="AA576"/>
    </row>
    <row r="577" spans="1:27" ht="15" x14ac:dyDescent="0.25">
      <c r="A577" t="s">
        <v>9</v>
      </c>
      <c r="B577" t="s">
        <v>212</v>
      </c>
      <c r="C577" t="s">
        <v>748</v>
      </c>
      <c r="D577" t="s">
        <v>69</v>
      </c>
      <c r="E577" t="s">
        <v>1289</v>
      </c>
      <c r="F577" t="s">
        <v>1557</v>
      </c>
      <c r="G577" t="s">
        <v>1558</v>
      </c>
      <c r="H577" t="s">
        <v>13</v>
      </c>
      <c r="I577" s="41">
        <v>416</v>
      </c>
      <c r="J577" s="40">
        <f>I577*(1-IFERROR(VLOOKUP(H577,Rabat!$D$10:$E$41,2,FALSE),0))</f>
        <v>416</v>
      </c>
      <c r="K577">
        <v>1.42</v>
      </c>
      <c r="L577" t="s">
        <v>1789</v>
      </c>
      <c r="M577" t="s">
        <v>2382</v>
      </c>
      <c r="N577" t="s">
        <v>2194</v>
      </c>
      <c r="O577" t="s">
        <v>1776</v>
      </c>
      <c r="P577">
        <v>8</v>
      </c>
      <c r="Q577">
        <v>0</v>
      </c>
      <c r="R577" t="s">
        <v>1777</v>
      </c>
      <c r="S577" s="42" t="str">
        <f>HYPERLINK("https://sklep.kobi.pl/produkt/led-kobi-venezia-10w")</f>
        <v>https://sklep.kobi.pl/produkt/led-kobi-venezia-10w</v>
      </c>
      <c r="T577" t="s">
        <v>71</v>
      </c>
      <c r="U577">
        <v>1.68</v>
      </c>
      <c r="V577">
        <v>0</v>
      </c>
      <c r="W577">
        <v>0</v>
      </c>
      <c r="X577">
        <v>0</v>
      </c>
      <c r="Y577">
        <v>0</v>
      </c>
      <c r="Z577" t="s">
        <v>1778</v>
      </c>
      <c r="AA577"/>
    </row>
    <row r="578" spans="1:27" ht="15" x14ac:dyDescent="0.25">
      <c r="A578" t="s">
        <v>9</v>
      </c>
      <c r="B578" t="s">
        <v>212</v>
      </c>
      <c r="C578" t="s">
        <v>748</v>
      </c>
      <c r="D578" t="s">
        <v>69</v>
      </c>
      <c r="E578" t="s">
        <v>1289</v>
      </c>
      <c r="F578" t="s">
        <v>1753</v>
      </c>
      <c r="G578" t="s">
        <v>1754</v>
      </c>
      <c r="H578" t="s">
        <v>13</v>
      </c>
      <c r="I578" s="41">
        <v>219</v>
      </c>
      <c r="J578" s="40">
        <f>I578*(1-IFERROR(VLOOKUP(H578,Rabat!$D$10:$E$41,2,FALSE),0))</f>
        <v>219</v>
      </c>
      <c r="K578">
        <v>0.62</v>
      </c>
      <c r="L578" t="s">
        <v>1789</v>
      </c>
      <c r="M578" t="s">
        <v>2383</v>
      </c>
      <c r="N578" t="s">
        <v>1775</v>
      </c>
      <c r="O578" t="s">
        <v>1776</v>
      </c>
      <c r="P578">
        <v>8</v>
      </c>
      <c r="Q578">
        <v>0</v>
      </c>
      <c r="R578" t="s">
        <v>1777</v>
      </c>
      <c r="S578"/>
      <c r="T578" t="s">
        <v>71</v>
      </c>
      <c r="U578">
        <v>0.73</v>
      </c>
      <c r="V578">
        <v>0</v>
      </c>
      <c r="W578">
        <v>0</v>
      </c>
      <c r="X578">
        <v>0</v>
      </c>
      <c r="Y578">
        <v>0</v>
      </c>
      <c r="Z578" t="s">
        <v>1778</v>
      </c>
      <c r="AA578"/>
    </row>
    <row r="579" spans="1:27" ht="15" x14ac:dyDescent="0.25">
      <c r="A579" t="s">
        <v>9</v>
      </c>
      <c r="B579" t="s">
        <v>212</v>
      </c>
      <c r="C579" t="s">
        <v>748</v>
      </c>
      <c r="D579" t="s">
        <v>69</v>
      </c>
      <c r="E579" t="s">
        <v>1289</v>
      </c>
      <c r="F579" t="s">
        <v>1747</v>
      </c>
      <c r="G579" t="s">
        <v>1748</v>
      </c>
      <c r="H579" t="s">
        <v>13</v>
      </c>
      <c r="I579" s="41">
        <v>242.1</v>
      </c>
      <c r="J579" s="40">
        <f>I579*(1-IFERROR(VLOOKUP(H579,Rabat!$D$10:$E$41,2,FALSE),0))</f>
        <v>242.1</v>
      </c>
      <c r="K579">
        <v>0.91</v>
      </c>
      <c r="L579" t="s">
        <v>1789</v>
      </c>
      <c r="M579" t="s">
        <v>2384</v>
      </c>
      <c r="N579" t="s">
        <v>1775</v>
      </c>
      <c r="O579" t="s">
        <v>1776</v>
      </c>
      <c r="P579">
        <v>4</v>
      </c>
      <c r="Q579">
        <v>0</v>
      </c>
      <c r="R579" t="s">
        <v>1777</v>
      </c>
      <c r="S579"/>
      <c r="T579" t="s">
        <v>71</v>
      </c>
      <c r="U579">
        <v>1.08</v>
      </c>
      <c r="V579">
        <v>0</v>
      </c>
      <c r="W579">
        <v>0</v>
      </c>
      <c r="X579">
        <v>0</v>
      </c>
      <c r="Y579">
        <v>0</v>
      </c>
      <c r="Z579" t="s">
        <v>1778</v>
      </c>
      <c r="AA579"/>
    </row>
    <row r="580" spans="1:27" ht="15" x14ac:dyDescent="0.25">
      <c r="A580" t="s">
        <v>9</v>
      </c>
      <c r="B580" t="s">
        <v>212</v>
      </c>
      <c r="C580" t="s">
        <v>748</v>
      </c>
      <c r="D580" t="s">
        <v>69</v>
      </c>
      <c r="E580" t="s">
        <v>1289</v>
      </c>
      <c r="F580" t="s">
        <v>1605</v>
      </c>
      <c r="G580" t="s">
        <v>1606</v>
      </c>
      <c r="H580" t="s">
        <v>13</v>
      </c>
      <c r="I580" s="41">
        <v>201.42</v>
      </c>
      <c r="J580" s="40">
        <f>I580*(1-IFERROR(VLOOKUP(H580,Rabat!$D$10:$E$41,2,FALSE),0))</f>
        <v>201.42</v>
      </c>
      <c r="K580">
        <v>1.47</v>
      </c>
      <c r="L580" t="s">
        <v>1789</v>
      </c>
      <c r="M580" t="s">
        <v>2385</v>
      </c>
      <c r="N580" t="s">
        <v>2092</v>
      </c>
      <c r="O580" t="s">
        <v>1776</v>
      </c>
      <c r="P580">
        <v>4</v>
      </c>
      <c r="Q580">
        <v>0</v>
      </c>
      <c r="R580" t="s">
        <v>1777</v>
      </c>
      <c r="S580" s="42" t="str">
        <f>HYPERLINK("https://sklep.kobi.pl/produkt/kobi-baja-led-set-10m-10x1w-e27")</f>
        <v>https://sklep.kobi.pl/produkt/kobi-baja-led-set-10m-10x1w-e27</v>
      </c>
      <c r="T580" t="s">
        <v>71</v>
      </c>
      <c r="U580">
        <v>1.74</v>
      </c>
      <c r="V580">
        <v>2.2000000000000002</v>
      </c>
      <c r="W580">
        <v>0</v>
      </c>
      <c r="X580">
        <v>0</v>
      </c>
      <c r="Y580">
        <v>0</v>
      </c>
      <c r="Z580" t="s">
        <v>1778</v>
      </c>
      <c r="AA580"/>
    </row>
    <row r="581" spans="1:27" ht="15" x14ac:dyDescent="0.25">
      <c r="A581" t="s">
        <v>9</v>
      </c>
      <c r="B581" t="s">
        <v>212</v>
      </c>
      <c r="C581" t="s">
        <v>748</v>
      </c>
      <c r="D581" t="s">
        <v>69</v>
      </c>
      <c r="E581" t="s">
        <v>1289</v>
      </c>
      <c r="F581" t="s">
        <v>1603</v>
      </c>
      <c r="G581" t="s">
        <v>1604</v>
      </c>
      <c r="H581" t="s">
        <v>13</v>
      </c>
      <c r="I581" s="41">
        <v>306.29000000000002</v>
      </c>
      <c r="J581" s="40">
        <f>I581*(1-IFERROR(VLOOKUP(H581,Rabat!$D$10:$E$41,2,FALSE),0))</f>
        <v>306.29000000000002</v>
      </c>
      <c r="K581">
        <v>2.2000000000000002</v>
      </c>
      <c r="L581" t="s">
        <v>1789</v>
      </c>
      <c r="M581" t="s">
        <v>2386</v>
      </c>
      <c r="N581" t="s">
        <v>2092</v>
      </c>
      <c r="O581" t="s">
        <v>1776</v>
      </c>
      <c r="P581">
        <v>4</v>
      </c>
      <c r="Q581">
        <v>0</v>
      </c>
      <c r="R581" t="s">
        <v>1777</v>
      </c>
      <c r="S581" s="42" t="str">
        <f>HYPERLINK("https://sklep.kobi.pl/produkt/kobi-baja-led-set-10m-20x1w-e27")</f>
        <v>https://sklep.kobi.pl/produkt/kobi-baja-led-set-10m-20x1w-e27</v>
      </c>
      <c r="T581" t="s">
        <v>71</v>
      </c>
      <c r="U581">
        <v>2.6</v>
      </c>
      <c r="V581">
        <v>0</v>
      </c>
      <c r="W581">
        <v>0</v>
      </c>
      <c r="X581">
        <v>0</v>
      </c>
      <c r="Y581">
        <v>0</v>
      </c>
      <c r="Z581" t="s">
        <v>1778</v>
      </c>
      <c r="AA581"/>
    </row>
    <row r="582" spans="1:27" ht="15" x14ac:dyDescent="0.25">
      <c r="A582" t="s">
        <v>9</v>
      </c>
      <c r="B582" t="s">
        <v>212</v>
      </c>
      <c r="C582" t="s">
        <v>748</v>
      </c>
      <c r="D582" t="s">
        <v>69</v>
      </c>
      <c r="E582" t="s">
        <v>1289</v>
      </c>
      <c r="F582" t="s">
        <v>1601</v>
      </c>
      <c r="G582" t="s">
        <v>1602</v>
      </c>
      <c r="H582" t="s">
        <v>13</v>
      </c>
      <c r="I582" s="41">
        <v>256.38</v>
      </c>
      <c r="J582" s="40">
        <f>I582*(1-IFERROR(VLOOKUP(H582,Rabat!$D$10:$E$41,2,FALSE),0))</f>
        <v>256.38</v>
      </c>
      <c r="K582">
        <v>2.15</v>
      </c>
      <c r="L582" t="s">
        <v>1789</v>
      </c>
      <c r="M582" t="s">
        <v>2387</v>
      </c>
      <c r="N582" t="s">
        <v>2092</v>
      </c>
      <c r="O582" t="s">
        <v>1776</v>
      </c>
      <c r="P582">
        <v>4</v>
      </c>
      <c r="Q582">
        <v>0</v>
      </c>
      <c r="R582" t="s">
        <v>1777</v>
      </c>
      <c r="S582" s="42" t="str">
        <f>HYPERLINK("https://sklep.kobi.pl/produkt/kobi-baja-led-set-15m-15x1w-e27")</f>
        <v>https://sklep.kobi.pl/produkt/kobi-baja-led-set-15m-15x1w-e27</v>
      </c>
      <c r="T582" t="s">
        <v>71</v>
      </c>
      <c r="U582">
        <v>2.5499999999999998</v>
      </c>
      <c r="V582">
        <v>0</v>
      </c>
      <c r="W582">
        <v>0</v>
      </c>
      <c r="X582">
        <v>0</v>
      </c>
      <c r="Y582">
        <v>0</v>
      </c>
      <c r="Z582" t="s">
        <v>1778</v>
      </c>
      <c r="AA582"/>
    </row>
    <row r="583" spans="1:27" ht="15" x14ac:dyDescent="0.25">
      <c r="A583" t="s">
        <v>9</v>
      </c>
      <c r="B583" t="s">
        <v>212</v>
      </c>
      <c r="C583" t="s">
        <v>748</v>
      </c>
      <c r="D583" t="s">
        <v>69</v>
      </c>
      <c r="E583" t="s">
        <v>1289</v>
      </c>
      <c r="F583" t="s">
        <v>1607</v>
      </c>
      <c r="G583" t="s">
        <v>1608</v>
      </c>
      <c r="H583" t="s">
        <v>13</v>
      </c>
      <c r="I583" s="41">
        <v>353.72</v>
      </c>
      <c r="J583" s="40">
        <f>I583*(1-IFERROR(VLOOKUP(H583,Rabat!$D$10:$E$41,2,FALSE),0))</f>
        <v>353.72</v>
      </c>
      <c r="K583">
        <v>2.62</v>
      </c>
      <c r="L583" t="s">
        <v>1789</v>
      </c>
      <c r="M583" t="s">
        <v>2388</v>
      </c>
      <c r="N583" t="s">
        <v>2092</v>
      </c>
      <c r="O583" t="s">
        <v>1776</v>
      </c>
      <c r="P583">
        <v>4</v>
      </c>
      <c r="Q583">
        <v>0</v>
      </c>
      <c r="R583" t="s">
        <v>1777</v>
      </c>
      <c r="S583" s="42" t="str">
        <f>HYPERLINK("https://sklep.kobi.pl/produkt/kobi-baja-led-set-20m-20x1w-e27")</f>
        <v>https://sklep.kobi.pl/produkt/kobi-baja-led-set-20m-20x1w-e27</v>
      </c>
      <c r="T583" t="s">
        <v>71</v>
      </c>
      <c r="U583">
        <v>3.1</v>
      </c>
      <c r="V583">
        <v>0</v>
      </c>
      <c r="W583">
        <v>0</v>
      </c>
      <c r="X583">
        <v>0</v>
      </c>
      <c r="Y583">
        <v>0</v>
      </c>
      <c r="Z583" t="s">
        <v>1778</v>
      </c>
      <c r="AA583"/>
    </row>
    <row r="584" spans="1:27" ht="15" x14ac:dyDescent="0.25">
      <c r="A584" t="s">
        <v>9</v>
      </c>
      <c r="B584" t="s">
        <v>212</v>
      </c>
      <c r="C584" t="s">
        <v>1532</v>
      </c>
      <c r="D584" t="s">
        <v>69</v>
      </c>
      <c r="E584" t="s">
        <v>71</v>
      </c>
      <c r="F584" t="s">
        <v>1533</v>
      </c>
      <c r="G584" t="s">
        <v>1534</v>
      </c>
      <c r="H584" t="s">
        <v>13</v>
      </c>
      <c r="I584" s="41">
        <v>61.8</v>
      </c>
      <c r="J584" s="40">
        <f>I584*(1-IFERROR(VLOOKUP(H584,Rabat!$D$10:$E$41,2,FALSE),0))</f>
        <v>61.8</v>
      </c>
      <c r="K584">
        <v>0.31</v>
      </c>
      <c r="L584" t="s">
        <v>1789</v>
      </c>
      <c r="M584" t="s">
        <v>2389</v>
      </c>
      <c r="N584" t="s">
        <v>2092</v>
      </c>
      <c r="O584" t="s">
        <v>1776</v>
      </c>
      <c r="P584">
        <v>10</v>
      </c>
      <c r="Q584">
        <v>110</v>
      </c>
      <c r="R584" t="s">
        <v>1777</v>
      </c>
      <c r="S584" s="42" t="str">
        <f>HYPERLINK("https://sklep.kobi.pl/produkt/lampa-ogrodowa-lo4102-czarna-alu")</f>
        <v>https://sklep.kobi.pl/produkt/lampa-ogrodowa-lo4102-czarna-alu</v>
      </c>
      <c r="T584" t="s">
        <v>71</v>
      </c>
      <c r="U584">
        <v>0.68</v>
      </c>
      <c r="V584">
        <v>0.92600000000000005</v>
      </c>
      <c r="W584">
        <v>151</v>
      </c>
      <c r="X584">
        <v>210</v>
      </c>
      <c r="Y584">
        <v>313</v>
      </c>
      <c r="Z584" t="s">
        <v>1778</v>
      </c>
      <c r="AA584"/>
    </row>
    <row r="585" spans="1:27" ht="15" x14ac:dyDescent="0.25">
      <c r="A585" t="s">
        <v>9</v>
      </c>
      <c r="B585" t="s">
        <v>212</v>
      </c>
      <c r="C585" t="s">
        <v>1532</v>
      </c>
      <c r="D585" t="s">
        <v>69</v>
      </c>
      <c r="E585" t="s">
        <v>71</v>
      </c>
      <c r="F585" t="s">
        <v>1539</v>
      </c>
      <c r="G585" t="s">
        <v>1540</v>
      </c>
      <c r="H585" t="s">
        <v>13</v>
      </c>
      <c r="I585" s="41">
        <v>61.8</v>
      </c>
      <c r="J585" s="40">
        <f>I585*(1-IFERROR(VLOOKUP(H585,Rabat!$D$10:$E$41,2,FALSE),0))</f>
        <v>61.8</v>
      </c>
      <c r="K585">
        <v>0.31</v>
      </c>
      <c r="L585" t="s">
        <v>1789</v>
      </c>
      <c r="M585" t="s">
        <v>2390</v>
      </c>
      <c r="N585" t="s">
        <v>2092</v>
      </c>
      <c r="O585" t="s">
        <v>1776</v>
      </c>
      <c r="P585">
        <v>10</v>
      </c>
      <c r="Q585">
        <v>110</v>
      </c>
      <c r="R585" t="s">
        <v>1777</v>
      </c>
      <c r="S585" s="42" t="str">
        <f>HYPERLINK("https://sklep.kobi.pl/produkt/lampa-ogrodowa-lo4102-zlota-alu")</f>
        <v>https://sklep.kobi.pl/produkt/lampa-ogrodowa-lo4102-zlota-alu</v>
      </c>
      <c r="T585" t="s">
        <v>71</v>
      </c>
      <c r="U585">
        <v>0.68</v>
      </c>
      <c r="V585">
        <v>0.92600000000000005</v>
      </c>
      <c r="W585">
        <v>151</v>
      </c>
      <c r="X585">
        <v>210</v>
      </c>
      <c r="Y585">
        <v>313</v>
      </c>
      <c r="Z585" t="s">
        <v>1778</v>
      </c>
      <c r="AA585"/>
    </row>
    <row r="586" spans="1:27" ht="15" x14ac:dyDescent="0.25">
      <c r="A586" t="s">
        <v>9</v>
      </c>
      <c r="B586" t="s">
        <v>212</v>
      </c>
      <c r="C586" t="s">
        <v>453</v>
      </c>
      <c r="D586" t="s">
        <v>69</v>
      </c>
      <c r="E586" t="s">
        <v>71</v>
      </c>
      <c r="F586" t="s">
        <v>454</v>
      </c>
      <c r="G586" t="s">
        <v>455</v>
      </c>
      <c r="H586" t="s">
        <v>13</v>
      </c>
      <c r="I586" s="41">
        <v>113</v>
      </c>
      <c r="J586" s="40">
        <f>I586*(1-IFERROR(VLOOKUP(H586,Rabat!$D$10:$E$41,2,FALSE),0))</f>
        <v>113</v>
      </c>
      <c r="K586">
        <v>0.21</v>
      </c>
      <c r="L586" t="s">
        <v>1789</v>
      </c>
      <c r="M586" t="s">
        <v>2391</v>
      </c>
      <c r="N586" t="s">
        <v>2092</v>
      </c>
      <c r="O586" t="s">
        <v>1776</v>
      </c>
      <c r="P586">
        <v>24</v>
      </c>
      <c r="Q586">
        <v>864</v>
      </c>
      <c r="R586" t="s">
        <v>1777</v>
      </c>
      <c r="S586" s="42" t="str">
        <f>HYPERLINK("https://sklep.kobi.pl/produkt/lampa-ogrodowa-quazar-15-czarna-1xgu10")</f>
        <v>https://sklep.kobi.pl/produkt/lampa-ogrodowa-quazar-15-czarna-1xgu10</v>
      </c>
      <c r="T586" t="s">
        <v>71</v>
      </c>
      <c r="U586">
        <v>0.47</v>
      </c>
      <c r="V586">
        <v>0.55500000000000005</v>
      </c>
      <c r="W586">
        <v>85</v>
      </c>
      <c r="X586">
        <v>110</v>
      </c>
      <c r="Y586">
        <v>108</v>
      </c>
      <c r="Z586" t="s">
        <v>1778</v>
      </c>
      <c r="AA586"/>
    </row>
    <row r="587" spans="1:27" ht="15" x14ac:dyDescent="0.25">
      <c r="A587" t="s">
        <v>9</v>
      </c>
      <c r="B587" t="s">
        <v>212</v>
      </c>
      <c r="C587" t="s">
        <v>453</v>
      </c>
      <c r="D587" t="s">
        <v>69</v>
      </c>
      <c r="E587" t="s">
        <v>71</v>
      </c>
      <c r="F587" t="s">
        <v>456</v>
      </c>
      <c r="G587" t="s">
        <v>457</v>
      </c>
      <c r="H587" t="s">
        <v>13</v>
      </c>
      <c r="I587" s="41">
        <v>105</v>
      </c>
      <c r="J587" s="40">
        <f>I587*(1-IFERROR(VLOOKUP(H587,Rabat!$D$10:$E$41,2,FALSE),0))</f>
        <v>105</v>
      </c>
      <c r="K587">
        <v>0.21</v>
      </c>
      <c r="L587" t="s">
        <v>1789</v>
      </c>
      <c r="M587" t="s">
        <v>2392</v>
      </c>
      <c r="N587" t="s">
        <v>2092</v>
      </c>
      <c r="O587" t="s">
        <v>1776</v>
      </c>
      <c r="P587">
        <v>24</v>
      </c>
      <c r="Q587">
        <v>864</v>
      </c>
      <c r="R587" t="s">
        <v>1777</v>
      </c>
      <c r="S587" s="42" t="str">
        <f>HYPERLINK("https://sklep.kobi.pl/produkt/lampa-ogrodowa-quazar-15-szara-1xgu10")</f>
        <v>https://sklep.kobi.pl/produkt/lampa-ogrodowa-quazar-15-szara-1xgu10</v>
      </c>
      <c r="T587" t="s">
        <v>71</v>
      </c>
      <c r="U587">
        <v>0.47</v>
      </c>
      <c r="V587">
        <v>0.55500000000000005</v>
      </c>
      <c r="W587">
        <v>85</v>
      </c>
      <c r="X587">
        <v>110</v>
      </c>
      <c r="Y587">
        <v>108</v>
      </c>
      <c r="Z587" t="s">
        <v>1778</v>
      </c>
      <c r="AA587"/>
    </row>
    <row r="588" spans="1:27" ht="15" x14ac:dyDescent="0.25">
      <c r="A588" t="s">
        <v>9</v>
      </c>
      <c r="B588" t="s">
        <v>212</v>
      </c>
      <c r="C588" t="s">
        <v>362</v>
      </c>
      <c r="D588" t="s">
        <v>69</v>
      </c>
      <c r="E588" t="s">
        <v>71</v>
      </c>
      <c r="F588" t="s">
        <v>363</v>
      </c>
      <c r="G588" t="s">
        <v>364</v>
      </c>
      <c r="H588" t="s">
        <v>13</v>
      </c>
      <c r="I588" s="41">
        <v>138</v>
      </c>
      <c r="J588" s="40">
        <f>I588*(1-IFERROR(VLOOKUP(H588,Rabat!$D$10:$E$41,2,FALSE),0))</f>
        <v>138</v>
      </c>
      <c r="K588">
        <v>0.25</v>
      </c>
      <c r="L588" t="s">
        <v>1789</v>
      </c>
      <c r="M588" t="s">
        <v>2393</v>
      </c>
      <c r="N588" t="s">
        <v>2092</v>
      </c>
      <c r="O588" t="s">
        <v>1776</v>
      </c>
      <c r="P588">
        <v>16</v>
      </c>
      <c r="Q588">
        <v>576</v>
      </c>
      <c r="R588" t="s">
        <v>1777</v>
      </c>
      <c r="S588" s="42" t="str">
        <f>HYPERLINK("https://sklep.kobi.pl/produkt/lampa-ogrodowa-quazar-11-czarna-1xgu10")</f>
        <v>https://sklep.kobi.pl/produkt/lampa-ogrodowa-quazar-11-czarna-1xgu10</v>
      </c>
      <c r="T588" t="s">
        <v>71</v>
      </c>
      <c r="U588">
        <v>0.55100000000000005</v>
      </c>
      <c r="V588">
        <v>0.64100000000000001</v>
      </c>
      <c r="W588">
        <v>95</v>
      </c>
      <c r="X588">
        <v>95</v>
      </c>
      <c r="Y588">
        <v>160</v>
      </c>
      <c r="Z588" t="s">
        <v>1778</v>
      </c>
      <c r="AA588"/>
    </row>
    <row r="589" spans="1:27" ht="15" x14ac:dyDescent="0.25">
      <c r="A589" t="s">
        <v>9</v>
      </c>
      <c r="B589" t="s">
        <v>212</v>
      </c>
      <c r="C589" t="s">
        <v>362</v>
      </c>
      <c r="D589" t="s">
        <v>69</v>
      </c>
      <c r="E589" t="s">
        <v>71</v>
      </c>
      <c r="F589" t="s">
        <v>365</v>
      </c>
      <c r="G589" t="s">
        <v>366</v>
      </c>
      <c r="H589" t="s">
        <v>13</v>
      </c>
      <c r="I589" s="41">
        <v>118.18</v>
      </c>
      <c r="J589" s="40">
        <f>I589*(1-IFERROR(VLOOKUP(H589,Rabat!$D$10:$E$41,2,FALSE),0))</f>
        <v>118.18</v>
      </c>
      <c r="K589">
        <v>0.25</v>
      </c>
      <c r="L589" t="s">
        <v>1789</v>
      </c>
      <c r="M589" t="s">
        <v>2394</v>
      </c>
      <c r="N589" t="s">
        <v>2092</v>
      </c>
      <c r="O589" t="s">
        <v>1776</v>
      </c>
      <c r="P589">
        <v>16</v>
      </c>
      <c r="Q589">
        <v>576</v>
      </c>
      <c r="R589" t="s">
        <v>1777</v>
      </c>
      <c r="S589" s="42" t="str">
        <f>HYPERLINK("https://sklep.kobi.pl/produkt/lampa-ogrodowa-quazar-11-szara-1xgu10")</f>
        <v>https://sklep.kobi.pl/produkt/lampa-ogrodowa-quazar-11-szara-1xgu10</v>
      </c>
      <c r="T589" t="s">
        <v>71</v>
      </c>
      <c r="U589">
        <v>0.55100000000000005</v>
      </c>
      <c r="V589">
        <v>0.64100000000000001</v>
      </c>
      <c r="W589">
        <v>95</v>
      </c>
      <c r="X589">
        <v>95</v>
      </c>
      <c r="Y589">
        <v>160</v>
      </c>
      <c r="Z589" t="s">
        <v>1778</v>
      </c>
      <c r="AA589"/>
    </row>
    <row r="590" spans="1:27" ht="15" x14ac:dyDescent="0.25">
      <c r="A590" t="s">
        <v>9</v>
      </c>
      <c r="B590" t="s">
        <v>212</v>
      </c>
      <c r="C590" t="s">
        <v>1377</v>
      </c>
      <c r="D590" t="s">
        <v>69</v>
      </c>
      <c r="E590" t="s">
        <v>149</v>
      </c>
      <c r="F590" t="s">
        <v>1378</v>
      </c>
      <c r="G590" t="s">
        <v>1379</v>
      </c>
      <c r="H590" t="s">
        <v>13</v>
      </c>
      <c r="I590" s="41">
        <v>80</v>
      </c>
      <c r="J590" s="40">
        <f>I590*(1-IFERROR(VLOOKUP(H590,Rabat!$D$10:$E$41,2,FALSE),0))</f>
        <v>80</v>
      </c>
      <c r="K590">
        <v>0.14000000000000001</v>
      </c>
      <c r="L590" t="s">
        <v>1789</v>
      </c>
      <c r="M590" t="s">
        <v>2395</v>
      </c>
      <c r="N590" t="s">
        <v>2092</v>
      </c>
      <c r="O590" t="s">
        <v>1776</v>
      </c>
      <c r="P590">
        <v>24</v>
      </c>
      <c r="Q590">
        <v>1152</v>
      </c>
      <c r="R590" t="s">
        <v>1777</v>
      </c>
      <c r="S590" s="42" t="str">
        <f>HYPERLINK("https://sklep.kobi.pl/produkt/lampa-ogrodowa-quazar-8-czarna-1xgu10")</f>
        <v>https://sklep.kobi.pl/produkt/lampa-ogrodowa-quazar-8-czarna-1xgu10</v>
      </c>
      <c r="T590" t="s">
        <v>71</v>
      </c>
      <c r="U590">
        <v>0.30399999999999999</v>
      </c>
      <c r="V590">
        <v>0.39600000000000002</v>
      </c>
      <c r="W590">
        <v>81</v>
      </c>
      <c r="X590">
        <v>95</v>
      </c>
      <c r="Y590">
        <v>105</v>
      </c>
      <c r="Z590" t="s">
        <v>1778</v>
      </c>
      <c r="AA590"/>
    </row>
    <row r="591" spans="1:27" ht="15" x14ac:dyDescent="0.25">
      <c r="A591" t="s">
        <v>9</v>
      </c>
      <c r="B591" t="s">
        <v>212</v>
      </c>
      <c r="C591" t="s">
        <v>608</v>
      </c>
      <c r="D591" t="s">
        <v>69</v>
      </c>
      <c r="E591" t="s">
        <v>71</v>
      </c>
      <c r="F591" t="s">
        <v>609</v>
      </c>
      <c r="G591" t="s">
        <v>610</v>
      </c>
      <c r="H591" t="s">
        <v>13</v>
      </c>
      <c r="I591" s="41">
        <v>195</v>
      </c>
      <c r="J591" s="40">
        <f>I591*(1-IFERROR(VLOOKUP(H591,Rabat!$D$10:$E$41,2,FALSE),0))</f>
        <v>195</v>
      </c>
      <c r="K591">
        <v>0.27</v>
      </c>
      <c r="L591" t="s">
        <v>1789</v>
      </c>
      <c r="M591" t="s">
        <v>2396</v>
      </c>
      <c r="N591" t="s">
        <v>2092</v>
      </c>
      <c r="O591" t="s">
        <v>1776</v>
      </c>
      <c r="P591">
        <v>16</v>
      </c>
      <c r="Q591">
        <v>576</v>
      </c>
      <c r="R591" t="s">
        <v>1777</v>
      </c>
      <c r="S591" s="42" t="str">
        <f>HYPERLINK("https://sklep.kobi.pl/produkt/lampa-ogrodowa-quazar-15-lx-czar-1xgu10")</f>
        <v>https://sklep.kobi.pl/produkt/lampa-ogrodowa-quazar-15-lx-czar-1xgu10</v>
      </c>
      <c r="T591" t="s">
        <v>71</v>
      </c>
      <c r="U591">
        <v>0.59099999999999997</v>
      </c>
      <c r="V591">
        <v>0.67700000000000005</v>
      </c>
      <c r="W591">
        <v>85</v>
      </c>
      <c r="X591">
        <v>175</v>
      </c>
      <c r="Y591">
        <v>115</v>
      </c>
      <c r="Z591" t="s">
        <v>1778</v>
      </c>
      <c r="AA591"/>
    </row>
    <row r="592" spans="1:27" ht="15" x14ac:dyDescent="0.25">
      <c r="A592" t="s">
        <v>9</v>
      </c>
      <c r="B592" t="s">
        <v>212</v>
      </c>
      <c r="C592" t="s">
        <v>608</v>
      </c>
      <c r="D592" t="s">
        <v>69</v>
      </c>
      <c r="E592" t="s">
        <v>71</v>
      </c>
      <c r="F592" t="s">
        <v>611</v>
      </c>
      <c r="G592" t="s">
        <v>612</v>
      </c>
      <c r="H592" t="s">
        <v>13</v>
      </c>
      <c r="I592" s="41">
        <v>195</v>
      </c>
      <c r="J592" s="40">
        <f>I592*(1-IFERROR(VLOOKUP(H592,Rabat!$D$10:$E$41,2,FALSE),0))</f>
        <v>195</v>
      </c>
      <c r="K592">
        <v>0.27</v>
      </c>
      <c r="L592" t="s">
        <v>1789</v>
      </c>
      <c r="M592" t="s">
        <v>2397</v>
      </c>
      <c r="N592" t="s">
        <v>2092</v>
      </c>
      <c r="O592" t="s">
        <v>1776</v>
      </c>
      <c r="P592">
        <v>16</v>
      </c>
      <c r="Q592">
        <v>576</v>
      </c>
      <c r="R592" t="s">
        <v>1777</v>
      </c>
      <c r="S592" s="42" t="str">
        <f>HYPERLINK("https://sklep.kobi.pl/produkt/lampa-ogrodowa-quazar-15-lx-szar-1xgu10")</f>
        <v>https://sklep.kobi.pl/produkt/lampa-ogrodowa-quazar-15-lx-szar-1xgu10</v>
      </c>
      <c r="T592" t="s">
        <v>71</v>
      </c>
      <c r="U592">
        <v>0.59099999999999997</v>
      </c>
      <c r="V592">
        <v>0.67700000000000005</v>
      </c>
      <c r="W592">
        <v>85</v>
      </c>
      <c r="X592">
        <v>175</v>
      </c>
      <c r="Y592">
        <v>115</v>
      </c>
      <c r="Z592" t="s">
        <v>1778</v>
      </c>
      <c r="AA592"/>
    </row>
    <row r="593" spans="1:27" ht="15" x14ac:dyDescent="0.25">
      <c r="A593" t="s">
        <v>9</v>
      </c>
      <c r="B593" t="s">
        <v>212</v>
      </c>
      <c r="C593" t="s">
        <v>1529</v>
      </c>
      <c r="D593" t="s">
        <v>69</v>
      </c>
      <c r="E593" t="s">
        <v>71</v>
      </c>
      <c r="F593" t="s">
        <v>1537</v>
      </c>
      <c r="G593" t="s">
        <v>1538</v>
      </c>
      <c r="H593" t="s">
        <v>13</v>
      </c>
      <c r="I593" s="41">
        <v>61.8</v>
      </c>
      <c r="J593" s="40">
        <f>I593*(1-IFERROR(VLOOKUP(H593,Rabat!$D$10:$E$41,2,FALSE),0))</f>
        <v>61.8</v>
      </c>
      <c r="K593">
        <v>0.31</v>
      </c>
      <c r="L593" t="s">
        <v>1789</v>
      </c>
      <c r="M593" t="s">
        <v>2398</v>
      </c>
      <c r="N593" t="s">
        <v>2092</v>
      </c>
      <c r="O593" t="s">
        <v>1776</v>
      </c>
      <c r="P593">
        <v>10</v>
      </c>
      <c r="Q593">
        <v>110</v>
      </c>
      <c r="R593" t="s">
        <v>1777</v>
      </c>
      <c r="S593" s="42" t="str">
        <f>HYPERLINK("https://sklep.kobi.pl/produkt/lampa-ogrodowa-lo4101-czarna-alu")</f>
        <v>https://sklep.kobi.pl/produkt/lampa-ogrodowa-lo4101-czarna-alu</v>
      </c>
      <c r="T593" t="s">
        <v>71</v>
      </c>
      <c r="U593">
        <v>0.68</v>
      </c>
      <c r="V593">
        <v>0.92600000000000005</v>
      </c>
      <c r="W593">
        <v>155</v>
      </c>
      <c r="X593">
        <v>107</v>
      </c>
      <c r="Y593">
        <v>261</v>
      </c>
      <c r="Z593" t="s">
        <v>1778</v>
      </c>
      <c r="AA593"/>
    </row>
    <row r="594" spans="1:27" ht="15" x14ac:dyDescent="0.25">
      <c r="A594" t="s">
        <v>9</v>
      </c>
      <c r="B594" t="s">
        <v>212</v>
      </c>
      <c r="C594" t="s">
        <v>1529</v>
      </c>
      <c r="D594" t="s">
        <v>69</v>
      </c>
      <c r="E594" t="s">
        <v>71</v>
      </c>
      <c r="F594" t="s">
        <v>1530</v>
      </c>
      <c r="G594" t="s">
        <v>1531</v>
      </c>
      <c r="H594" t="s">
        <v>13</v>
      </c>
      <c r="I594" s="41">
        <v>61.8</v>
      </c>
      <c r="J594" s="40">
        <f>I594*(1-IFERROR(VLOOKUP(H594,Rabat!$D$10:$E$41,2,FALSE),0))</f>
        <v>61.8</v>
      </c>
      <c r="K594">
        <v>0.31</v>
      </c>
      <c r="L594" t="s">
        <v>1789</v>
      </c>
      <c r="M594" t="s">
        <v>2399</v>
      </c>
      <c r="N594" t="s">
        <v>2092</v>
      </c>
      <c r="O594" t="s">
        <v>1776</v>
      </c>
      <c r="P594">
        <v>10</v>
      </c>
      <c r="Q594">
        <v>110</v>
      </c>
      <c r="R594" t="s">
        <v>1777</v>
      </c>
      <c r="S594" s="42" t="str">
        <f>HYPERLINK("https://sklep.kobi.pl/produkt/lampa-ogrodowa-lo4101-zlota-alu")</f>
        <v>https://sklep.kobi.pl/produkt/lampa-ogrodowa-lo4101-zlota-alu</v>
      </c>
      <c r="T594" t="s">
        <v>71</v>
      </c>
      <c r="U594">
        <v>0.68</v>
      </c>
      <c r="V594">
        <v>0.92600000000000005</v>
      </c>
      <c r="W594">
        <v>155</v>
      </c>
      <c r="X594">
        <v>207</v>
      </c>
      <c r="Y594">
        <v>261</v>
      </c>
      <c r="Z594" t="s">
        <v>1778</v>
      </c>
      <c r="AA594"/>
    </row>
    <row r="595" spans="1:27" ht="15" x14ac:dyDescent="0.25">
      <c r="A595" t="s">
        <v>9</v>
      </c>
      <c r="B595" t="s">
        <v>212</v>
      </c>
      <c r="C595" t="s">
        <v>213</v>
      </c>
      <c r="D595" t="s">
        <v>69</v>
      </c>
      <c r="E595" t="s">
        <v>71</v>
      </c>
      <c r="F595" t="s">
        <v>218</v>
      </c>
      <c r="G595" t="s">
        <v>219</v>
      </c>
      <c r="H595" t="s">
        <v>13</v>
      </c>
      <c r="I595" s="41">
        <v>159</v>
      </c>
      <c r="J595" s="40">
        <f>I595*(1-IFERROR(VLOOKUP(H595,Rabat!$D$10:$E$41,2,FALSE),0))</f>
        <v>159</v>
      </c>
      <c r="K595">
        <v>0.23</v>
      </c>
      <c r="L595" t="s">
        <v>1789</v>
      </c>
      <c r="M595" t="s">
        <v>2400</v>
      </c>
      <c r="N595" t="s">
        <v>2092</v>
      </c>
      <c r="O595" t="s">
        <v>1776</v>
      </c>
      <c r="P595">
        <v>10</v>
      </c>
      <c r="Q595">
        <v>0</v>
      </c>
      <c r="R595" t="s">
        <v>1777</v>
      </c>
      <c r="S595" s="42" t="str">
        <f>HYPERLINK("https://sklep.kobi.pl/produkt/lampa-ogrodowa-quazar-3")</f>
        <v>https://sklep.kobi.pl/produkt/lampa-ogrodowa-quazar-3</v>
      </c>
      <c r="T595" t="s">
        <v>71</v>
      </c>
      <c r="U595">
        <v>0.5</v>
      </c>
      <c r="V595">
        <v>0.621</v>
      </c>
      <c r="W595">
        <v>70</v>
      </c>
      <c r="X595">
        <v>120</v>
      </c>
      <c r="Y595">
        <v>280</v>
      </c>
      <c r="Z595" t="s">
        <v>1778</v>
      </c>
      <c r="AA595"/>
    </row>
    <row r="596" spans="1:27" ht="15" x14ac:dyDescent="0.25">
      <c r="A596" t="s">
        <v>9</v>
      </c>
      <c r="B596" t="s">
        <v>212</v>
      </c>
      <c r="C596" t="s">
        <v>213</v>
      </c>
      <c r="D596" t="s">
        <v>69</v>
      </c>
      <c r="E596" t="s">
        <v>71</v>
      </c>
      <c r="F596" t="s">
        <v>216</v>
      </c>
      <c r="G596" t="s">
        <v>217</v>
      </c>
      <c r="H596" t="s">
        <v>13</v>
      </c>
      <c r="I596" s="41">
        <v>214</v>
      </c>
      <c r="J596" s="40">
        <f>I596*(1-IFERROR(VLOOKUP(H596,Rabat!$D$10:$E$41,2,FALSE),0))</f>
        <v>214</v>
      </c>
      <c r="K596">
        <v>0.39</v>
      </c>
      <c r="L596" t="s">
        <v>1789</v>
      </c>
      <c r="M596" t="s">
        <v>2401</v>
      </c>
      <c r="N596" t="s">
        <v>2092</v>
      </c>
      <c r="O596" t="s">
        <v>1776</v>
      </c>
      <c r="P596">
        <v>10</v>
      </c>
      <c r="Q596">
        <v>240</v>
      </c>
      <c r="R596" t="s">
        <v>1777</v>
      </c>
      <c r="S596" s="42" t="str">
        <f>HYPERLINK("https://sklep.kobi.pl/produkt/lampa-ogrodowa-quazar-4")</f>
        <v>https://sklep.kobi.pl/produkt/lampa-ogrodowa-quazar-4</v>
      </c>
      <c r="T596" t="s">
        <v>71</v>
      </c>
      <c r="U596">
        <v>0.86399999999999999</v>
      </c>
      <c r="V596">
        <v>0.98399999999999999</v>
      </c>
      <c r="W596">
        <v>95</v>
      </c>
      <c r="X596">
        <v>165</v>
      </c>
      <c r="Y596">
        <v>270</v>
      </c>
      <c r="Z596" t="s">
        <v>1778</v>
      </c>
      <c r="AA596"/>
    </row>
    <row r="597" spans="1:27" ht="15" x14ac:dyDescent="0.25">
      <c r="A597" t="s">
        <v>9</v>
      </c>
      <c r="B597" t="s">
        <v>212</v>
      </c>
      <c r="C597" t="s">
        <v>213</v>
      </c>
      <c r="D597" t="s">
        <v>69</v>
      </c>
      <c r="E597" t="s">
        <v>71</v>
      </c>
      <c r="F597" t="s">
        <v>214</v>
      </c>
      <c r="G597" t="s">
        <v>215</v>
      </c>
      <c r="H597" t="s">
        <v>13</v>
      </c>
      <c r="I597" s="41">
        <v>172</v>
      </c>
      <c r="J597" s="40">
        <f>I597*(1-IFERROR(VLOOKUP(H597,Rabat!$D$10:$E$41,2,FALSE),0))</f>
        <v>172</v>
      </c>
      <c r="K597">
        <v>0.28999999999999998</v>
      </c>
      <c r="L597" t="s">
        <v>1789</v>
      </c>
      <c r="M597" t="s">
        <v>2402</v>
      </c>
      <c r="N597" t="s">
        <v>2092</v>
      </c>
      <c r="O597" t="s">
        <v>1776</v>
      </c>
      <c r="P597">
        <v>10</v>
      </c>
      <c r="Q597">
        <v>0</v>
      </c>
      <c r="R597" t="s">
        <v>1777</v>
      </c>
      <c r="S597" s="42" t="str">
        <f>HYPERLINK("https://sklep.kobi.pl/produkt/lampa-ogrodowa-quazar-5")</f>
        <v>https://sklep.kobi.pl/produkt/lampa-ogrodowa-quazar-5</v>
      </c>
      <c r="T597" t="s">
        <v>71</v>
      </c>
      <c r="U597">
        <v>0.64100000000000001</v>
      </c>
      <c r="V597">
        <v>0.80700000000000005</v>
      </c>
      <c r="W597">
        <v>95</v>
      </c>
      <c r="X597">
        <v>93</v>
      </c>
      <c r="Y597">
        <v>270</v>
      </c>
      <c r="Z597" t="s">
        <v>1778</v>
      </c>
      <c r="AA597"/>
    </row>
    <row r="598" spans="1:27" ht="15" x14ac:dyDescent="0.25">
      <c r="A598" t="s">
        <v>9</v>
      </c>
      <c r="B598" t="s">
        <v>212</v>
      </c>
      <c r="C598" t="s">
        <v>336</v>
      </c>
      <c r="D598" t="s">
        <v>69</v>
      </c>
      <c r="E598" t="s">
        <v>149</v>
      </c>
      <c r="F598" t="s">
        <v>337</v>
      </c>
      <c r="G598" t="s">
        <v>338</v>
      </c>
      <c r="H598" t="s">
        <v>13</v>
      </c>
      <c r="I598" s="41">
        <v>119</v>
      </c>
      <c r="J598" s="40">
        <f>I598*(1-IFERROR(VLOOKUP(H598,Rabat!$D$10:$E$41,2,FALSE),0))</f>
        <v>119</v>
      </c>
      <c r="K598">
        <v>0.22</v>
      </c>
      <c r="L598" t="s">
        <v>1789</v>
      </c>
      <c r="M598" t="s">
        <v>2403</v>
      </c>
      <c r="N598" t="s">
        <v>2092</v>
      </c>
      <c r="O598" t="s">
        <v>1776</v>
      </c>
      <c r="P598">
        <v>16</v>
      </c>
      <c r="Q598">
        <v>384</v>
      </c>
      <c r="R598" t="s">
        <v>1777</v>
      </c>
      <c r="S598" s="42" t="str">
        <f>HYPERLINK("https://sklep.kobi.pl/produkt/lampa-ogrodowa-quazar-10-stal-2xgu10")</f>
        <v>https://sklep.kobi.pl/produkt/lampa-ogrodowa-quazar-10-stal-2xgu10</v>
      </c>
      <c r="T598" t="s">
        <v>71</v>
      </c>
      <c r="U598">
        <v>0.47799999999999998</v>
      </c>
      <c r="V598">
        <v>0.61799999999999999</v>
      </c>
      <c r="W598">
        <v>86</v>
      </c>
      <c r="X598">
        <v>120</v>
      </c>
      <c r="Y598">
        <v>220</v>
      </c>
      <c r="Z598" t="s">
        <v>1778</v>
      </c>
      <c r="AA598"/>
    </row>
    <row r="599" spans="1:27" ht="15" x14ac:dyDescent="0.25">
      <c r="A599" t="s">
        <v>9</v>
      </c>
      <c r="B599" t="s">
        <v>212</v>
      </c>
      <c r="C599" t="s">
        <v>331</v>
      </c>
      <c r="D599" t="s">
        <v>69</v>
      </c>
      <c r="E599" t="s">
        <v>71</v>
      </c>
      <c r="F599" t="s">
        <v>332</v>
      </c>
      <c r="G599" t="s">
        <v>333</v>
      </c>
      <c r="H599" t="s">
        <v>13</v>
      </c>
      <c r="I599" s="41">
        <v>206</v>
      </c>
      <c r="J599" s="40">
        <f>I599*(1-IFERROR(VLOOKUP(H599,Rabat!$D$10:$E$41,2,FALSE),0))</f>
        <v>206</v>
      </c>
      <c r="K599">
        <v>0.38</v>
      </c>
      <c r="L599" t="s">
        <v>1789</v>
      </c>
      <c r="M599" t="s">
        <v>2404</v>
      </c>
      <c r="N599" t="s">
        <v>2092</v>
      </c>
      <c r="O599" t="s">
        <v>1776</v>
      </c>
      <c r="P599">
        <v>12</v>
      </c>
      <c r="Q599">
        <v>384</v>
      </c>
      <c r="R599" t="s">
        <v>1777</v>
      </c>
      <c r="S599" s="42" t="str">
        <f>HYPERLINK("https://sklep.kobi.pl/produkt/lampa-ogrodowa-quazar-7-czarna-2xgu10")</f>
        <v>https://sklep.kobi.pl/produkt/lampa-ogrodowa-quazar-7-czarna-2xgu10</v>
      </c>
      <c r="T599" t="s">
        <v>71</v>
      </c>
      <c r="U599">
        <v>0.83099999999999996</v>
      </c>
      <c r="V599">
        <v>0.95099999999999996</v>
      </c>
      <c r="W599">
        <v>95</v>
      </c>
      <c r="X599">
        <v>398</v>
      </c>
      <c r="Y599">
        <v>261</v>
      </c>
      <c r="Z599" t="s">
        <v>1778</v>
      </c>
      <c r="AA599"/>
    </row>
    <row r="600" spans="1:27" ht="15" x14ac:dyDescent="0.25">
      <c r="A600" t="s">
        <v>9</v>
      </c>
      <c r="B600" t="s">
        <v>212</v>
      </c>
      <c r="C600" t="s">
        <v>331</v>
      </c>
      <c r="D600" t="s">
        <v>69</v>
      </c>
      <c r="E600" t="s">
        <v>71</v>
      </c>
      <c r="F600" t="s">
        <v>334</v>
      </c>
      <c r="G600" t="s">
        <v>335</v>
      </c>
      <c r="H600" t="s">
        <v>13</v>
      </c>
      <c r="I600" s="41">
        <v>173.07</v>
      </c>
      <c r="J600" s="40">
        <f>I600*(1-IFERROR(VLOOKUP(H600,Rabat!$D$10:$E$41,2,FALSE),0))</f>
        <v>173.07</v>
      </c>
      <c r="K600">
        <v>0.38</v>
      </c>
      <c r="L600" t="s">
        <v>1789</v>
      </c>
      <c r="M600" t="s">
        <v>2405</v>
      </c>
      <c r="N600" t="s">
        <v>2092</v>
      </c>
      <c r="O600" t="s">
        <v>1776</v>
      </c>
      <c r="P600">
        <v>12</v>
      </c>
      <c r="Q600">
        <v>384</v>
      </c>
      <c r="R600" t="s">
        <v>1777</v>
      </c>
      <c r="S600" s="42" t="str">
        <f>HYPERLINK("https://sklep.kobi.pl/produkt/lampa-ogrodowa-quazar-7-szara-2xgu10")</f>
        <v>https://sklep.kobi.pl/produkt/lampa-ogrodowa-quazar-7-szara-2xgu10</v>
      </c>
      <c r="T600" t="s">
        <v>71</v>
      </c>
      <c r="U600">
        <v>0.83099999999999996</v>
      </c>
      <c r="V600">
        <v>0.95099999999999996</v>
      </c>
      <c r="W600">
        <v>95</v>
      </c>
      <c r="X600">
        <v>98</v>
      </c>
      <c r="Y600">
        <v>261</v>
      </c>
      <c r="Z600" t="s">
        <v>1778</v>
      </c>
      <c r="AA600"/>
    </row>
    <row r="601" spans="1:27" ht="15" x14ac:dyDescent="0.25">
      <c r="A601" t="s">
        <v>9</v>
      </c>
      <c r="B601" t="s">
        <v>212</v>
      </c>
      <c r="C601" t="s">
        <v>1380</v>
      </c>
      <c r="D601" t="s">
        <v>69</v>
      </c>
      <c r="E601" t="s">
        <v>149</v>
      </c>
      <c r="F601" t="s">
        <v>1381</v>
      </c>
      <c r="G601" t="s">
        <v>1382</v>
      </c>
      <c r="H601" t="s">
        <v>13</v>
      </c>
      <c r="I601" s="41">
        <v>106.22</v>
      </c>
      <c r="J601" s="40">
        <f>I601*(1-IFERROR(VLOOKUP(H601,Rabat!$D$10:$E$41,2,FALSE),0))</f>
        <v>106.22</v>
      </c>
      <c r="K601">
        <v>0.21</v>
      </c>
      <c r="L601" t="s">
        <v>1789</v>
      </c>
      <c r="M601" t="s">
        <v>2406</v>
      </c>
      <c r="N601" t="s">
        <v>2092</v>
      </c>
      <c r="O601" t="s">
        <v>1776</v>
      </c>
      <c r="P601">
        <v>16</v>
      </c>
      <c r="Q601">
        <v>720</v>
      </c>
      <c r="R601" t="s">
        <v>1777</v>
      </c>
      <c r="S601"/>
      <c r="T601" t="s">
        <v>71</v>
      </c>
      <c r="U601">
        <v>0.46899999999999997</v>
      </c>
      <c r="V601">
        <v>0.56799999999999995</v>
      </c>
      <c r="W601">
        <v>80</v>
      </c>
      <c r="X601">
        <v>105</v>
      </c>
      <c r="Y601">
        <v>161</v>
      </c>
      <c r="Z601" t="s">
        <v>1778</v>
      </c>
      <c r="AA601"/>
    </row>
    <row r="602" spans="1:27" ht="15" x14ac:dyDescent="0.25">
      <c r="A602" t="s">
        <v>9</v>
      </c>
      <c r="B602" t="s">
        <v>212</v>
      </c>
      <c r="C602" t="s">
        <v>1380</v>
      </c>
      <c r="D602" t="s">
        <v>69</v>
      </c>
      <c r="E602" t="s">
        <v>149</v>
      </c>
      <c r="F602" t="s">
        <v>1383</v>
      </c>
      <c r="G602" t="s">
        <v>1384</v>
      </c>
      <c r="H602" t="s">
        <v>13</v>
      </c>
      <c r="I602" s="41">
        <v>106.22</v>
      </c>
      <c r="J602" s="40">
        <f>I602*(1-IFERROR(VLOOKUP(H602,Rabat!$D$10:$E$41,2,FALSE),0))</f>
        <v>106.22</v>
      </c>
      <c r="K602">
        <v>0.21</v>
      </c>
      <c r="L602" t="s">
        <v>1789</v>
      </c>
      <c r="M602" t="s">
        <v>2407</v>
      </c>
      <c r="N602" t="s">
        <v>2092</v>
      </c>
      <c r="O602" t="s">
        <v>1776</v>
      </c>
      <c r="P602">
        <v>16</v>
      </c>
      <c r="Q602">
        <v>720</v>
      </c>
      <c r="R602" t="s">
        <v>1777</v>
      </c>
      <c r="S602" s="42" t="str">
        <f>HYPERLINK("https://sklep.kobi.pl/produkt/lampa-ogrodowa-quazar-9-szara-2xgu10")</f>
        <v>https://sklep.kobi.pl/produkt/lampa-ogrodowa-quazar-9-szara-2xgu10</v>
      </c>
      <c r="T602" t="s">
        <v>71</v>
      </c>
      <c r="U602">
        <v>0.46899999999999997</v>
      </c>
      <c r="V602">
        <v>0.56799999999999995</v>
      </c>
      <c r="W602">
        <v>80</v>
      </c>
      <c r="X602">
        <v>105</v>
      </c>
      <c r="Y602">
        <v>161</v>
      </c>
      <c r="Z602" t="s">
        <v>1778</v>
      </c>
      <c r="AA602"/>
    </row>
    <row r="603" spans="1:27" ht="15" x14ac:dyDescent="0.25">
      <c r="A603" t="s">
        <v>9</v>
      </c>
      <c r="B603" t="s">
        <v>212</v>
      </c>
      <c r="C603" t="s">
        <v>479</v>
      </c>
      <c r="D603" t="s">
        <v>69</v>
      </c>
      <c r="E603" t="s">
        <v>71</v>
      </c>
      <c r="F603" t="s">
        <v>480</v>
      </c>
      <c r="G603" t="s">
        <v>481</v>
      </c>
      <c r="H603" t="s">
        <v>13</v>
      </c>
      <c r="I603" s="41">
        <v>292.29000000000002</v>
      </c>
      <c r="J603" s="40">
        <f>I603*(1-IFERROR(VLOOKUP(H603,Rabat!$D$10:$E$41,2,FALSE),0))</f>
        <v>292.29000000000002</v>
      </c>
      <c r="K603">
        <v>0.8</v>
      </c>
      <c r="L603" t="s">
        <v>1789</v>
      </c>
      <c r="M603" t="s">
        <v>2408</v>
      </c>
      <c r="N603" t="s">
        <v>2056</v>
      </c>
      <c r="O603" t="s">
        <v>1776</v>
      </c>
      <c r="P603">
        <v>1</v>
      </c>
      <c r="Q603">
        <v>24</v>
      </c>
      <c r="R603" t="s">
        <v>1777</v>
      </c>
      <c r="S603" s="42" t="str">
        <f>HYPERLINK("https://sklep.kobi.pl/produkt/led-garden-ball-l")</f>
        <v>https://sklep.kobi.pl/produkt/led-garden-ball-l</v>
      </c>
      <c r="T603" t="s">
        <v>71</v>
      </c>
      <c r="U603">
        <v>1.7549999999999999</v>
      </c>
      <c r="V603">
        <v>2.41</v>
      </c>
      <c r="W603">
        <v>400</v>
      </c>
      <c r="X603">
        <v>400</v>
      </c>
      <c r="Y603">
        <v>380</v>
      </c>
      <c r="Z603" t="s">
        <v>1778</v>
      </c>
      <c r="AA603"/>
    </row>
    <row r="604" spans="1:27" ht="15" x14ac:dyDescent="0.25">
      <c r="A604" t="s">
        <v>9</v>
      </c>
      <c r="B604" t="s">
        <v>212</v>
      </c>
      <c r="C604" t="s">
        <v>479</v>
      </c>
      <c r="D604" t="s">
        <v>69</v>
      </c>
      <c r="E604" t="s">
        <v>71</v>
      </c>
      <c r="F604" t="s">
        <v>482</v>
      </c>
      <c r="G604" t="s">
        <v>483</v>
      </c>
      <c r="H604" t="s">
        <v>13</v>
      </c>
      <c r="I604" s="41">
        <v>227.21</v>
      </c>
      <c r="J604" s="40">
        <f>I604*(1-IFERROR(VLOOKUP(H604,Rabat!$D$10:$E$41,2,FALSE),0))</f>
        <v>227.21</v>
      </c>
      <c r="K604">
        <v>0.45</v>
      </c>
      <c r="L604" t="s">
        <v>1789</v>
      </c>
      <c r="M604" t="s">
        <v>2409</v>
      </c>
      <c r="N604" t="s">
        <v>2056</v>
      </c>
      <c r="O604" t="s">
        <v>1776</v>
      </c>
      <c r="P604">
        <v>4</v>
      </c>
      <c r="Q604">
        <v>48</v>
      </c>
      <c r="R604" t="s">
        <v>1777</v>
      </c>
      <c r="S604" s="42" t="str">
        <f>HYPERLINK("https://sklep.kobi.pl/produkt/led-garden-ball-m")</f>
        <v>https://sklep.kobi.pl/produkt/led-garden-ball-m</v>
      </c>
      <c r="T604" t="s">
        <v>71</v>
      </c>
      <c r="U604">
        <v>0.99199999999999999</v>
      </c>
      <c r="V604">
        <v>1.2569999999999999</v>
      </c>
      <c r="W604">
        <v>290</v>
      </c>
      <c r="X604">
        <v>290</v>
      </c>
      <c r="Y604">
        <v>275</v>
      </c>
      <c r="Z604" t="s">
        <v>1778</v>
      </c>
      <c r="AA604"/>
    </row>
    <row r="605" spans="1:27" ht="15" x14ac:dyDescent="0.25">
      <c r="A605" t="s">
        <v>9</v>
      </c>
      <c r="B605" t="s">
        <v>212</v>
      </c>
      <c r="C605" t="s">
        <v>479</v>
      </c>
      <c r="D605" t="s">
        <v>69</v>
      </c>
      <c r="E605" t="s">
        <v>71</v>
      </c>
      <c r="F605" t="s">
        <v>484</v>
      </c>
      <c r="G605" t="s">
        <v>485</v>
      </c>
      <c r="H605" t="s">
        <v>13</v>
      </c>
      <c r="I605" s="41">
        <v>167.1</v>
      </c>
      <c r="J605" s="40">
        <f>I605*(1-IFERROR(VLOOKUP(H605,Rabat!$D$10:$E$41,2,FALSE),0))</f>
        <v>167.1</v>
      </c>
      <c r="K605">
        <v>0.36</v>
      </c>
      <c r="L605" t="s">
        <v>1789</v>
      </c>
      <c r="M605" t="s">
        <v>2410</v>
      </c>
      <c r="N605" t="s">
        <v>2056</v>
      </c>
      <c r="O605" t="s">
        <v>1776</v>
      </c>
      <c r="P605">
        <v>4</v>
      </c>
      <c r="Q605">
        <v>72</v>
      </c>
      <c r="R605" t="s">
        <v>1777</v>
      </c>
      <c r="S605" s="42" t="str">
        <f>HYPERLINK("https://sklep.kobi.pl/produkt/led-garden-ball-s")</f>
        <v>https://sklep.kobi.pl/produkt/led-garden-ball-s</v>
      </c>
      <c r="T605" t="s">
        <v>71</v>
      </c>
      <c r="U605">
        <v>0.78900000000000003</v>
      </c>
      <c r="V605">
        <v>0.98499999999999999</v>
      </c>
      <c r="W605">
        <v>255</v>
      </c>
      <c r="X605">
        <v>250</v>
      </c>
      <c r="Y605">
        <v>245</v>
      </c>
      <c r="Z605" t="s">
        <v>1778</v>
      </c>
      <c r="AA605"/>
    </row>
    <row r="606" spans="1:27" ht="15" x14ac:dyDescent="0.25">
      <c r="A606" t="s">
        <v>9</v>
      </c>
      <c r="B606" t="s">
        <v>212</v>
      </c>
      <c r="C606" t="s">
        <v>221</v>
      </c>
      <c r="D606" t="s">
        <v>69</v>
      </c>
      <c r="E606" t="s">
        <v>149</v>
      </c>
      <c r="F606" t="s">
        <v>814</v>
      </c>
      <c r="G606" t="s">
        <v>815</v>
      </c>
      <c r="H606" t="s">
        <v>13</v>
      </c>
      <c r="I606" s="41">
        <v>98</v>
      </c>
      <c r="J606" s="40">
        <f>I606*(1-IFERROR(VLOOKUP(H606,Rabat!$D$10:$E$41,2,FALSE),0))</f>
        <v>98</v>
      </c>
      <c r="K606">
        <v>0.18</v>
      </c>
      <c r="L606" t="s">
        <v>1789</v>
      </c>
      <c r="M606" t="s">
        <v>2411</v>
      </c>
      <c r="N606" t="s">
        <v>2092</v>
      </c>
      <c r="O606" t="s">
        <v>1776</v>
      </c>
      <c r="P606">
        <v>24</v>
      </c>
      <c r="Q606">
        <v>720</v>
      </c>
      <c r="R606" t="s">
        <v>1777</v>
      </c>
      <c r="S606" s="42" t="str">
        <f>HYPERLINK("https://sklep.kobi.pl/produkt/lampa-ogrodowa-quazar-17-czarna")</f>
        <v>https://sklep.kobi.pl/produkt/lampa-ogrodowa-quazar-17-czarna</v>
      </c>
      <c r="T606" t="s">
        <v>71</v>
      </c>
      <c r="U606">
        <v>0.39300000000000002</v>
      </c>
      <c r="V606">
        <v>0.45100000000000001</v>
      </c>
      <c r="W606">
        <v>105</v>
      </c>
      <c r="X606">
        <v>105</v>
      </c>
      <c r="Y606">
        <v>105</v>
      </c>
      <c r="Z606" t="s">
        <v>1778</v>
      </c>
      <c r="AA606"/>
    </row>
    <row r="607" spans="1:27" ht="15" x14ac:dyDescent="0.25">
      <c r="A607" t="s">
        <v>9</v>
      </c>
      <c r="B607" t="s">
        <v>212</v>
      </c>
      <c r="C607" t="s">
        <v>221</v>
      </c>
      <c r="D607" t="s">
        <v>69</v>
      </c>
      <c r="E607" t="s">
        <v>149</v>
      </c>
      <c r="F607" t="s">
        <v>812</v>
      </c>
      <c r="G607" t="s">
        <v>813</v>
      </c>
      <c r="H607" t="s">
        <v>13</v>
      </c>
      <c r="I607" s="41">
        <v>98</v>
      </c>
      <c r="J607" s="40">
        <f>I607*(1-IFERROR(VLOOKUP(H607,Rabat!$D$10:$E$41,2,FALSE),0))</f>
        <v>98</v>
      </c>
      <c r="K607">
        <v>0.18</v>
      </c>
      <c r="L607" t="s">
        <v>1789</v>
      </c>
      <c r="M607" t="s">
        <v>2412</v>
      </c>
      <c r="N607" t="s">
        <v>2092</v>
      </c>
      <c r="O607" t="s">
        <v>1776</v>
      </c>
      <c r="P607">
        <v>24</v>
      </c>
      <c r="Q607">
        <v>720</v>
      </c>
      <c r="R607" t="s">
        <v>1777</v>
      </c>
      <c r="S607" s="42" t="str">
        <f>HYPERLINK("https://sklep.kobi.pl/produkt/lampa-ogrodowa-quazar-17-szara")</f>
        <v>https://sklep.kobi.pl/produkt/lampa-ogrodowa-quazar-17-szara</v>
      </c>
      <c r="T607" t="s">
        <v>71</v>
      </c>
      <c r="U607">
        <v>0.39300000000000002</v>
      </c>
      <c r="V607">
        <v>0.45100000000000001</v>
      </c>
      <c r="W607">
        <v>105</v>
      </c>
      <c r="X607">
        <v>105</v>
      </c>
      <c r="Y607">
        <v>105</v>
      </c>
      <c r="Z607" t="s">
        <v>1778</v>
      </c>
      <c r="AA607"/>
    </row>
    <row r="608" spans="1:27" ht="15" x14ac:dyDescent="0.25">
      <c r="A608" t="s">
        <v>9</v>
      </c>
      <c r="B608" t="s">
        <v>212</v>
      </c>
      <c r="C608" t="s">
        <v>221</v>
      </c>
      <c r="D608" t="s">
        <v>69</v>
      </c>
      <c r="E608" t="s">
        <v>149</v>
      </c>
      <c r="F608" t="s">
        <v>818</v>
      </c>
      <c r="G608" t="s">
        <v>819</v>
      </c>
      <c r="H608" t="s">
        <v>13</v>
      </c>
      <c r="I608" s="41">
        <v>92.95</v>
      </c>
      <c r="J608" s="40">
        <f>I608*(1-IFERROR(VLOOKUP(H608,Rabat!$D$10:$E$41,2,FALSE),0))</f>
        <v>92.95</v>
      </c>
      <c r="K608">
        <v>0.13</v>
      </c>
      <c r="L608" t="s">
        <v>1789</v>
      </c>
      <c r="M608" t="s">
        <v>2413</v>
      </c>
      <c r="N608" t="s">
        <v>2092</v>
      </c>
      <c r="O608" t="s">
        <v>1776</v>
      </c>
      <c r="P608">
        <v>24</v>
      </c>
      <c r="Q608">
        <v>720</v>
      </c>
      <c r="R608" t="s">
        <v>1777</v>
      </c>
      <c r="S608" s="42" t="str">
        <f>HYPERLINK("https://sklep.kobi.pl/produkt/lampa-ogrodowa-quazar-18-czarna")</f>
        <v>https://sklep.kobi.pl/produkt/lampa-ogrodowa-quazar-18-czarna</v>
      </c>
      <c r="T608" t="s">
        <v>71</v>
      </c>
      <c r="U608">
        <v>0.28299999999999997</v>
      </c>
      <c r="V608">
        <v>0.35499999999999998</v>
      </c>
      <c r="W608">
        <v>100</v>
      </c>
      <c r="X608">
        <v>105</v>
      </c>
      <c r="Y608">
        <v>105</v>
      </c>
      <c r="Z608" t="s">
        <v>1778</v>
      </c>
      <c r="AA608"/>
    </row>
    <row r="609" spans="1:27" ht="15" x14ac:dyDescent="0.25">
      <c r="A609" t="s">
        <v>9</v>
      </c>
      <c r="B609" t="s">
        <v>212</v>
      </c>
      <c r="C609" t="s">
        <v>221</v>
      </c>
      <c r="D609" t="s">
        <v>69</v>
      </c>
      <c r="E609" t="s">
        <v>149</v>
      </c>
      <c r="F609" t="s">
        <v>816</v>
      </c>
      <c r="G609" t="s">
        <v>817</v>
      </c>
      <c r="H609" t="s">
        <v>13</v>
      </c>
      <c r="I609" s="41">
        <v>92.95</v>
      </c>
      <c r="J609" s="40">
        <f>I609*(1-IFERROR(VLOOKUP(H609,Rabat!$D$10:$E$41,2,FALSE),0))</f>
        <v>92.95</v>
      </c>
      <c r="K609">
        <v>0.13</v>
      </c>
      <c r="L609" t="s">
        <v>1789</v>
      </c>
      <c r="M609" t="s">
        <v>2414</v>
      </c>
      <c r="N609" t="s">
        <v>2092</v>
      </c>
      <c r="O609" t="s">
        <v>1776</v>
      </c>
      <c r="P609">
        <v>24</v>
      </c>
      <c r="Q609">
        <v>720</v>
      </c>
      <c r="R609" t="s">
        <v>1777</v>
      </c>
      <c r="S609" s="42" t="str">
        <f>HYPERLINK("https://sklep.kobi.pl/produkt/lampa-ogrodowa-quazar-18-szara")</f>
        <v>https://sklep.kobi.pl/produkt/lampa-ogrodowa-quazar-18-szara</v>
      </c>
      <c r="T609" t="s">
        <v>71</v>
      </c>
      <c r="U609">
        <v>0.28299999999999997</v>
      </c>
      <c r="V609">
        <v>0.35499999999999998</v>
      </c>
      <c r="W609">
        <v>105</v>
      </c>
      <c r="X609">
        <v>105</v>
      </c>
      <c r="Y609">
        <v>105</v>
      </c>
      <c r="Z609" t="s">
        <v>1778</v>
      </c>
      <c r="AA609"/>
    </row>
    <row r="610" spans="1:27" ht="15" x14ac:dyDescent="0.25">
      <c r="A610" t="s">
        <v>9</v>
      </c>
      <c r="B610" t="s">
        <v>212</v>
      </c>
      <c r="C610" t="s">
        <v>1611</v>
      </c>
      <c r="D610" t="s">
        <v>69</v>
      </c>
      <c r="E610" t="s">
        <v>149</v>
      </c>
      <c r="F610" t="s">
        <v>1612</v>
      </c>
      <c r="G610" t="s">
        <v>1613</v>
      </c>
      <c r="H610" t="s">
        <v>13</v>
      </c>
      <c r="I610" s="41">
        <v>84.85</v>
      </c>
      <c r="J610" s="40">
        <f>I610*(1-IFERROR(VLOOKUP(H610,Rabat!$D$10:$E$41,2,FALSE),0))</f>
        <v>84.85</v>
      </c>
      <c r="K610">
        <v>0.33</v>
      </c>
      <c r="L610" t="s">
        <v>1789</v>
      </c>
      <c r="M610" t="s">
        <v>2415</v>
      </c>
      <c r="N610" t="s">
        <v>2092</v>
      </c>
      <c r="O610" t="s">
        <v>1776</v>
      </c>
      <c r="P610">
        <v>10</v>
      </c>
      <c r="Q610">
        <v>0</v>
      </c>
      <c r="R610" t="s">
        <v>1777</v>
      </c>
      <c r="S610"/>
      <c r="T610" t="s">
        <v>71</v>
      </c>
      <c r="U610">
        <v>0.73599999999999999</v>
      </c>
      <c r="V610">
        <v>0.90200000000000002</v>
      </c>
      <c r="W610">
        <v>155</v>
      </c>
      <c r="X610">
        <v>182</v>
      </c>
      <c r="Y610">
        <v>320</v>
      </c>
      <c r="Z610" t="s">
        <v>1778</v>
      </c>
      <c r="AA610"/>
    </row>
    <row r="611" spans="1:27" ht="15" x14ac:dyDescent="0.25">
      <c r="A611" t="s">
        <v>9</v>
      </c>
      <c r="B611" t="s">
        <v>212</v>
      </c>
      <c r="C611" t="s">
        <v>613</v>
      </c>
      <c r="D611" t="s">
        <v>69</v>
      </c>
      <c r="E611" t="s">
        <v>71</v>
      </c>
      <c r="F611" t="s">
        <v>614</v>
      </c>
      <c r="G611" t="s">
        <v>615</v>
      </c>
      <c r="H611" t="s">
        <v>13</v>
      </c>
      <c r="I611" s="41">
        <v>259</v>
      </c>
      <c r="J611" s="40">
        <f>I611*(1-IFERROR(VLOOKUP(H611,Rabat!$D$10:$E$41,2,FALSE),0))</f>
        <v>259</v>
      </c>
      <c r="K611">
        <v>0.75</v>
      </c>
      <c r="L611" t="s">
        <v>1789</v>
      </c>
      <c r="M611" t="s">
        <v>2416</v>
      </c>
      <c r="N611" t="s">
        <v>2092</v>
      </c>
      <c r="O611" t="s">
        <v>1776</v>
      </c>
      <c r="P611">
        <v>6</v>
      </c>
      <c r="Q611">
        <v>60</v>
      </c>
      <c r="R611" t="s">
        <v>1777</v>
      </c>
      <c r="S611" s="42" t="str">
        <f>HYPERLINK("https://sklep.kobi.pl/produkt/lampa-ogrodowa-quazar-15s-czarna-1xgu10")</f>
        <v>https://sklep.kobi.pl/produkt/lampa-ogrodowa-quazar-15s-czarna-1xgu10</v>
      </c>
      <c r="T611" t="s">
        <v>71</v>
      </c>
      <c r="U611">
        <v>1.645</v>
      </c>
      <c r="V611">
        <v>1.95</v>
      </c>
      <c r="W611">
        <v>130</v>
      </c>
      <c r="X611">
        <v>1015</v>
      </c>
      <c r="Y611">
        <v>130</v>
      </c>
      <c r="Z611" t="s">
        <v>1778</v>
      </c>
      <c r="AA611"/>
    </row>
    <row r="612" spans="1:27" ht="15" x14ac:dyDescent="0.25">
      <c r="A612" t="s">
        <v>9</v>
      </c>
      <c r="B612" t="s">
        <v>212</v>
      </c>
      <c r="C612" t="s">
        <v>613</v>
      </c>
      <c r="D612" t="s">
        <v>69</v>
      </c>
      <c r="E612" t="s">
        <v>71</v>
      </c>
      <c r="F612" t="s">
        <v>616</v>
      </c>
      <c r="G612" t="s">
        <v>617</v>
      </c>
      <c r="H612" t="s">
        <v>13</v>
      </c>
      <c r="I612" s="41">
        <v>204.45</v>
      </c>
      <c r="J612" s="40">
        <f>I612*(1-IFERROR(VLOOKUP(H612,Rabat!$D$10:$E$41,2,FALSE),0))</f>
        <v>204.45</v>
      </c>
      <c r="K612">
        <v>0.75</v>
      </c>
      <c r="L612" t="s">
        <v>1789</v>
      </c>
      <c r="M612" t="s">
        <v>2417</v>
      </c>
      <c r="N612" t="s">
        <v>2092</v>
      </c>
      <c r="O612" t="s">
        <v>1776</v>
      </c>
      <c r="P612">
        <v>6</v>
      </c>
      <c r="Q612">
        <v>60</v>
      </c>
      <c r="R612" t="s">
        <v>1777</v>
      </c>
      <c r="S612" s="42" t="str">
        <f>HYPERLINK("https://sklep.kobi.pl/produkt/lampa-ogrodowa-quazar-15s-szara-1xgu10")</f>
        <v>https://sklep.kobi.pl/produkt/lampa-ogrodowa-quazar-15s-szara-1xgu10</v>
      </c>
      <c r="T612" t="s">
        <v>71</v>
      </c>
      <c r="U612">
        <v>1.645</v>
      </c>
      <c r="V612">
        <v>1.95</v>
      </c>
      <c r="W612">
        <v>130</v>
      </c>
      <c r="X612">
        <v>1015</v>
      </c>
      <c r="Y612">
        <v>130</v>
      </c>
      <c r="Z612" t="s">
        <v>1778</v>
      </c>
      <c r="AA612"/>
    </row>
    <row r="613" spans="1:27" ht="15" x14ac:dyDescent="0.25">
      <c r="A613" t="s">
        <v>9</v>
      </c>
      <c r="B613" t="s">
        <v>212</v>
      </c>
      <c r="C613" t="s">
        <v>367</v>
      </c>
      <c r="D613" t="s">
        <v>69</v>
      </c>
      <c r="E613" t="s">
        <v>71</v>
      </c>
      <c r="F613" t="s">
        <v>368</v>
      </c>
      <c r="G613" t="s">
        <v>369</v>
      </c>
      <c r="H613" t="s">
        <v>13</v>
      </c>
      <c r="I613" s="41">
        <v>377</v>
      </c>
      <c r="J613" s="40">
        <f>I613*(1-IFERROR(VLOOKUP(H613,Rabat!$D$10:$E$41,2,FALSE),0))</f>
        <v>377</v>
      </c>
      <c r="K613">
        <v>0.9</v>
      </c>
      <c r="L613" t="s">
        <v>1789</v>
      </c>
      <c r="M613" t="s">
        <v>2418</v>
      </c>
      <c r="N613" t="s">
        <v>2092</v>
      </c>
      <c r="O613" t="s">
        <v>1776</v>
      </c>
      <c r="P613">
        <v>6</v>
      </c>
      <c r="Q613">
        <v>48</v>
      </c>
      <c r="R613" t="s">
        <v>1777</v>
      </c>
      <c r="S613" s="42" t="str">
        <f>HYPERLINK("https://sklep.kobi.pl/produkt/lampa-ogrodowa-quazar-12-czarna-1xgu10")</f>
        <v>https://sklep.kobi.pl/produkt/lampa-ogrodowa-quazar-12-czarna-1xgu10</v>
      </c>
      <c r="T613" t="s">
        <v>71</v>
      </c>
      <c r="U613">
        <v>1.978</v>
      </c>
      <c r="V613">
        <v>2.2999999999999998</v>
      </c>
      <c r="W613">
        <v>140</v>
      </c>
      <c r="X613">
        <v>140</v>
      </c>
      <c r="Y613">
        <v>101</v>
      </c>
      <c r="Z613" t="s">
        <v>1778</v>
      </c>
      <c r="AA613"/>
    </row>
    <row r="614" spans="1:27" ht="15" x14ac:dyDescent="0.25">
      <c r="A614" t="s">
        <v>9</v>
      </c>
      <c r="B614" t="s">
        <v>212</v>
      </c>
      <c r="C614" t="s">
        <v>367</v>
      </c>
      <c r="D614" t="s">
        <v>69</v>
      </c>
      <c r="E614" t="s">
        <v>71</v>
      </c>
      <c r="F614" t="s">
        <v>370</v>
      </c>
      <c r="G614" t="s">
        <v>371</v>
      </c>
      <c r="H614" t="s">
        <v>13</v>
      </c>
      <c r="I614" s="41">
        <v>304.68</v>
      </c>
      <c r="J614" s="40">
        <f>I614*(1-IFERROR(VLOOKUP(H614,Rabat!$D$10:$E$41,2,FALSE),0))</f>
        <v>304.68</v>
      </c>
      <c r="K614">
        <v>0.9</v>
      </c>
      <c r="L614" t="s">
        <v>1789</v>
      </c>
      <c r="M614" t="s">
        <v>2419</v>
      </c>
      <c r="N614" t="s">
        <v>2092</v>
      </c>
      <c r="O614" t="s">
        <v>1776</v>
      </c>
      <c r="P614">
        <v>6</v>
      </c>
      <c r="Q614">
        <v>48</v>
      </c>
      <c r="R614" t="s">
        <v>1777</v>
      </c>
      <c r="S614" s="42" t="str">
        <f>HYPERLINK("https://sklep.kobi.pl/produkt/lampa-ogrodowa-quazar-12-szara-1xgu10")</f>
        <v>https://sklep.kobi.pl/produkt/lampa-ogrodowa-quazar-12-szara-1xgu10</v>
      </c>
      <c r="T614" t="s">
        <v>71</v>
      </c>
      <c r="U614">
        <v>1.978</v>
      </c>
      <c r="V614">
        <v>2.2999999999999998</v>
      </c>
      <c r="W614">
        <v>140</v>
      </c>
      <c r="X614">
        <v>140</v>
      </c>
      <c r="Y614">
        <v>101</v>
      </c>
      <c r="Z614" t="s">
        <v>1778</v>
      </c>
      <c r="AA614"/>
    </row>
    <row r="615" spans="1:27" ht="15" x14ac:dyDescent="0.25">
      <c r="A615" t="s">
        <v>9</v>
      </c>
      <c r="B615" t="s">
        <v>212</v>
      </c>
      <c r="C615" t="s">
        <v>1526</v>
      </c>
      <c r="D615" t="s">
        <v>69</v>
      </c>
      <c r="E615" t="s">
        <v>71</v>
      </c>
      <c r="F615" t="s">
        <v>1527</v>
      </c>
      <c r="G615" t="s">
        <v>1528</v>
      </c>
      <c r="H615" t="s">
        <v>13</v>
      </c>
      <c r="I615" s="41">
        <v>61.8</v>
      </c>
      <c r="J615" s="40">
        <f>I615*(1-IFERROR(VLOOKUP(H615,Rabat!$D$10:$E$41,2,FALSE),0))</f>
        <v>61.8</v>
      </c>
      <c r="K615">
        <v>0.31</v>
      </c>
      <c r="L615" t="s">
        <v>1789</v>
      </c>
      <c r="M615" t="s">
        <v>2420</v>
      </c>
      <c r="N615" t="s">
        <v>2092</v>
      </c>
      <c r="O615" t="s">
        <v>1776</v>
      </c>
      <c r="P615">
        <v>10</v>
      </c>
      <c r="Q615">
        <v>150</v>
      </c>
      <c r="R615" t="s">
        <v>1777</v>
      </c>
      <c r="S615" s="42" t="str">
        <f>HYPERLINK("https://sklep.kobi.pl/produkt/lampa-ogrodowa-lo4105-czarna-alu")</f>
        <v>https://sklep.kobi.pl/produkt/lampa-ogrodowa-lo4105-czarna-alu</v>
      </c>
      <c r="T615" t="s">
        <v>71</v>
      </c>
      <c r="U615">
        <v>0.69</v>
      </c>
      <c r="V615">
        <v>0.96299999999999997</v>
      </c>
      <c r="W615">
        <v>155</v>
      </c>
      <c r="X615">
        <v>185</v>
      </c>
      <c r="Y615">
        <v>270</v>
      </c>
      <c r="Z615" t="s">
        <v>1778</v>
      </c>
      <c r="AA615"/>
    </row>
    <row r="616" spans="1:27" ht="15" x14ac:dyDescent="0.25">
      <c r="A616" t="s">
        <v>9</v>
      </c>
      <c r="B616" t="s">
        <v>212</v>
      </c>
      <c r="C616" t="s">
        <v>1526</v>
      </c>
      <c r="D616" t="s">
        <v>69</v>
      </c>
      <c r="E616" t="s">
        <v>71</v>
      </c>
      <c r="F616" t="s">
        <v>1535</v>
      </c>
      <c r="G616" t="s">
        <v>1536</v>
      </c>
      <c r="H616" t="s">
        <v>13</v>
      </c>
      <c r="I616" s="41">
        <v>61.8</v>
      </c>
      <c r="J616" s="40">
        <f>I616*(1-IFERROR(VLOOKUP(H616,Rabat!$D$10:$E$41,2,FALSE),0))</f>
        <v>61.8</v>
      </c>
      <c r="K616">
        <v>0.31</v>
      </c>
      <c r="L616" t="s">
        <v>1789</v>
      </c>
      <c r="M616" t="s">
        <v>2421</v>
      </c>
      <c r="N616" t="s">
        <v>2092</v>
      </c>
      <c r="O616" t="s">
        <v>1776</v>
      </c>
      <c r="P616">
        <v>10</v>
      </c>
      <c r="Q616">
        <v>150</v>
      </c>
      <c r="R616" t="s">
        <v>1777</v>
      </c>
      <c r="S616" s="42" t="str">
        <f>HYPERLINK("https://sklep.kobi.pl/produkt/lampa-ogrodowa-lo4105-zlota-alu")</f>
        <v>https://sklep.kobi.pl/produkt/lampa-ogrodowa-lo4105-zlota-alu</v>
      </c>
      <c r="T616" t="s">
        <v>71</v>
      </c>
      <c r="U616">
        <v>0.69</v>
      </c>
      <c r="V616">
        <v>0.96299999999999997</v>
      </c>
      <c r="W616">
        <v>155</v>
      </c>
      <c r="X616">
        <v>185</v>
      </c>
      <c r="Y616">
        <v>270</v>
      </c>
      <c r="Z616" t="s">
        <v>1778</v>
      </c>
      <c r="AA616"/>
    </row>
    <row r="617" spans="1:27" ht="15" x14ac:dyDescent="0.25">
      <c r="A617" t="s">
        <v>9</v>
      </c>
      <c r="B617" t="s">
        <v>173</v>
      </c>
      <c r="C617"/>
      <c r="D617" t="s">
        <v>69</v>
      </c>
      <c r="E617" t="s">
        <v>149</v>
      </c>
      <c r="F617" t="s">
        <v>980</v>
      </c>
      <c r="G617" t="s">
        <v>981</v>
      </c>
      <c r="H617" t="s">
        <v>54</v>
      </c>
      <c r="I617" s="41">
        <v>61.4</v>
      </c>
      <c r="J617" s="40">
        <f>I617*(1-IFERROR(VLOOKUP(H617,Rabat!$D$10:$E$41,2,FALSE),0))</f>
        <v>61.4</v>
      </c>
      <c r="K617">
        <v>0.13</v>
      </c>
      <c r="L617" t="s">
        <v>1789</v>
      </c>
      <c r="M617" t="s">
        <v>2422</v>
      </c>
      <c r="N617" t="s">
        <v>2311</v>
      </c>
      <c r="O617" t="s">
        <v>1776</v>
      </c>
      <c r="P617">
        <v>20</v>
      </c>
      <c r="Q617">
        <v>420</v>
      </c>
      <c r="R617" t="s">
        <v>1777</v>
      </c>
      <c r="S617" s="42" t="str">
        <f>HYPERLINK("https://sklep.kobi.pl/produkt/nuuk-pt-1xgu10-bialy")</f>
        <v>https://sklep.kobi.pl/produkt/nuuk-pt-1xgu10-bialy</v>
      </c>
      <c r="T617" t="s">
        <v>71</v>
      </c>
      <c r="U617">
        <v>0.27600000000000002</v>
      </c>
      <c r="V617">
        <v>0.37</v>
      </c>
      <c r="W617">
        <v>145</v>
      </c>
      <c r="X617">
        <v>100</v>
      </c>
      <c r="Y617">
        <v>65</v>
      </c>
      <c r="Z617" t="s">
        <v>1778</v>
      </c>
      <c r="AA617"/>
    </row>
    <row r="618" spans="1:27" ht="15" x14ac:dyDescent="0.25">
      <c r="A618" t="s">
        <v>9</v>
      </c>
      <c r="B618" t="s">
        <v>173</v>
      </c>
      <c r="C618"/>
      <c r="D618" t="s">
        <v>69</v>
      </c>
      <c r="E618" t="s">
        <v>149</v>
      </c>
      <c r="F618" t="s">
        <v>982</v>
      </c>
      <c r="G618" t="s">
        <v>983</v>
      </c>
      <c r="H618" t="s">
        <v>54</v>
      </c>
      <c r="I618" s="41">
        <v>61.4</v>
      </c>
      <c r="J618" s="40">
        <f>I618*(1-IFERROR(VLOOKUP(H618,Rabat!$D$10:$E$41,2,FALSE),0))</f>
        <v>61.4</v>
      </c>
      <c r="K618">
        <v>0.13</v>
      </c>
      <c r="L618" t="s">
        <v>1789</v>
      </c>
      <c r="M618" t="s">
        <v>2423</v>
      </c>
      <c r="N618" t="s">
        <v>2311</v>
      </c>
      <c r="O618" t="s">
        <v>1776</v>
      </c>
      <c r="P618">
        <v>20</v>
      </c>
      <c r="Q618">
        <v>420</v>
      </c>
      <c r="R618" t="s">
        <v>1777</v>
      </c>
      <c r="S618" s="42" t="str">
        <f>HYPERLINK("https://sklep.kobi.pl/produkt/nuuk-pt-1xgu10-czarny")</f>
        <v>https://sklep.kobi.pl/produkt/nuuk-pt-1xgu10-czarny</v>
      </c>
      <c r="T618" t="s">
        <v>71</v>
      </c>
      <c r="U618">
        <v>0.27600000000000002</v>
      </c>
      <c r="V618">
        <v>0.37</v>
      </c>
      <c r="W618">
        <v>145</v>
      </c>
      <c r="X618">
        <v>100</v>
      </c>
      <c r="Y618">
        <v>65</v>
      </c>
      <c r="Z618" t="s">
        <v>1778</v>
      </c>
      <c r="AA618"/>
    </row>
    <row r="619" spans="1:27" ht="15" x14ac:dyDescent="0.25">
      <c r="A619" t="s">
        <v>9</v>
      </c>
      <c r="B619" t="s">
        <v>173</v>
      </c>
      <c r="C619"/>
      <c r="D619" t="s">
        <v>69</v>
      </c>
      <c r="E619" t="s">
        <v>71</v>
      </c>
      <c r="F619" t="s">
        <v>174</v>
      </c>
      <c r="G619" t="s">
        <v>175</v>
      </c>
      <c r="H619" t="s">
        <v>54</v>
      </c>
      <c r="I619" s="41">
        <v>9.11</v>
      </c>
      <c r="J619" s="40">
        <f>I619*(1-IFERROR(VLOOKUP(H619,Rabat!$D$10:$E$41,2,FALSE),0))</f>
        <v>9.11</v>
      </c>
      <c r="K619">
        <v>0</v>
      </c>
      <c r="L619" t="s">
        <v>1789</v>
      </c>
      <c r="M619" t="s">
        <v>2424</v>
      </c>
      <c r="N619" t="s">
        <v>2099</v>
      </c>
      <c r="O619" t="s">
        <v>1776</v>
      </c>
      <c r="P619">
        <v>50</v>
      </c>
      <c r="Q619">
        <v>2800</v>
      </c>
      <c r="R619" t="s">
        <v>1777</v>
      </c>
      <c r="S619" s="42" t="str">
        <f>HYPERLINK("https://sklep.kobi.pl/produkt/pierscien-ozdobny-oh14-bialy")</f>
        <v>https://sklep.kobi.pl/produkt/pierscien-ozdobny-oh14-bialy</v>
      </c>
      <c r="T619" t="s">
        <v>71</v>
      </c>
      <c r="U619">
        <v>3.9E-2</v>
      </c>
      <c r="V619">
        <v>6.3E-2</v>
      </c>
      <c r="W619">
        <v>42</v>
      </c>
      <c r="X619">
        <v>87</v>
      </c>
      <c r="Y619">
        <v>90</v>
      </c>
      <c r="Z619" t="s">
        <v>1778</v>
      </c>
      <c r="AA619"/>
    </row>
    <row r="620" spans="1:27" ht="15" x14ac:dyDescent="0.25">
      <c r="A620" t="s">
        <v>9</v>
      </c>
      <c r="B620" t="s">
        <v>173</v>
      </c>
      <c r="C620"/>
      <c r="D620" t="s">
        <v>69</v>
      </c>
      <c r="E620" t="s">
        <v>71</v>
      </c>
      <c r="F620" t="s">
        <v>208</v>
      </c>
      <c r="G620" t="s">
        <v>209</v>
      </c>
      <c r="H620" t="s">
        <v>54</v>
      </c>
      <c r="I620" s="41">
        <v>9.94</v>
      </c>
      <c r="J620" s="40">
        <f>I620*(1-IFERROR(VLOOKUP(H620,Rabat!$D$10:$E$41,2,FALSE),0))</f>
        <v>9.94</v>
      </c>
      <c r="K620">
        <v>0</v>
      </c>
      <c r="L620" t="s">
        <v>1789</v>
      </c>
      <c r="M620" t="s">
        <v>2425</v>
      </c>
      <c r="N620" t="s">
        <v>2099</v>
      </c>
      <c r="O620" t="s">
        <v>1776</v>
      </c>
      <c r="P620">
        <v>50</v>
      </c>
      <c r="Q620">
        <v>2800</v>
      </c>
      <c r="R620" t="s">
        <v>1777</v>
      </c>
      <c r="S620" s="42" t="str">
        <f>HYPERLINK("https://sklep.kobi.pl/produkt/pierscien-ozdobny-oh14-chrom")</f>
        <v>https://sklep.kobi.pl/produkt/pierscien-ozdobny-oh14-chrom</v>
      </c>
      <c r="T620" t="s">
        <v>71</v>
      </c>
      <c r="U620">
        <v>3.9E-2</v>
      </c>
      <c r="V620">
        <v>6.3E-2</v>
      </c>
      <c r="W620">
        <v>42</v>
      </c>
      <c r="X620">
        <v>87</v>
      </c>
      <c r="Y620">
        <v>90</v>
      </c>
      <c r="Z620" t="s">
        <v>1778</v>
      </c>
      <c r="AA620"/>
    </row>
    <row r="621" spans="1:27" ht="15" x14ac:dyDescent="0.25">
      <c r="A621" t="s">
        <v>9</v>
      </c>
      <c r="B621" t="s">
        <v>173</v>
      </c>
      <c r="C621"/>
      <c r="D621" t="s">
        <v>69</v>
      </c>
      <c r="E621" t="s">
        <v>71</v>
      </c>
      <c r="F621" t="s">
        <v>180</v>
      </c>
      <c r="G621" t="s">
        <v>181</v>
      </c>
      <c r="H621" t="s">
        <v>54</v>
      </c>
      <c r="I621" s="41">
        <v>9.94</v>
      </c>
      <c r="J621" s="40">
        <f>I621*(1-IFERROR(VLOOKUP(H621,Rabat!$D$10:$E$41,2,FALSE),0))</f>
        <v>9.94</v>
      </c>
      <c r="K621">
        <v>0</v>
      </c>
      <c r="L621" t="s">
        <v>1789</v>
      </c>
      <c r="M621" t="s">
        <v>2426</v>
      </c>
      <c r="N621" t="s">
        <v>2099</v>
      </c>
      <c r="O621" t="s">
        <v>1776</v>
      </c>
      <c r="P621">
        <v>50</v>
      </c>
      <c r="Q621">
        <v>2800</v>
      </c>
      <c r="R621" t="s">
        <v>1777</v>
      </c>
      <c r="S621" s="42" t="str">
        <f>HYPERLINK("https://sklep.kobi.pl/produkt/pierscien-ozdobny-oh14-mat-chrom")</f>
        <v>https://sklep.kobi.pl/produkt/pierscien-ozdobny-oh14-mat-chrom</v>
      </c>
      <c r="T621" t="s">
        <v>71</v>
      </c>
      <c r="U621">
        <v>3.9E-2</v>
      </c>
      <c r="V621">
        <v>6.3E-2</v>
      </c>
      <c r="W621">
        <v>42</v>
      </c>
      <c r="X621">
        <v>87</v>
      </c>
      <c r="Y621">
        <v>90</v>
      </c>
      <c r="Z621" t="s">
        <v>1778</v>
      </c>
      <c r="AA621"/>
    </row>
    <row r="622" spans="1:27" ht="15" x14ac:dyDescent="0.25">
      <c r="A622" t="s">
        <v>9</v>
      </c>
      <c r="B622" t="s">
        <v>173</v>
      </c>
      <c r="C622"/>
      <c r="D622" t="s">
        <v>69</v>
      </c>
      <c r="E622" t="s">
        <v>71</v>
      </c>
      <c r="F622" t="s">
        <v>1057</v>
      </c>
      <c r="G622" t="s">
        <v>1058</v>
      </c>
      <c r="H622" t="s">
        <v>54</v>
      </c>
      <c r="I622" s="41">
        <v>9.94</v>
      </c>
      <c r="J622" s="40">
        <f>I622*(1-IFERROR(VLOOKUP(H622,Rabat!$D$10:$E$41,2,FALSE),0))</f>
        <v>9.94</v>
      </c>
      <c r="K622">
        <v>0</v>
      </c>
      <c r="L622" t="s">
        <v>1789</v>
      </c>
      <c r="M622" t="s">
        <v>2427</v>
      </c>
      <c r="N622" t="s">
        <v>2099</v>
      </c>
      <c r="O622" t="s">
        <v>1776</v>
      </c>
      <c r="P622">
        <v>50</v>
      </c>
      <c r="Q622">
        <v>2800</v>
      </c>
      <c r="R622" t="s">
        <v>1777</v>
      </c>
      <c r="S622" s="42" t="str">
        <f>HYPERLINK("https://sklep.kobi.pl/produkt/pierscien-ozdobny-oh14-mat-czarny")</f>
        <v>https://sklep.kobi.pl/produkt/pierscien-ozdobny-oh14-mat-czarny</v>
      </c>
      <c r="T622" t="s">
        <v>71</v>
      </c>
      <c r="U622">
        <v>3.9E-2</v>
      </c>
      <c r="V622">
        <v>6.3E-2</v>
      </c>
      <c r="W622">
        <v>42</v>
      </c>
      <c r="X622">
        <v>87</v>
      </c>
      <c r="Y622">
        <v>90</v>
      </c>
      <c r="Z622" t="s">
        <v>1778</v>
      </c>
      <c r="AA622"/>
    </row>
    <row r="623" spans="1:27" ht="15" x14ac:dyDescent="0.25">
      <c r="A623" t="s">
        <v>9</v>
      </c>
      <c r="B623" t="s">
        <v>173</v>
      </c>
      <c r="C623"/>
      <c r="D623" t="s">
        <v>69</v>
      </c>
      <c r="E623" t="s">
        <v>71</v>
      </c>
      <c r="F623" t="s">
        <v>182</v>
      </c>
      <c r="G623" t="s">
        <v>183</v>
      </c>
      <c r="H623" t="s">
        <v>54</v>
      </c>
      <c r="I623" s="41">
        <v>9.94</v>
      </c>
      <c r="J623" s="40">
        <f>I623*(1-IFERROR(VLOOKUP(H623,Rabat!$D$10:$E$41,2,FALSE),0))</f>
        <v>9.94</v>
      </c>
      <c r="K623">
        <v>0</v>
      </c>
      <c r="L623" t="s">
        <v>1789</v>
      </c>
      <c r="M623" t="s">
        <v>2428</v>
      </c>
      <c r="N623" t="s">
        <v>2099</v>
      </c>
      <c r="O623" t="s">
        <v>1776</v>
      </c>
      <c r="P623">
        <v>50</v>
      </c>
      <c r="Q623">
        <v>2800</v>
      </c>
      <c r="R623" t="s">
        <v>1777</v>
      </c>
      <c r="S623" s="42" t="str">
        <f>HYPERLINK("https://sklep.kobi.pl/produkt/pierscien-ozdobny-oh14-patyna")</f>
        <v>https://sklep.kobi.pl/produkt/pierscien-ozdobny-oh14-patyna</v>
      </c>
      <c r="T623" t="s">
        <v>71</v>
      </c>
      <c r="U623">
        <v>3.9E-2</v>
      </c>
      <c r="V623">
        <v>6.3E-2</v>
      </c>
      <c r="W623">
        <v>42</v>
      </c>
      <c r="X623">
        <v>87</v>
      </c>
      <c r="Y623">
        <v>90</v>
      </c>
      <c r="Z623" t="s">
        <v>1778</v>
      </c>
      <c r="AA623"/>
    </row>
    <row r="624" spans="1:27" ht="15" x14ac:dyDescent="0.25">
      <c r="A624" t="s">
        <v>9</v>
      </c>
      <c r="B624" t="s">
        <v>173</v>
      </c>
      <c r="C624"/>
      <c r="D624" t="s">
        <v>69</v>
      </c>
      <c r="E624" t="s">
        <v>71</v>
      </c>
      <c r="F624" t="s">
        <v>178</v>
      </c>
      <c r="G624" t="s">
        <v>179</v>
      </c>
      <c r="H624" t="s">
        <v>54</v>
      </c>
      <c r="I624" s="41">
        <v>21.58</v>
      </c>
      <c r="J624" s="40">
        <f>I624*(1-IFERROR(VLOOKUP(H624,Rabat!$D$10:$E$41,2,FALSE),0))</f>
        <v>21.58</v>
      </c>
      <c r="K624">
        <v>0</v>
      </c>
      <c r="L624" t="s">
        <v>1789</v>
      </c>
      <c r="M624" t="s">
        <v>2429</v>
      </c>
      <c r="N624" t="s">
        <v>2099</v>
      </c>
      <c r="O624" t="s">
        <v>1776</v>
      </c>
      <c r="P624">
        <v>100</v>
      </c>
      <c r="Q624">
        <v>4000</v>
      </c>
      <c r="R624" t="s">
        <v>1777</v>
      </c>
      <c r="S624" s="42" t="str">
        <f>HYPERLINK("https://sklep.kobi.pl/produkt/pierscien-ozdobny-oh21-chrom")</f>
        <v>https://sklep.kobi.pl/produkt/pierscien-ozdobny-oh21-chrom</v>
      </c>
      <c r="T624" t="s">
        <v>71</v>
      </c>
      <c r="U624">
        <v>3.2000000000000001E-2</v>
      </c>
      <c r="V624">
        <v>5.5E-2</v>
      </c>
      <c r="W624">
        <v>35</v>
      </c>
      <c r="X624">
        <v>80</v>
      </c>
      <c r="Y624">
        <v>85</v>
      </c>
      <c r="Z624" t="s">
        <v>1778</v>
      </c>
      <c r="AA624"/>
    </row>
    <row r="625" spans="1:27" ht="15" x14ac:dyDescent="0.25">
      <c r="A625" t="s">
        <v>9</v>
      </c>
      <c r="B625" t="s">
        <v>173</v>
      </c>
      <c r="C625"/>
      <c r="D625" t="s">
        <v>69</v>
      </c>
      <c r="E625" t="s">
        <v>71</v>
      </c>
      <c r="F625" t="s">
        <v>1285</v>
      </c>
      <c r="G625" t="s">
        <v>1286</v>
      </c>
      <c r="H625" t="s">
        <v>54</v>
      </c>
      <c r="I625" s="41">
        <v>21.58</v>
      </c>
      <c r="J625" s="40">
        <f>I625*(1-IFERROR(VLOOKUP(H625,Rabat!$D$10:$E$41,2,FALSE),0))</f>
        <v>21.58</v>
      </c>
      <c r="K625">
        <v>0</v>
      </c>
      <c r="L625" t="s">
        <v>1789</v>
      </c>
      <c r="M625" t="s">
        <v>2430</v>
      </c>
      <c r="N625" t="s">
        <v>2099</v>
      </c>
      <c r="O625" t="s">
        <v>1776</v>
      </c>
      <c r="P625">
        <v>100</v>
      </c>
      <c r="Q625">
        <v>4000</v>
      </c>
      <c r="R625" t="s">
        <v>1777</v>
      </c>
      <c r="S625" s="42" t="str">
        <f>HYPERLINK("https://sklep.kobi.pl/produkt/pierscien-ozdobny-oh21-czarny")</f>
        <v>https://sklep.kobi.pl/produkt/pierscien-ozdobny-oh21-czarny</v>
      </c>
      <c r="T625" t="s">
        <v>71</v>
      </c>
      <c r="U625">
        <v>3.2000000000000001E-2</v>
      </c>
      <c r="V625">
        <v>5.5E-2</v>
      </c>
      <c r="W625">
        <v>34</v>
      </c>
      <c r="X625">
        <v>80</v>
      </c>
      <c r="Y625">
        <v>85</v>
      </c>
      <c r="Z625" t="s">
        <v>1778</v>
      </c>
      <c r="AA625"/>
    </row>
    <row r="626" spans="1:27" ht="15" x14ac:dyDescent="0.25">
      <c r="A626" t="s">
        <v>9</v>
      </c>
      <c r="B626" t="s">
        <v>173</v>
      </c>
      <c r="C626"/>
      <c r="D626" t="s">
        <v>69</v>
      </c>
      <c r="E626" t="s">
        <v>149</v>
      </c>
      <c r="F626" t="s">
        <v>1061</v>
      </c>
      <c r="G626" t="s">
        <v>1062</v>
      </c>
      <c r="H626" t="s">
        <v>54</v>
      </c>
      <c r="I626" s="41">
        <v>14.64</v>
      </c>
      <c r="J626" s="40">
        <f>I626*(1-IFERROR(VLOOKUP(H626,Rabat!$D$10:$E$41,2,FALSE),0))</f>
        <v>14.64</v>
      </c>
      <c r="K626">
        <v>0</v>
      </c>
      <c r="L626" t="s">
        <v>1789</v>
      </c>
      <c r="M626" t="s">
        <v>2431</v>
      </c>
      <c r="N626" t="s">
        <v>2099</v>
      </c>
      <c r="O626" t="s">
        <v>1776</v>
      </c>
      <c r="P626">
        <v>50</v>
      </c>
      <c r="Q626">
        <v>2400</v>
      </c>
      <c r="R626" t="s">
        <v>1777</v>
      </c>
      <c r="S626" s="42" t="str">
        <f>HYPERLINK("https://sklep.kobi.pl/produkt/pierscien-ozdobny-oh22-mat-czarny")</f>
        <v>https://sklep.kobi.pl/produkt/pierscien-ozdobny-oh22-mat-czarny</v>
      </c>
      <c r="T626" t="s">
        <v>71</v>
      </c>
      <c r="U626">
        <v>2.9000000000000001E-2</v>
      </c>
      <c r="V626">
        <v>5.8999999999999997E-2</v>
      </c>
      <c r="W626">
        <v>85</v>
      </c>
      <c r="X626">
        <v>85</v>
      </c>
      <c r="Y626">
        <v>45</v>
      </c>
      <c r="Z626" t="s">
        <v>1778</v>
      </c>
      <c r="AA626"/>
    </row>
    <row r="627" spans="1:27" ht="15" x14ac:dyDescent="0.25">
      <c r="A627" t="s">
        <v>9</v>
      </c>
      <c r="B627" t="s">
        <v>173</v>
      </c>
      <c r="C627"/>
      <c r="D627" t="s">
        <v>69</v>
      </c>
      <c r="E627" t="s">
        <v>149</v>
      </c>
      <c r="F627" t="s">
        <v>176</v>
      </c>
      <c r="G627" t="s">
        <v>177</v>
      </c>
      <c r="H627" t="s">
        <v>54</v>
      </c>
      <c r="I627" s="41">
        <v>21.58</v>
      </c>
      <c r="J627" s="40">
        <f>I627*(1-IFERROR(VLOOKUP(H627,Rabat!$D$10:$E$41,2,FALSE),0))</f>
        <v>21.58</v>
      </c>
      <c r="K627">
        <v>0</v>
      </c>
      <c r="L627" t="s">
        <v>1789</v>
      </c>
      <c r="M627" t="s">
        <v>2432</v>
      </c>
      <c r="N627" t="s">
        <v>2433</v>
      </c>
      <c r="O627" t="s">
        <v>1776</v>
      </c>
      <c r="P627">
        <v>50</v>
      </c>
      <c r="Q627">
        <v>3150</v>
      </c>
      <c r="R627" t="s">
        <v>1777</v>
      </c>
      <c r="S627" s="42" t="str">
        <f>HYPERLINK("https://sklep.kobi.pl/produkt/oprawka-halogenowa-oh26-black")</f>
        <v>https://sklep.kobi.pl/produkt/oprawka-halogenowa-oh26-black</v>
      </c>
      <c r="T627" t="s">
        <v>71</v>
      </c>
      <c r="U627">
        <v>0.126</v>
      </c>
      <c r="V627">
        <v>0.157</v>
      </c>
      <c r="W627">
        <v>105</v>
      </c>
      <c r="X627">
        <v>105</v>
      </c>
      <c r="Y627">
        <v>30</v>
      </c>
      <c r="Z627" t="s">
        <v>1778</v>
      </c>
      <c r="AA627"/>
    </row>
    <row r="628" spans="1:27" ht="15" x14ac:dyDescent="0.25">
      <c r="A628" t="s">
        <v>9</v>
      </c>
      <c r="B628" t="s">
        <v>173</v>
      </c>
      <c r="C628"/>
      <c r="D628" t="s">
        <v>69</v>
      </c>
      <c r="E628" t="s">
        <v>71</v>
      </c>
      <c r="F628" t="s">
        <v>473</v>
      </c>
      <c r="G628" t="s">
        <v>474</v>
      </c>
      <c r="H628" t="s">
        <v>54</v>
      </c>
      <c r="I628" s="41">
        <v>19.12</v>
      </c>
      <c r="J628" s="40">
        <f>I628*(1-IFERROR(VLOOKUP(H628,Rabat!$D$10:$E$41,2,FALSE),0))</f>
        <v>19.12</v>
      </c>
      <c r="K628">
        <v>0</v>
      </c>
      <c r="L628" t="s">
        <v>1789</v>
      </c>
      <c r="M628" t="s">
        <v>2434</v>
      </c>
      <c r="N628" t="s">
        <v>2433</v>
      </c>
      <c r="O628" t="s">
        <v>1776</v>
      </c>
      <c r="P628">
        <v>50</v>
      </c>
      <c r="Q628">
        <v>3150</v>
      </c>
      <c r="R628" t="s">
        <v>1777</v>
      </c>
      <c r="S628" s="42" t="str">
        <f>HYPERLINK("https://sklep.kobi.pl/produkt/pierscien-ozdobny-oh26n-czarny")</f>
        <v>https://sklep.kobi.pl/produkt/pierscien-ozdobny-oh26n-czarny</v>
      </c>
      <c r="T628" t="s">
        <v>71</v>
      </c>
      <c r="U628">
        <v>0.11</v>
      </c>
      <c r="V628">
        <v>0.15</v>
      </c>
      <c r="W628">
        <v>100</v>
      </c>
      <c r="X628">
        <v>100</v>
      </c>
      <c r="Y628">
        <v>30</v>
      </c>
      <c r="Z628" t="s">
        <v>1778</v>
      </c>
      <c r="AA628"/>
    </row>
    <row r="629" spans="1:27" ht="15" x14ac:dyDescent="0.25">
      <c r="A629" t="s">
        <v>9</v>
      </c>
      <c r="B629" t="s">
        <v>173</v>
      </c>
      <c r="C629"/>
      <c r="D629" t="s">
        <v>69</v>
      </c>
      <c r="E629" t="s">
        <v>71</v>
      </c>
      <c r="F629" t="s">
        <v>471</v>
      </c>
      <c r="G629" t="s">
        <v>472</v>
      </c>
      <c r="H629" t="s">
        <v>54</v>
      </c>
      <c r="I629" s="41">
        <v>19.12</v>
      </c>
      <c r="J629" s="40">
        <f>I629*(1-IFERROR(VLOOKUP(H629,Rabat!$D$10:$E$41,2,FALSE),0))</f>
        <v>19.12</v>
      </c>
      <c r="K629">
        <v>0</v>
      </c>
      <c r="L629" t="s">
        <v>1789</v>
      </c>
      <c r="M629" t="s">
        <v>2435</v>
      </c>
      <c r="N629" t="s">
        <v>2433</v>
      </c>
      <c r="O629" t="s">
        <v>1776</v>
      </c>
      <c r="P629">
        <v>50</v>
      </c>
      <c r="Q629">
        <v>3150</v>
      </c>
      <c r="R629" t="s">
        <v>1777</v>
      </c>
      <c r="S629" s="42" t="str">
        <f>HYPERLINK("https://sklep.kobi.pl/produkt/pierscien-ozdobny-oh26n-przezroczysty")</f>
        <v>https://sklep.kobi.pl/produkt/pierscien-ozdobny-oh26n-przezroczysty</v>
      </c>
      <c r="T629" t="s">
        <v>71</v>
      </c>
      <c r="U629">
        <v>0.11</v>
      </c>
      <c r="V629">
        <v>0.14399999999999999</v>
      </c>
      <c r="W629">
        <v>100</v>
      </c>
      <c r="X629">
        <v>100</v>
      </c>
      <c r="Y629">
        <v>30</v>
      </c>
      <c r="Z629" t="s">
        <v>1778</v>
      </c>
      <c r="AA629"/>
    </row>
    <row r="630" spans="1:27" ht="15" x14ac:dyDescent="0.25">
      <c r="A630" t="s">
        <v>9</v>
      </c>
      <c r="B630" t="s">
        <v>173</v>
      </c>
      <c r="C630"/>
      <c r="D630" t="s">
        <v>69</v>
      </c>
      <c r="E630" t="s">
        <v>149</v>
      </c>
      <c r="F630" t="s">
        <v>1614</v>
      </c>
      <c r="G630" t="s">
        <v>1615</v>
      </c>
      <c r="H630" t="s">
        <v>54</v>
      </c>
      <c r="I630" s="41">
        <v>21.58</v>
      </c>
      <c r="J630" s="40">
        <f>I630*(1-IFERROR(VLOOKUP(H630,Rabat!$D$10:$E$41,2,FALSE),0))</f>
        <v>21.58</v>
      </c>
      <c r="K630">
        <v>0</v>
      </c>
      <c r="L630" t="s">
        <v>1789</v>
      </c>
      <c r="M630" t="s">
        <v>2436</v>
      </c>
      <c r="N630" t="s">
        <v>2433</v>
      </c>
      <c r="O630" t="s">
        <v>1776</v>
      </c>
      <c r="P630">
        <v>50</v>
      </c>
      <c r="Q630">
        <v>3150</v>
      </c>
      <c r="R630" t="s">
        <v>1777</v>
      </c>
      <c r="S630"/>
      <c r="T630" t="s">
        <v>71</v>
      </c>
      <c r="U630">
        <v>0.13800000000000001</v>
      </c>
      <c r="V630">
        <v>0.18</v>
      </c>
      <c r="W630">
        <v>100</v>
      </c>
      <c r="X630">
        <v>100</v>
      </c>
      <c r="Y630">
        <v>30</v>
      </c>
      <c r="Z630" t="s">
        <v>1778</v>
      </c>
      <c r="AA630"/>
    </row>
    <row r="631" spans="1:27" ht="15" x14ac:dyDescent="0.25">
      <c r="A631" t="s">
        <v>9</v>
      </c>
      <c r="B631" t="s">
        <v>173</v>
      </c>
      <c r="C631"/>
      <c r="D631" t="s">
        <v>69</v>
      </c>
      <c r="E631" t="s">
        <v>149</v>
      </c>
      <c r="F631" t="s">
        <v>184</v>
      </c>
      <c r="G631" t="s">
        <v>185</v>
      </c>
      <c r="H631" t="s">
        <v>54</v>
      </c>
      <c r="I631" s="41">
        <v>21.58</v>
      </c>
      <c r="J631" s="40">
        <f>I631*(1-IFERROR(VLOOKUP(H631,Rabat!$D$10:$E$41,2,FALSE),0))</f>
        <v>21.58</v>
      </c>
      <c r="K631">
        <v>0</v>
      </c>
      <c r="L631" t="s">
        <v>1789</v>
      </c>
      <c r="M631" t="s">
        <v>2437</v>
      </c>
      <c r="N631" t="s">
        <v>2433</v>
      </c>
      <c r="O631" t="s">
        <v>1776</v>
      </c>
      <c r="P631">
        <v>50</v>
      </c>
      <c r="Q631">
        <v>3150</v>
      </c>
      <c r="R631" t="s">
        <v>1777</v>
      </c>
      <c r="S631" s="42" t="str">
        <f>HYPERLINK("https://sklep.kobi.pl/produkt/oprawka-halogenowa-oh27-clear")</f>
        <v>https://sklep.kobi.pl/produkt/oprawka-halogenowa-oh27-clear</v>
      </c>
      <c r="T631" t="s">
        <v>71</v>
      </c>
      <c r="U631">
        <v>0.13800000000000001</v>
      </c>
      <c r="V631">
        <v>0.18</v>
      </c>
      <c r="W631">
        <v>100</v>
      </c>
      <c r="X631">
        <v>100</v>
      </c>
      <c r="Y631">
        <v>30</v>
      </c>
      <c r="Z631" t="s">
        <v>1778</v>
      </c>
      <c r="AA631"/>
    </row>
    <row r="632" spans="1:27" ht="15" x14ac:dyDescent="0.25">
      <c r="A632" t="s">
        <v>9</v>
      </c>
      <c r="B632" t="s">
        <v>173</v>
      </c>
      <c r="C632"/>
      <c r="D632" t="s">
        <v>69</v>
      </c>
      <c r="E632" t="s">
        <v>71</v>
      </c>
      <c r="F632" t="s">
        <v>477</v>
      </c>
      <c r="G632" t="s">
        <v>478</v>
      </c>
      <c r="H632" t="s">
        <v>54</v>
      </c>
      <c r="I632" s="41">
        <v>19.12</v>
      </c>
      <c r="J632" s="40">
        <f>I632*(1-IFERROR(VLOOKUP(H632,Rabat!$D$10:$E$41,2,FALSE),0))</f>
        <v>19.12</v>
      </c>
      <c r="K632">
        <v>0</v>
      </c>
      <c r="L632" t="s">
        <v>1789</v>
      </c>
      <c r="M632" t="s">
        <v>2438</v>
      </c>
      <c r="N632" t="s">
        <v>2433</v>
      </c>
      <c r="O632" t="s">
        <v>1776</v>
      </c>
      <c r="P632">
        <v>50</v>
      </c>
      <c r="Q632">
        <v>3150</v>
      </c>
      <c r="R632" t="s">
        <v>1777</v>
      </c>
      <c r="S632" s="42" t="str">
        <f>HYPERLINK("https://sklep.kobi.pl/produkt/pierscien-ozdobny-oh27n-czarny")</f>
        <v>https://sklep.kobi.pl/produkt/pierscien-ozdobny-oh27n-czarny</v>
      </c>
      <c r="T632" t="s">
        <v>71</v>
      </c>
      <c r="U632">
        <v>0.14000000000000001</v>
      </c>
      <c r="V632">
        <v>0.18099999999999999</v>
      </c>
      <c r="W632">
        <v>105</v>
      </c>
      <c r="X632">
        <v>100</v>
      </c>
      <c r="Y632">
        <v>30</v>
      </c>
      <c r="Z632" t="s">
        <v>1778</v>
      </c>
      <c r="AA632"/>
    </row>
    <row r="633" spans="1:27" ht="15" x14ac:dyDescent="0.25">
      <c r="A633" t="s">
        <v>9</v>
      </c>
      <c r="B633" t="s">
        <v>173</v>
      </c>
      <c r="C633"/>
      <c r="D633" t="s">
        <v>69</v>
      </c>
      <c r="E633" t="s">
        <v>71</v>
      </c>
      <c r="F633" t="s">
        <v>475</v>
      </c>
      <c r="G633" t="s">
        <v>476</v>
      </c>
      <c r="H633" t="s">
        <v>54</v>
      </c>
      <c r="I633" s="41">
        <v>19.12</v>
      </c>
      <c r="J633" s="40">
        <f>I633*(1-IFERROR(VLOOKUP(H633,Rabat!$D$10:$E$41,2,FALSE),0))</f>
        <v>19.12</v>
      </c>
      <c r="K633">
        <v>0</v>
      </c>
      <c r="L633" t="s">
        <v>1789</v>
      </c>
      <c r="M633" t="s">
        <v>2439</v>
      </c>
      <c r="N633" t="s">
        <v>2433</v>
      </c>
      <c r="O633" t="s">
        <v>1776</v>
      </c>
      <c r="P633">
        <v>50</v>
      </c>
      <c r="Q633">
        <v>3150</v>
      </c>
      <c r="R633" t="s">
        <v>1777</v>
      </c>
      <c r="S633" s="42" t="str">
        <f>HYPERLINK("https://sklep.kobi.pl/produkt/pierscien-ozdobny-oh27n-przezroczysty")</f>
        <v>https://sklep.kobi.pl/produkt/pierscien-ozdobny-oh27n-przezroczysty</v>
      </c>
      <c r="T633" t="s">
        <v>71</v>
      </c>
      <c r="U633">
        <v>0.14000000000000001</v>
      </c>
      <c r="V633">
        <v>0.18099999999999999</v>
      </c>
      <c r="W633">
        <v>105</v>
      </c>
      <c r="X633">
        <v>100</v>
      </c>
      <c r="Y633">
        <v>30</v>
      </c>
      <c r="Z633" t="s">
        <v>1778</v>
      </c>
      <c r="AA633"/>
    </row>
    <row r="634" spans="1:27" ht="15" x14ac:dyDescent="0.25">
      <c r="A634" t="s">
        <v>9</v>
      </c>
      <c r="B634" t="s">
        <v>173</v>
      </c>
      <c r="C634"/>
      <c r="D634" t="s">
        <v>69</v>
      </c>
      <c r="E634" t="s">
        <v>149</v>
      </c>
      <c r="F634" t="s">
        <v>352</v>
      </c>
      <c r="G634" t="s">
        <v>353</v>
      </c>
      <c r="H634" t="s">
        <v>54</v>
      </c>
      <c r="I634" s="41">
        <v>38.85</v>
      </c>
      <c r="J634" s="40">
        <f>I634*(1-IFERROR(VLOOKUP(H634,Rabat!$D$10:$E$41,2,FALSE),0))</f>
        <v>38.85</v>
      </c>
      <c r="K634">
        <v>0</v>
      </c>
      <c r="L634" t="s">
        <v>1789</v>
      </c>
      <c r="M634" t="s">
        <v>2440</v>
      </c>
      <c r="N634" t="s">
        <v>2099</v>
      </c>
      <c r="O634" t="s">
        <v>1776</v>
      </c>
      <c r="P634">
        <v>50</v>
      </c>
      <c r="Q634">
        <v>2000</v>
      </c>
      <c r="R634" t="s">
        <v>1777</v>
      </c>
      <c r="S634" s="42" t="str">
        <f>HYPERLINK("https://sklep.kobi.pl/produkt/pierscien-ozdobny-oh34-chrom")</f>
        <v>https://sklep.kobi.pl/produkt/pierscien-ozdobny-oh34-chrom</v>
      </c>
      <c r="T634" t="s">
        <v>71</v>
      </c>
      <c r="U634">
        <v>0.11899999999999999</v>
      </c>
      <c r="V634">
        <v>0.14699999999999999</v>
      </c>
      <c r="W634">
        <v>50</v>
      </c>
      <c r="X634">
        <v>87</v>
      </c>
      <c r="Y634">
        <v>87</v>
      </c>
      <c r="Z634" t="s">
        <v>1778</v>
      </c>
      <c r="AA634"/>
    </row>
    <row r="635" spans="1:27" ht="15" x14ac:dyDescent="0.25">
      <c r="A635" t="s">
        <v>9</v>
      </c>
      <c r="B635" t="s">
        <v>173</v>
      </c>
      <c r="C635"/>
      <c r="D635" t="s">
        <v>69</v>
      </c>
      <c r="E635" t="s">
        <v>71</v>
      </c>
      <c r="F635" t="s">
        <v>311</v>
      </c>
      <c r="G635" t="s">
        <v>312</v>
      </c>
      <c r="H635" t="s">
        <v>54</v>
      </c>
      <c r="I635" s="41">
        <v>38.85</v>
      </c>
      <c r="J635" s="40">
        <f>I635*(1-IFERROR(VLOOKUP(H635,Rabat!$D$10:$E$41,2,FALSE),0))</f>
        <v>38.85</v>
      </c>
      <c r="K635">
        <v>0</v>
      </c>
      <c r="L635" t="s">
        <v>1789</v>
      </c>
      <c r="M635" t="s">
        <v>2441</v>
      </c>
      <c r="N635" t="s">
        <v>2099</v>
      </c>
      <c r="O635" t="s">
        <v>1776</v>
      </c>
      <c r="P635">
        <v>50</v>
      </c>
      <c r="Q635">
        <v>2000</v>
      </c>
      <c r="R635" t="s">
        <v>1777</v>
      </c>
      <c r="S635" s="42" t="str">
        <f>HYPERLINK("https://sklep.kobi.pl/produkt/pierscien-ozdobny-oh34-mat-chrom")</f>
        <v>https://sklep.kobi.pl/produkt/pierscien-ozdobny-oh34-mat-chrom</v>
      </c>
      <c r="T635" t="s">
        <v>71</v>
      </c>
      <c r="U635">
        <v>0.11899999999999999</v>
      </c>
      <c r="V635">
        <v>0.14699999999999999</v>
      </c>
      <c r="W635">
        <v>50</v>
      </c>
      <c r="X635">
        <v>87</v>
      </c>
      <c r="Y635">
        <v>87</v>
      </c>
      <c r="Z635" t="s">
        <v>1778</v>
      </c>
      <c r="AA635"/>
    </row>
    <row r="636" spans="1:27" ht="15" x14ac:dyDescent="0.25">
      <c r="A636" t="s">
        <v>9</v>
      </c>
      <c r="B636" t="s">
        <v>173</v>
      </c>
      <c r="C636"/>
      <c r="D636" t="s">
        <v>69</v>
      </c>
      <c r="E636" t="s">
        <v>71</v>
      </c>
      <c r="F636" t="s">
        <v>1069</v>
      </c>
      <c r="G636" t="s">
        <v>1070</v>
      </c>
      <c r="H636" t="s">
        <v>54</v>
      </c>
      <c r="I636" s="41">
        <v>38.85</v>
      </c>
      <c r="J636" s="40">
        <f>I636*(1-IFERROR(VLOOKUP(H636,Rabat!$D$10:$E$41,2,FALSE),0))</f>
        <v>38.85</v>
      </c>
      <c r="K636">
        <v>0</v>
      </c>
      <c r="L636" t="s">
        <v>1789</v>
      </c>
      <c r="M636" t="s">
        <v>2442</v>
      </c>
      <c r="N636" t="s">
        <v>2099</v>
      </c>
      <c r="O636" t="s">
        <v>1776</v>
      </c>
      <c r="P636">
        <v>50</v>
      </c>
      <c r="Q636">
        <v>2000</v>
      </c>
      <c r="R636" t="s">
        <v>1777</v>
      </c>
      <c r="S636" s="42" t="str">
        <f>HYPERLINK("https://sklep.kobi.pl/produkt/pierscien-ozdobny-oh34-mat-czarny")</f>
        <v>https://sklep.kobi.pl/produkt/pierscien-ozdobny-oh34-mat-czarny</v>
      </c>
      <c r="T636" t="s">
        <v>71</v>
      </c>
      <c r="U636">
        <v>0.11899999999999999</v>
      </c>
      <c r="V636">
        <v>0.14699999999999999</v>
      </c>
      <c r="W636">
        <v>85</v>
      </c>
      <c r="X636">
        <v>85</v>
      </c>
      <c r="Y636">
        <v>35</v>
      </c>
      <c r="Z636" t="s">
        <v>1778</v>
      </c>
      <c r="AA636"/>
    </row>
    <row r="637" spans="1:27" ht="15" x14ac:dyDescent="0.25">
      <c r="A637" t="s">
        <v>9</v>
      </c>
      <c r="B637" t="s">
        <v>173</v>
      </c>
      <c r="C637"/>
      <c r="D637" t="s">
        <v>69</v>
      </c>
      <c r="E637" t="s">
        <v>149</v>
      </c>
      <c r="F637" t="s">
        <v>354</v>
      </c>
      <c r="G637" t="s">
        <v>355</v>
      </c>
      <c r="H637" t="s">
        <v>54</v>
      </c>
      <c r="I637" s="41">
        <v>30.87</v>
      </c>
      <c r="J637" s="40">
        <f>I637*(1-IFERROR(VLOOKUP(H637,Rabat!$D$10:$E$41,2,FALSE),0))</f>
        <v>30.87</v>
      </c>
      <c r="K637">
        <v>0</v>
      </c>
      <c r="L637" t="s">
        <v>1789</v>
      </c>
      <c r="M637" t="s">
        <v>2443</v>
      </c>
      <c r="N637" t="s">
        <v>2099</v>
      </c>
      <c r="O637" t="s">
        <v>1776</v>
      </c>
      <c r="P637">
        <v>50</v>
      </c>
      <c r="Q637">
        <v>0</v>
      </c>
      <c r="R637" t="s">
        <v>1777</v>
      </c>
      <c r="S637" s="42" t="str">
        <f>HYPERLINK("https://sklep.kobi.pl/produkt/pierscien-ozdobny-oh35-bialy")</f>
        <v>https://sklep.kobi.pl/produkt/pierscien-ozdobny-oh35-bialy</v>
      </c>
      <c r="T637" t="s">
        <v>71</v>
      </c>
      <c r="U637">
        <v>0.155</v>
      </c>
      <c r="V637">
        <v>0.19500000000000001</v>
      </c>
      <c r="W637">
        <v>50</v>
      </c>
      <c r="X637">
        <v>106</v>
      </c>
      <c r="Y637">
        <v>87</v>
      </c>
      <c r="Z637" t="s">
        <v>1778</v>
      </c>
      <c r="AA637"/>
    </row>
    <row r="638" spans="1:27" ht="15" x14ac:dyDescent="0.25">
      <c r="A638" t="s">
        <v>9</v>
      </c>
      <c r="B638" t="s">
        <v>173</v>
      </c>
      <c r="C638"/>
      <c r="D638" t="s">
        <v>69</v>
      </c>
      <c r="E638" t="s">
        <v>149</v>
      </c>
      <c r="F638" t="s">
        <v>313</v>
      </c>
      <c r="G638" t="s">
        <v>314</v>
      </c>
      <c r="H638" t="s">
        <v>54</v>
      </c>
      <c r="I638" s="41">
        <v>30.87</v>
      </c>
      <c r="J638" s="40">
        <f>I638*(1-IFERROR(VLOOKUP(H638,Rabat!$D$10:$E$41,2,FALSE),0))</f>
        <v>30.87</v>
      </c>
      <c r="K638">
        <v>0</v>
      </c>
      <c r="L638" t="s">
        <v>1789</v>
      </c>
      <c r="M638" t="s">
        <v>2444</v>
      </c>
      <c r="N638" t="s">
        <v>2099</v>
      </c>
      <c r="O638" t="s">
        <v>1776</v>
      </c>
      <c r="P638">
        <v>50</v>
      </c>
      <c r="Q638">
        <v>0</v>
      </c>
      <c r="R638" t="s">
        <v>1777</v>
      </c>
      <c r="S638" s="42" t="str">
        <f>HYPERLINK("https://sklep.kobi.pl/produkt/pierscien-ozdobny-oh35-mat-chrom")</f>
        <v>https://sklep.kobi.pl/produkt/pierscien-ozdobny-oh35-mat-chrom</v>
      </c>
      <c r="T638" t="s">
        <v>71</v>
      </c>
      <c r="U638">
        <v>0.155</v>
      </c>
      <c r="V638">
        <v>0.19500000000000001</v>
      </c>
      <c r="W638">
        <v>50</v>
      </c>
      <c r="X638">
        <v>106</v>
      </c>
      <c r="Y638">
        <v>93</v>
      </c>
      <c r="Z638" t="s">
        <v>1778</v>
      </c>
      <c r="AA638"/>
    </row>
    <row r="639" spans="1:27" ht="15" x14ac:dyDescent="0.25">
      <c r="A639" t="s">
        <v>9</v>
      </c>
      <c r="B639" t="s">
        <v>173</v>
      </c>
      <c r="C639"/>
      <c r="D639" t="s">
        <v>69</v>
      </c>
      <c r="E639" t="s">
        <v>149</v>
      </c>
      <c r="F639" t="s">
        <v>396</v>
      </c>
      <c r="G639" t="s">
        <v>397</v>
      </c>
      <c r="H639" t="s">
        <v>54</v>
      </c>
      <c r="I639" s="41">
        <v>33.450000000000003</v>
      </c>
      <c r="J639" s="40">
        <f>I639*(1-IFERROR(VLOOKUP(H639,Rabat!$D$10:$E$41,2,FALSE),0))</f>
        <v>33.450000000000003</v>
      </c>
      <c r="K639">
        <v>0</v>
      </c>
      <c r="L639" t="s">
        <v>1789</v>
      </c>
      <c r="M639" t="s">
        <v>2445</v>
      </c>
      <c r="N639" t="s">
        <v>2433</v>
      </c>
      <c r="O639" t="s">
        <v>1776</v>
      </c>
      <c r="P639">
        <v>30</v>
      </c>
      <c r="Q639">
        <v>3150</v>
      </c>
      <c r="R639" t="s">
        <v>1777</v>
      </c>
      <c r="S639" s="42" t="str">
        <f>HYPERLINK("https://sklep.kobi.pl/produkt/pierscien-ozdobny-oh49-czarny")</f>
        <v>https://sklep.kobi.pl/produkt/pierscien-ozdobny-oh49-czarny</v>
      </c>
      <c r="T639" t="s">
        <v>71</v>
      </c>
      <c r="U639">
        <v>0.192</v>
      </c>
      <c r="V639">
        <v>0.221</v>
      </c>
      <c r="W639">
        <v>44</v>
      </c>
      <c r="X639">
        <v>100</v>
      </c>
      <c r="Y639">
        <v>103</v>
      </c>
      <c r="Z639" t="s">
        <v>1778</v>
      </c>
      <c r="AA639"/>
    </row>
    <row r="640" spans="1:27" ht="15" x14ac:dyDescent="0.25">
      <c r="A640" t="s">
        <v>9</v>
      </c>
      <c r="B640" t="s">
        <v>173</v>
      </c>
      <c r="C640"/>
      <c r="D640" t="s">
        <v>69</v>
      </c>
      <c r="E640" t="s">
        <v>149</v>
      </c>
      <c r="F640" t="s">
        <v>394</v>
      </c>
      <c r="G640" t="s">
        <v>395</v>
      </c>
      <c r="H640" t="s">
        <v>54</v>
      </c>
      <c r="I640" s="41">
        <v>33.450000000000003</v>
      </c>
      <c r="J640" s="40">
        <f>I640*(1-IFERROR(VLOOKUP(H640,Rabat!$D$10:$E$41,2,FALSE),0))</f>
        <v>33.450000000000003</v>
      </c>
      <c r="K640">
        <v>0</v>
      </c>
      <c r="L640" t="s">
        <v>1789</v>
      </c>
      <c r="M640" t="s">
        <v>2446</v>
      </c>
      <c r="N640" t="s">
        <v>2433</v>
      </c>
      <c r="O640" t="s">
        <v>1776</v>
      </c>
      <c r="P640">
        <v>30</v>
      </c>
      <c r="Q640">
        <v>3150</v>
      </c>
      <c r="R640" t="s">
        <v>1777</v>
      </c>
      <c r="S640" s="42" t="str">
        <f>HYPERLINK("https://sklep.kobi.pl/produkt/pierscien-ozdobny-oh49-przezroczysty")</f>
        <v>https://sklep.kobi.pl/produkt/pierscien-ozdobny-oh49-przezroczysty</v>
      </c>
      <c r="T640" t="s">
        <v>71</v>
      </c>
      <c r="U640">
        <v>0.192</v>
      </c>
      <c r="V640">
        <v>0.221</v>
      </c>
      <c r="W640">
        <v>44</v>
      </c>
      <c r="X640">
        <v>100</v>
      </c>
      <c r="Y640">
        <v>103</v>
      </c>
      <c r="Z640" t="s">
        <v>1778</v>
      </c>
      <c r="AA640"/>
    </row>
    <row r="641" spans="1:27" ht="15" x14ac:dyDescent="0.25">
      <c r="A641" t="s">
        <v>9</v>
      </c>
      <c r="B641" t="s">
        <v>173</v>
      </c>
      <c r="C641"/>
      <c r="D641" t="s">
        <v>69</v>
      </c>
      <c r="E641" t="s">
        <v>149</v>
      </c>
      <c r="F641" t="s">
        <v>602</v>
      </c>
      <c r="G641" t="s">
        <v>603</v>
      </c>
      <c r="H641" t="s">
        <v>54</v>
      </c>
      <c r="I641" s="41">
        <v>31.93</v>
      </c>
      <c r="J641" s="40">
        <f>I641*(1-IFERROR(VLOOKUP(H641,Rabat!$D$10:$E$41,2,FALSE),0))</f>
        <v>31.93</v>
      </c>
      <c r="K641">
        <v>0</v>
      </c>
      <c r="L641" t="s">
        <v>1789</v>
      </c>
      <c r="M641" t="s">
        <v>2447</v>
      </c>
      <c r="N641" t="s">
        <v>2433</v>
      </c>
      <c r="O641" t="s">
        <v>1776</v>
      </c>
      <c r="P641">
        <v>50</v>
      </c>
      <c r="Q641">
        <v>0</v>
      </c>
      <c r="R641" t="s">
        <v>1777</v>
      </c>
      <c r="S641" s="42" t="str">
        <f>HYPERLINK("https://sklep.kobi.pl/produkt/pierscien-ozdobny-oh51-czarny")</f>
        <v>https://sklep.kobi.pl/produkt/pierscien-ozdobny-oh51-czarny</v>
      </c>
      <c r="T641" t="s">
        <v>71</v>
      </c>
      <c r="U641">
        <v>0.14099999999999999</v>
      </c>
      <c r="V641">
        <v>0.16800000000000001</v>
      </c>
      <c r="W641">
        <v>105</v>
      </c>
      <c r="X641">
        <v>100</v>
      </c>
      <c r="Y641">
        <v>30</v>
      </c>
      <c r="Z641" t="s">
        <v>1778</v>
      </c>
      <c r="AA641"/>
    </row>
    <row r="642" spans="1:27" ht="15" x14ac:dyDescent="0.25">
      <c r="A642" t="s">
        <v>9</v>
      </c>
      <c r="B642" t="s">
        <v>173</v>
      </c>
      <c r="C642"/>
      <c r="D642" t="s">
        <v>69</v>
      </c>
      <c r="E642" t="s">
        <v>149</v>
      </c>
      <c r="F642" t="s">
        <v>600</v>
      </c>
      <c r="G642" t="s">
        <v>601</v>
      </c>
      <c r="H642" t="s">
        <v>54</v>
      </c>
      <c r="I642" s="41">
        <v>31.93</v>
      </c>
      <c r="J642" s="40">
        <f>I642*(1-IFERROR(VLOOKUP(H642,Rabat!$D$10:$E$41,2,FALSE),0))</f>
        <v>31.93</v>
      </c>
      <c r="K642">
        <v>0</v>
      </c>
      <c r="L642" t="s">
        <v>1789</v>
      </c>
      <c r="M642" t="s">
        <v>2448</v>
      </c>
      <c r="N642" t="s">
        <v>2433</v>
      </c>
      <c r="O642" t="s">
        <v>1776</v>
      </c>
      <c r="P642">
        <v>50</v>
      </c>
      <c r="Q642">
        <v>0</v>
      </c>
      <c r="R642" t="s">
        <v>1777</v>
      </c>
      <c r="S642" s="42" t="str">
        <f>HYPERLINK("https://sklep.kobi.pl/produkt/pierscien-ozdobny-oh51-przezroczysty")</f>
        <v>https://sklep.kobi.pl/produkt/pierscien-ozdobny-oh51-przezroczysty</v>
      </c>
      <c r="T642" t="s">
        <v>71</v>
      </c>
      <c r="U642">
        <v>0.14099999999999999</v>
      </c>
      <c r="V642">
        <v>0.16800000000000001</v>
      </c>
      <c r="W642">
        <v>105</v>
      </c>
      <c r="X642">
        <v>100</v>
      </c>
      <c r="Y642">
        <v>30</v>
      </c>
      <c r="Z642" t="s">
        <v>1778</v>
      </c>
      <c r="AA642"/>
    </row>
    <row r="643" spans="1:27" ht="15" x14ac:dyDescent="0.25">
      <c r="A643" t="s">
        <v>9</v>
      </c>
      <c r="B643" t="s">
        <v>173</v>
      </c>
      <c r="C643" t="s">
        <v>226</v>
      </c>
      <c r="D643" t="s">
        <v>69</v>
      </c>
      <c r="E643" t="s">
        <v>71</v>
      </c>
      <c r="F643" t="s">
        <v>227</v>
      </c>
      <c r="G643" t="s">
        <v>228</v>
      </c>
      <c r="H643" t="s">
        <v>54</v>
      </c>
      <c r="I643" s="41">
        <v>12.24</v>
      </c>
      <c r="J643" s="40">
        <f>I643*(1-IFERROR(VLOOKUP(H643,Rabat!$D$10:$E$41,2,FALSE),0))</f>
        <v>12.24</v>
      </c>
      <c r="K643">
        <v>0</v>
      </c>
      <c r="L643" t="s">
        <v>1789</v>
      </c>
      <c r="M643" t="s">
        <v>2449</v>
      </c>
      <c r="N643" t="s">
        <v>2099</v>
      </c>
      <c r="O643" t="s">
        <v>1776</v>
      </c>
      <c r="P643">
        <v>50</v>
      </c>
      <c r="Q643">
        <v>2450</v>
      </c>
      <c r="R643" t="s">
        <v>1777</v>
      </c>
      <c r="S643" s="42" t="str">
        <f>HYPERLINK("https://sklep.kobi.pl/produkt/pierscien-ozdobny-oh15-bialy")</f>
        <v>https://sklep.kobi.pl/produkt/pierscien-ozdobny-oh15-bialy</v>
      </c>
      <c r="T643" t="s">
        <v>71</v>
      </c>
      <c r="U643">
        <v>7.6999999999999999E-2</v>
      </c>
      <c r="V643">
        <v>0.10100000000000001</v>
      </c>
      <c r="W643">
        <v>100</v>
      </c>
      <c r="X643">
        <v>100</v>
      </c>
      <c r="Y643">
        <v>40</v>
      </c>
      <c r="Z643" t="s">
        <v>1778</v>
      </c>
      <c r="AA643"/>
    </row>
    <row r="644" spans="1:27" ht="15" x14ac:dyDescent="0.25">
      <c r="A644" t="s">
        <v>9</v>
      </c>
      <c r="B644" t="s">
        <v>173</v>
      </c>
      <c r="C644" t="s">
        <v>226</v>
      </c>
      <c r="D644" t="s">
        <v>69</v>
      </c>
      <c r="E644" t="s">
        <v>71</v>
      </c>
      <c r="F644" t="s">
        <v>231</v>
      </c>
      <c r="G644" t="s">
        <v>232</v>
      </c>
      <c r="H644" t="s">
        <v>54</v>
      </c>
      <c r="I644" s="41">
        <v>13.82</v>
      </c>
      <c r="J644" s="40">
        <f>I644*(1-IFERROR(VLOOKUP(H644,Rabat!$D$10:$E$41,2,FALSE),0))</f>
        <v>13.82</v>
      </c>
      <c r="K644">
        <v>0</v>
      </c>
      <c r="L644" t="s">
        <v>1789</v>
      </c>
      <c r="M644" t="s">
        <v>2450</v>
      </c>
      <c r="N644" t="s">
        <v>2099</v>
      </c>
      <c r="O644" t="s">
        <v>1776</v>
      </c>
      <c r="P644">
        <v>50</v>
      </c>
      <c r="Q644">
        <v>2450</v>
      </c>
      <c r="R644" t="s">
        <v>1777</v>
      </c>
      <c r="S644" s="42" t="str">
        <f>HYPERLINK("https://sklep.kobi.pl/produkt/pierscien-ozdobny-oh15-chrom")</f>
        <v>https://sklep.kobi.pl/produkt/pierscien-ozdobny-oh15-chrom</v>
      </c>
      <c r="T644" t="s">
        <v>71</v>
      </c>
      <c r="U644">
        <v>7.6999999999999999E-2</v>
      </c>
      <c r="V644">
        <v>0.10100000000000001</v>
      </c>
      <c r="W644">
        <v>100</v>
      </c>
      <c r="X644">
        <v>100</v>
      </c>
      <c r="Y644">
        <v>40</v>
      </c>
      <c r="Z644" t="s">
        <v>1778</v>
      </c>
      <c r="AA644"/>
    </row>
    <row r="645" spans="1:27" ht="15" x14ac:dyDescent="0.25">
      <c r="A645" t="s">
        <v>9</v>
      </c>
      <c r="B645" t="s">
        <v>173</v>
      </c>
      <c r="C645" t="s">
        <v>226</v>
      </c>
      <c r="D645" t="s">
        <v>69</v>
      </c>
      <c r="E645" t="s">
        <v>149</v>
      </c>
      <c r="F645" t="s">
        <v>239</v>
      </c>
      <c r="G645" t="s">
        <v>240</v>
      </c>
      <c r="H645" t="s">
        <v>54</v>
      </c>
      <c r="I645" s="41">
        <v>13.82</v>
      </c>
      <c r="J645" s="40">
        <f>I645*(1-IFERROR(VLOOKUP(H645,Rabat!$D$10:$E$41,2,FALSE),0))</f>
        <v>13.82</v>
      </c>
      <c r="K645">
        <v>0</v>
      </c>
      <c r="L645" t="s">
        <v>1789</v>
      </c>
      <c r="M645" t="s">
        <v>2451</v>
      </c>
      <c r="N645" t="s">
        <v>2099</v>
      </c>
      <c r="O645" t="s">
        <v>1776</v>
      </c>
      <c r="P645">
        <v>50</v>
      </c>
      <c r="Q645">
        <v>2450</v>
      </c>
      <c r="R645" t="s">
        <v>1777</v>
      </c>
      <c r="S645" s="42" t="str">
        <f>HYPERLINK("https://sklep.kobi.pl/produkt/pierscien-ozdobny-oh15-grafit")</f>
        <v>https://sklep.kobi.pl/produkt/pierscien-ozdobny-oh15-grafit</v>
      </c>
      <c r="T645" t="s">
        <v>71</v>
      </c>
      <c r="U645">
        <v>7.6999999999999999E-2</v>
      </c>
      <c r="V645">
        <v>0.10100000000000001</v>
      </c>
      <c r="W645">
        <v>100</v>
      </c>
      <c r="X645">
        <v>100</v>
      </c>
      <c r="Y645">
        <v>40</v>
      </c>
      <c r="Z645" t="s">
        <v>1778</v>
      </c>
      <c r="AA645"/>
    </row>
    <row r="646" spans="1:27" ht="15" x14ac:dyDescent="0.25">
      <c r="A646" t="s">
        <v>9</v>
      </c>
      <c r="B646" t="s">
        <v>173</v>
      </c>
      <c r="C646" t="s">
        <v>226</v>
      </c>
      <c r="D646" t="s">
        <v>69</v>
      </c>
      <c r="E646" t="s">
        <v>71</v>
      </c>
      <c r="F646" t="s">
        <v>233</v>
      </c>
      <c r="G646" t="s">
        <v>234</v>
      </c>
      <c r="H646" t="s">
        <v>54</v>
      </c>
      <c r="I646" s="41">
        <v>13.82</v>
      </c>
      <c r="J646" s="40">
        <f>I646*(1-IFERROR(VLOOKUP(H646,Rabat!$D$10:$E$41,2,FALSE),0))</f>
        <v>13.82</v>
      </c>
      <c r="K646">
        <v>0</v>
      </c>
      <c r="L646" t="s">
        <v>1789</v>
      </c>
      <c r="M646" t="s">
        <v>2452</v>
      </c>
      <c r="N646" t="s">
        <v>2099</v>
      </c>
      <c r="O646" t="s">
        <v>1776</v>
      </c>
      <c r="P646">
        <v>50</v>
      </c>
      <c r="Q646">
        <v>2450</v>
      </c>
      <c r="R646" t="s">
        <v>1777</v>
      </c>
      <c r="S646" s="42" t="str">
        <f>HYPERLINK("https://sklep.kobi.pl/produkt/pierscien-ozdobny-oh15-mat-chrom")</f>
        <v>https://sklep.kobi.pl/produkt/pierscien-ozdobny-oh15-mat-chrom</v>
      </c>
      <c r="T646" t="s">
        <v>71</v>
      </c>
      <c r="U646">
        <v>7.6999999999999999E-2</v>
      </c>
      <c r="V646">
        <v>0.10100000000000001</v>
      </c>
      <c r="W646">
        <v>100</v>
      </c>
      <c r="X646">
        <v>100</v>
      </c>
      <c r="Y646">
        <v>40</v>
      </c>
      <c r="Z646" t="s">
        <v>1778</v>
      </c>
      <c r="AA646"/>
    </row>
    <row r="647" spans="1:27" ht="15" x14ac:dyDescent="0.25">
      <c r="A647" t="s">
        <v>9</v>
      </c>
      <c r="B647" t="s">
        <v>173</v>
      </c>
      <c r="C647" t="s">
        <v>226</v>
      </c>
      <c r="D647" t="s">
        <v>69</v>
      </c>
      <c r="E647" t="s">
        <v>71</v>
      </c>
      <c r="F647" t="s">
        <v>1059</v>
      </c>
      <c r="G647" t="s">
        <v>1060</v>
      </c>
      <c r="H647" t="s">
        <v>54</v>
      </c>
      <c r="I647" s="41">
        <v>13.82</v>
      </c>
      <c r="J647" s="40">
        <f>I647*(1-IFERROR(VLOOKUP(H647,Rabat!$D$10:$E$41,2,FALSE),0))</f>
        <v>13.82</v>
      </c>
      <c r="K647">
        <v>0</v>
      </c>
      <c r="L647" t="s">
        <v>1789</v>
      </c>
      <c r="M647" t="s">
        <v>2453</v>
      </c>
      <c r="N647" t="s">
        <v>2099</v>
      </c>
      <c r="O647" t="s">
        <v>1776</v>
      </c>
      <c r="P647">
        <v>50</v>
      </c>
      <c r="Q647">
        <v>0</v>
      </c>
      <c r="R647" t="s">
        <v>2454</v>
      </c>
      <c r="S647" s="42" t="str">
        <f>HYPERLINK("https://sklep.kobi.pl/produkt/pierscien-ozdobny-oh15-mat-czarny")</f>
        <v>https://sklep.kobi.pl/produkt/pierscien-ozdobny-oh15-mat-czarny</v>
      </c>
      <c r="T647" t="s">
        <v>71</v>
      </c>
      <c r="U647">
        <v>7.6999999999999999E-2</v>
      </c>
      <c r="V647">
        <v>0.10100000000000001</v>
      </c>
      <c r="W647">
        <v>100</v>
      </c>
      <c r="X647">
        <v>100</v>
      </c>
      <c r="Y647">
        <v>40</v>
      </c>
      <c r="Z647" t="s">
        <v>1778</v>
      </c>
      <c r="AA647"/>
    </row>
    <row r="648" spans="1:27" ht="15" x14ac:dyDescent="0.25">
      <c r="A648" t="s">
        <v>9</v>
      </c>
      <c r="B648" t="s">
        <v>173</v>
      </c>
      <c r="C648" t="s">
        <v>226</v>
      </c>
      <c r="D648" t="s">
        <v>69</v>
      </c>
      <c r="E648" t="s">
        <v>71</v>
      </c>
      <c r="F648" t="s">
        <v>229</v>
      </c>
      <c r="G648" t="s">
        <v>230</v>
      </c>
      <c r="H648" t="s">
        <v>54</v>
      </c>
      <c r="I648" s="41">
        <v>13.82</v>
      </c>
      <c r="J648" s="40">
        <f>I648*(1-IFERROR(VLOOKUP(H648,Rabat!$D$10:$E$41,2,FALSE),0))</f>
        <v>13.82</v>
      </c>
      <c r="K648">
        <v>0</v>
      </c>
      <c r="L648" t="s">
        <v>1789</v>
      </c>
      <c r="M648" t="s">
        <v>2455</v>
      </c>
      <c r="N648" t="s">
        <v>2099</v>
      </c>
      <c r="O648" t="s">
        <v>1776</v>
      </c>
      <c r="P648">
        <v>50</v>
      </c>
      <c r="Q648">
        <v>2450</v>
      </c>
      <c r="R648" t="s">
        <v>1777</v>
      </c>
      <c r="S648" s="42" t="str">
        <f>HYPERLINK("https://sklep.kobi.pl/produkt/pierscien-ozdobny-oh15-patyna")</f>
        <v>https://sklep.kobi.pl/produkt/pierscien-ozdobny-oh15-patyna</v>
      </c>
      <c r="T648" t="s">
        <v>71</v>
      </c>
      <c r="U648">
        <v>7.6999999999999999E-2</v>
      </c>
      <c r="V648">
        <v>0.10100000000000001</v>
      </c>
      <c r="W648">
        <v>100</v>
      </c>
      <c r="X648">
        <v>100</v>
      </c>
      <c r="Y648">
        <v>40</v>
      </c>
      <c r="Z648" t="s">
        <v>1778</v>
      </c>
      <c r="AA648"/>
    </row>
    <row r="649" spans="1:27" ht="15" x14ac:dyDescent="0.25">
      <c r="A649" t="s">
        <v>9</v>
      </c>
      <c r="B649" t="s">
        <v>173</v>
      </c>
      <c r="C649" t="s">
        <v>226</v>
      </c>
      <c r="D649" t="s">
        <v>69</v>
      </c>
      <c r="E649" t="s">
        <v>149</v>
      </c>
      <c r="F649" t="s">
        <v>237</v>
      </c>
      <c r="G649" t="s">
        <v>238</v>
      </c>
      <c r="H649" t="s">
        <v>54</v>
      </c>
      <c r="I649" s="41">
        <v>44</v>
      </c>
      <c r="J649" s="40">
        <f>I649*(1-IFERROR(VLOOKUP(H649,Rabat!$D$10:$E$41,2,FALSE),0))</f>
        <v>44</v>
      </c>
      <c r="K649">
        <v>0</v>
      </c>
      <c r="L649" t="s">
        <v>1789</v>
      </c>
      <c r="M649" t="s">
        <v>2456</v>
      </c>
      <c r="N649" t="s">
        <v>2099</v>
      </c>
      <c r="O649" t="s">
        <v>1776</v>
      </c>
      <c r="P649">
        <v>30</v>
      </c>
      <c r="Q649">
        <v>0</v>
      </c>
      <c r="R649" t="s">
        <v>1777</v>
      </c>
      <c r="S649" s="42" t="str">
        <f>HYPERLINK("https://sklep.kobi.pl/produkt/pierscien-ozdobny-oh228-czarny")</f>
        <v>https://sklep.kobi.pl/produkt/pierscien-ozdobny-oh228-czarny</v>
      </c>
      <c r="T649" t="s">
        <v>71</v>
      </c>
      <c r="U649">
        <v>0.18</v>
      </c>
      <c r="V649">
        <v>0.23200000000000001</v>
      </c>
      <c r="W649">
        <v>40</v>
      </c>
      <c r="X649">
        <v>175</v>
      </c>
      <c r="Y649">
        <v>120</v>
      </c>
      <c r="Z649" t="s">
        <v>1778</v>
      </c>
      <c r="AA649"/>
    </row>
    <row r="650" spans="1:27" ht="15" x14ac:dyDescent="0.25">
      <c r="A650" t="s">
        <v>9</v>
      </c>
      <c r="B650" t="s">
        <v>173</v>
      </c>
      <c r="C650" t="s">
        <v>226</v>
      </c>
      <c r="D650" t="s">
        <v>69</v>
      </c>
      <c r="E650" t="s">
        <v>71</v>
      </c>
      <c r="F650" t="s">
        <v>235</v>
      </c>
      <c r="G650" t="s">
        <v>236</v>
      </c>
      <c r="H650" t="s">
        <v>54</v>
      </c>
      <c r="I650" s="41">
        <v>31.8</v>
      </c>
      <c r="J650" s="40">
        <f>I650*(1-IFERROR(VLOOKUP(H650,Rabat!$D$10:$E$41,2,FALSE),0))</f>
        <v>31.8</v>
      </c>
      <c r="K650">
        <v>0</v>
      </c>
      <c r="L650" t="s">
        <v>1789</v>
      </c>
      <c r="M650" t="s">
        <v>2457</v>
      </c>
      <c r="N650" t="s">
        <v>2099</v>
      </c>
      <c r="O650" t="s">
        <v>1776</v>
      </c>
      <c r="P650">
        <v>100</v>
      </c>
      <c r="Q650">
        <v>2800</v>
      </c>
      <c r="R650" t="s">
        <v>1777</v>
      </c>
      <c r="S650" s="42" t="str">
        <f>HYPERLINK("https://sklep.kobi.pl/produkt/pierscien-ozdobny-oh28-chrom")</f>
        <v>https://sklep.kobi.pl/produkt/pierscien-ozdobny-oh28-chrom</v>
      </c>
      <c r="T650" t="s">
        <v>71</v>
      </c>
      <c r="U650">
        <v>7.8E-2</v>
      </c>
      <c r="V650">
        <v>9.7000000000000003E-2</v>
      </c>
      <c r="W650">
        <v>115</v>
      </c>
      <c r="X650">
        <v>95</v>
      </c>
      <c r="Y650">
        <v>35</v>
      </c>
      <c r="Z650" t="s">
        <v>1778</v>
      </c>
      <c r="AA650"/>
    </row>
    <row r="651" spans="1:27" ht="15" x14ac:dyDescent="0.25">
      <c r="A651" t="s">
        <v>9</v>
      </c>
      <c r="B651" t="s">
        <v>173</v>
      </c>
      <c r="C651" t="s">
        <v>226</v>
      </c>
      <c r="D651" t="s">
        <v>69</v>
      </c>
      <c r="E651" t="s">
        <v>71</v>
      </c>
      <c r="F651" t="s">
        <v>241</v>
      </c>
      <c r="G651" t="s">
        <v>242</v>
      </c>
      <c r="H651" t="s">
        <v>54</v>
      </c>
      <c r="I651" s="41">
        <v>31.8</v>
      </c>
      <c r="J651" s="40">
        <f>I651*(1-IFERROR(VLOOKUP(H651,Rabat!$D$10:$E$41,2,FALSE),0))</f>
        <v>31.8</v>
      </c>
      <c r="K651">
        <v>0</v>
      </c>
      <c r="L651" t="s">
        <v>1789</v>
      </c>
      <c r="M651" t="s">
        <v>2458</v>
      </c>
      <c r="N651" t="s">
        <v>2099</v>
      </c>
      <c r="O651" t="s">
        <v>1776</v>
      </c>
      <c r="P651">
        <v>100</v>
      </c>
      <c r="Q651">
        <v>2800</v>
      </c>
      <c r="R651" t="s">
        <v>1777</v>
      </c>
      <c r="S651" s="42" t="str">
        <f>HYPERLINK("https://sklep.kobi.pl/produkt/pierscien-ozdobny-oh28-czarny")</f>
        <v>https://sklep.kobi.pl/produkt/pierscien-ozdobny-oh28-czarny</v>
      </c>
      <c r="T651" t="s">
        <v>71</v>
      </c>
      <c r="U651">
        <v>7.8E-2</v>
      </c>
      <c r="V651">
        <v>9.7000000000000003E-2</v>
      </c>
      <c r="W651">
        <v>115</v>
      </c>
      <c r="X651">
        <v>95</v>
      </c>
      <c r="Y651">
        <v>35</v>
      </c>
      <c r="Z651" t="s">
        <v>1778</v>
      </c>
      <c r="AA651"/>
    </row>
    <row r="652" spans="1:27" ht="15" x14ac:dyDescent="0.25">
      <c r="A652" t="s">
        <v>9</v>
      </c>
      <c r="B652" t="s">
        <v>173</v>
      </c>
      <c r="C652" t="s">
        <v>226</v>
      </c>
      <c r="D652" t="s">
        <v>69</v>
      </c>
      <c r="E652" t="s">
        <v>71</v>
      </c>
      <c r="F652" t="s">
        <v>350</v>
      </c>
      <c r="G652" t="s">
        <v>351</v>
      </c>
      <c r="H652" t="s">
        <v>54</v>
      </c>
      <c r="I652" s="41">
        <v>31.8</v>
      </c>
      <c r="J652" s="40">
        <f>I652*(1-IFERROR(VLOOKUP(H652,Rabat!$D$10:$E$41,2,FALSE),0))</f>
        <v>31.8</v>
      </c>
      <c r="K652">
        <v>0</v>
      </c>
      <c r="L652" t="s">
        <v>1789</v>
      </c>
      <c r="M652" t="s">
        <v>2459</v>
      </c>
      <c r="N652" t="s">
        <v>2099</v>
      </c>
      <c r="O652" t="s">
        <v>1776</v>
      </c>
      <c r="P652">
        <v>100</v>
      </c>
      <c r="Q652">
        <v>2800</v>
      </c>
      <c r="R652" t="s">
        <v>1777</v>
      </c>
      <c r="S652" s="42" t="str">
        <f>HYPERLINK("https://sklep.kobi.pl/produkt/pierscien-ozdobny-oh28-mat-czarny")</f>
        <v>https://sklep.kobi.pl/produkt/pierscien-ozdobny-oh28-mat-czarny</v>
      </c>
      <c r="T652" t="s">
        <v>71</v>
      </c>
      <c r="U652">
        <v>7.8E-2</v>
      </c>
      <c r="V652">
        <v>9.7000000000000003E-2</v>
      </c>
      <c r="W652">
        <v>115</v>
      </c>
      <c r="X652">
        <v>95</v>
      </c>
      <c r="Y652">
        <v>35</v>
      </c>
      <c r="Z652" t="s">
        <v>1778</v>
      </c>
      <c r="AA652"/>
    </row>
    <row r="653" spans="1:27" ht="15" x14ac:dyDescent="0.25">
      <c r="A653" t="s">
        <v>9</v>
      </c>
      <c r="B653" t="s">
        <v>173</v>
      </c>
      <c r="C653" t="s">
        <v>226</v>
      </c>
      <c r="D653" t="s">
        <v>69</v>
      </c>
      <c r="E653" t="s">
        <v>71</v>
      </c>
      <c r="F653" t="s">
        <v>1063</v>
      </c>
      <c r="G653" t="s">
        <v>1064</v>
      </c>
      <c r="H653" t="s">
        <v>54</v>
      </c>
      <c r="I653" s="41">
        <v>31.8</v>
      </c>
      <c r="J653" s="40">
        <f>I653*(1-IFERROR(VLOOKUP(H653,Rabat!$D$10:$E$41,2,FALSE),0))</f>
        <v>31.8</v>
      </c>
      <c r="K653">
        <v>0</v>
      </c>
      <c r="L653" t="s">
        <v>1789</v>
      </c>
      <c r="M653" t="s">
        <v>2460</v>
      </c>
      <c r="N653" t="s">
        <v>2099</v>
      </c>
      <c r="O653" t="s">
        <v>1776</v>
      </c>
      <c r="P653">
        <v>100</v>
      </c>
      <c r="Q653">
        <v>0</v>
      </c>
      <c r="R653" t="s">
        <v>1777</v>
      </c>
      <c r="S653" s="42" t="str">
        <f>HYPERLINK("https://sklep.kobi.pl/produkt/pierscien-ozdobny-oh28-mat-bialy")</f>
        <v>https://sklep.kobi.pl/produkt/pierscien-ozdobny-oh28-mat-bialy</v>
      </c>
      <c r="T653" t="s">
        <v>71</v>
      </c>
      <c r="U653">
        <v>7.8E-2</v>
      </c>
      <c r="V653">
        <v>9.7000000000000003E-2</v>
      </c>
      <c r="W653">
        <v>115</v>
      </c>
      <c r="X653">
        <v>95</v>
      </c>
      <c r="Y653">
        <v>35</v>
      </c>
      <c r="Z653" t="s">
        <v>1778</v>
      </c>
      <c r="AA653"/>
    </row>
    <row r="654" spans="1:27" ht="15" x14ac:dyDescent="0.25">
      <c r="A654" t="s">
        <v>9</v>
      </c>
      <c r="B654" t="s">
        <v>173</v>
      </c>
      <c r="C654" t="s">
        <v>226</v>
      </c>
      <c r="D654" t="s">
        <v>69</v>
      </c>
      <c r="E654" t="s">
        <v>71</v>
      </c>
      <c r="F654" t="s">
        <v>273</v>
      </c>
      <c r="G654" t="s">
        <v>274</v>
      </c>
      <c r="H654" t="s">
        <v>54</v>
      </c>
      <c r="I654" s="41">
        <v>25.58</v>
      </c>
      <c r="J654" s="40">
        <f>I654*(1-IFERROR(VLOOKUP(H654,Rabat!$D$10:$E$41,2,FALSE),0))</f>
        <v>25.58</v>
      </c>
      <c r="K654">
        <v>0</v>
      </c>
      <c r="L654" t="s">
        <v>1789</v>
      </c>
      <c r="M654" t="s">
        <v>2461</v>
      </c>
      <c r="N654" t="s">
        <v>2099</v>
      </c>
      <c r="O654" t="s">
        <v>1776</v>
      </c>
      <c r="P654">
        <v>100</v>
      </c>
      <c r="Q654">
        <v>3200</v>
      </c>
      <c r="R654" t="s">
        <v>1777</v>
      </c>
      <c r="S654" s="42" t="str">
        <f>HYPERLINK("https://sklep.kobi.pl/produkt/pierscien-ozdobny-oh29-chrom")</f>
        <v>https://sklep.kobi.pl/produkt/pierscien-ozdobny-oh29-chrom</v>
      </c>
      <c r="T654" t="s">
        <v>71</v>
      </c>
      <c r="U654">
        <v>5.6000000000000001E-2</v>
      </c>
      <c r="V654">
        <v>7.8E-2</v>
      </c>
      <c r="W654">
        <v>38</v>
      </c>
      <c r="X654">
        <v>89</v>
      </c>
      <c r="Y654">
        <v>90</v>
      </c>
      <c r="Z654" t="s">
        <v>1778</v>
      </c>
      <c r="AA654"/>
    </row>
    <row r="655" spans="1:27" ht="15" x14ac:dyDescent="0.25">
      <c r="A655" t="s">
        <v>9</v>
      </c>
      <c r="B655" t="s">
        <v>173</v>
      </c>
      <c r="C655" t="s">
        <v>226</v>
      </c>
      <c r="D655" t="s">
        <v>69</v>
      </c>
      <c r="E655" t="s">
        <v>71</v>
      </c>
      <c r="F655" t="s">
        <v>1283</v>
      </c>
      <c r="G655" t="s">
        <v>1284</v>
      </c>
      <c r="H655" t="s">
        <v>54</v>
      </c>
      <c r="I655" s="41">
        <v>25.58</v>
      </c>
      <c r="J655" s="40">
        <f>I655*(1-IFERROR(VLOOKUP(H655,Rabat!$D$10:$E$41,2,FALSE),0))</f>
        <v>25.58</v>
      </c>
      <c r="K655">
        <v>0</v>
      </c>
      <c r="L655" t="s">
        <v>1789</v>
      </c>
      <c r="M655" t="s">
        <v>2462</v>
      </c>
      <c r="N655" t="s">
        <v>2099</v>
      </c>
      <c r="O655" t="s">
        <v>1776</v>
      </c>
      <c r="P655">
        <v>100</v>
      </c>
      <c r="Q655">
        <v>3200</v>
      </c>
      <c r="R655" t="s">
        <v>1777</v>
      </c>
      <c r="S655" s="42" t="str">
        <f>HYPERLINK("https://sklep.kobi.pl/produkt/pierscien-ozdobny-oh29-czarny")</f>
        <v>https://sklep.kobi.pl/produkt/pierscien-ozdobny-oh29-czarny</v>
      </c>
      <c r="T655" t="s">
        <v>71</v>
      </c>
      <c r="U655">
        <v>5.6000000000000001E-2</v>
      </c>
      <c r="V655">
        <v>7.8E-2</v>
      </c>
      <c r="W655">
        <v>38</v>
      </c>
      <c r="X655">
        <v>89</v>
      </c>
      <c r="Y655">
        <v>90</v>
      </c>
      <c r="Z655" t="s">
        <v>1778</v>
      </c>
      <c r="AA655"/>
    </row>
    <row r="656" spans="1:27" ht="15" x14ac:dyDescent="0.25">
      <c r="A656" t="s">
        <v>9</v>
      </c>
      <c r="B656" t="s">
        <v>173</v>
      </c>
      <c r="C656" t="s">
        <v>226</v>
      </c>
      <c r="D656" t="s">
        <v>69</v>
      </c>
      <c r="E656" t="s">
        <v>71</v>
      </c>
      <c r="F656" t="s">
        <v>1065</v>
      </c>
      <c r="G656" t="s">
        <v>1066</v>
      </c>
      <c r="H656" t="s">
        <v>54</v>
      </c>
      <c r="I656" s="41">
        <v>25.58</v>
      </c>
      <c r="J656" s="40">
        <f>I656*(1-IFERROR(VLOOKUP(H656,Rabat!$D$10:$E$41,2,FALSE),0))</f>
        <v>25.58</v>
      </c>
      <c r="K656">
        <v>0</v>
      </c>
      <c r="L656" t="s">
        <v>1789</v>
      </c>
      <c r="M656" t="s">
        <v>2463</v>
      </c>
      <c r="N656" t="s">
        <v>2099</v>
      </c>
      <c r="O656" t="s">
        <v>1776</v>
      </c>
      <c r="P656">
        <v>100</v>
      </c>
      <c r="Q656">
        <v>3200</v>
      </c>
      <c r="R656" t="s">
        <v>1777</v>
      </c>
      <c r="S656" s="42" t="str">
        <f>HYPERLINK("https://sklep.kobi.pl/produkt/pierscien-ozdobny-oh29-mat-bialy")</f>
        <v>https://sklep.kobi.pl/produkt/pierscien-ozdobny-oh29-mat-bialy</v>
      </c>
      <c r="T656" t="s">
        <v>71</v>
      </c>
      <c r="U656">
        <v>5.6000000000000001E-2</v>
      </c>
      <c r="V656">
        <v>7.8E-2</v>
      </c>
      <c r="W656">
        <v>38</v>
      </c>
      <c r="X656">
        <v>89</v>
      </c>
      <c r="Y656">
        <v>90</v>
      </c>
      <c r="Z656" t="s">
        <v>1778</v>
      </c>
      <c r="AA656"/>
    </row>
    <row r="657" spans="1:27" ht="15" x14ac:dyDescent="0.25">
      <c r="A657" t="s">
        <v>9</v>
      </c>
      <c r="B657" t="s">
        <v>173</v>
      </c>
      <c r="C657" t="s">
        <v>226</v>
      </c>
      <c r="D657" t="s">
        <v>69</v>
      </c>
      <c r="E657" t="s">
        <v>71</v>
      </c>
      <c r="F657" t="s">
        <v>1067</v>
      </c>
      <c r="G657" t="s">
        <v>1068</v>
      </c>
      <c r="H657" t="s">
        <v>54</v>
      </c>
      <c r="I657" s="41">
        <v>25.58</v>
      </c>
      <c r="J657" s="40">
        <f>I657*(1-IFERROR(VLOOKUP(H657,Rabat!$D$10:$E$41,2,FALSE),0))</f>
        <v>25.58</v>
      </c>
      <c r="K657">
        <v>0</v>
      </c>
      <c r="L657" t="s">
        <v>1789</v>
      </c>
      <c r="M657" t="s">
        <v>2464</v>
      </c>
      <c r="N657" t="s">
        <v>2099</v>
      </c>
      <c r="O657" t="s">
        <v>1776</v>
      </c>
      <c r="P657">
        <v>100</v>
      </c>
      <c r="Q657">
        <v>3200</v>
      </c>
      <c r="R657" t="s">
        <v>1777</v>
      </c>
      <c r="S657" s="42" t="str">
        <f>HYPERLINK("https://sklep.kobi.pl/produkt/pierscien-ozdobny-oh29-mat-czarny")</f>
        <v>https://sklep.kobi.pl/produkt/pierscien-ozdobny-oh29-mat-czarny</v>
      </c>
      <c r="T657" t="s">
        <v>71</v>
      </c>
      <c r="U657">
        <v>5.6000000000000001E-2</v>
      </c>
      <c r="V657">
        <v>7.8E-2</v>
      </c>
      <c r="W657">
        <v>90</v>
      </c>
      <c r="X657">
        <v>90</v>
      </c>
      <c r="Y657">
        <v>35</v>
      </c>
      <c r="Z657" t="s">
        <v>1778</v>
      </c>
      <c r="AA657"/>
    </row>
    <row r="658" spans="1:27" ht="15" x14ac:dyDescent="0.25">
      <c r="A658" t="s">
        <v>9</v>
      </c>
      <c r="B658" t="s">
        <v>173</v>
      </c>
      <c r="C658" t="s">
        <v>257</v>
      </c>
      <c r="D658" t="s">
        <v>69</v>
      </c>
      <c r="E658" t="s">
        <v>71</v>
      </c>
      <c r="F658" t="s">
        <v>1129</v>
      </c>
      <c r="G658" t="s">
        <v>1130</v>
      </c>
      <c r="H658" t="s">
        <v>55</v>
      </c>
      <c r="I658" s="41">
        <v>59.05</v>
      </c>
      <c r="J658" s="40">
        <f>I658*(1-IFERROR(VLOOKUP(H658,Rabat!$D$10:$E$41,2,FALSE),0))</f>
        <v>59.05</v>
      </c>
      <c r="K658">
        <v>7.0000000000000007E-2</v>
      </c>
      <c r="L658" t="s">
        <v>1773</v>
      </c>
      <c r="M658" t="s">
        <v>2465</v>
      </c>
      <c r="N658" t="s">
        <v>1954</v>
      </c>
      <c r="O658" t="s">
        <v>1776</v>
      </c>
      <c r="P658">
        <v>50</v>
      </c>
      <c r="Q658">
        <v>2400</v>
      </c>
      <c r="R658" t="s">
        <v>1777</v>
      </c>
      <c r="S658" s="42" t="str">
        <f>HYPERLINK("https://sklep.kobi.pl/produkt/led-halo-5w-3000k")</f>
        <v>https://sklep.kobi.pl/produkt/led-halo-5w-3000k</v>
      </c>
      <c r="T658" s="42" t="str">
        <f>HYPERLINK("https://eprel.ec.europa.eu/qr/807386         ")</f>
        <v xml:space="preserve">https://eprel.ec.europa.eu/qr/807386         </v>
      </c>
      <c r="U658">
        <v>8.7999999999999995E-2</v>
      </c>
      <c r="V658">
        <v>0.107</v>
      </c>
      <c r="W658">
        <v>0</v>
      </c>
      <c r="X658">
        <v>0</v>
      </c>
      <c r="Y658">
        <v>0</v>
      </c>
      <c r="Z658" t="s">
        <v>1778</v>
      </c>
      <c r="AA658"/>
    </row>
    <row r="659" spans="1:27" ht="15" x14ac:dyDescent="0.25">
      <c r="A659" t="s">
        <v>9</v>
      </c>
      <c r="B659" t="s">
        <v>173</v>
      </c>
      <c r="C659" t="s">
        <v>257</v>
      </c>
      <c r="D659" t="s">
        <v>69</v>
      </c>
      <c r="E659" t="s">
        <v>71</v>
      </c>
      <c r="F659" t="s">
        <v>1049</v>
      </c>
      <c r="G659" t="s">
        <v>1050</v>
      </c>
      <c r="H659" t="s">
        <v>55</v>
      </c>
      <c r="I659" s="41">
        <v>59.05</v>
      </c>
      <c r="J659" s="40">
        <f>I659*(1-IFERROR(VLOOKUP(H659,Rabat!$D$10:$E$41,2,FALSE),0))</f>
        <v>59.05</v>
      </c>
      <c r="K659">
        <v>7.0000000000000007E-2</v>
      </c>
      <c r="L659" t="s">
        <v>1773</v>
      </c>
      <c r="M659" t="s">
        <v>2466</v>
      </c>
      <c r="N659" t="s">
        <v>1954</v>
      </c>
      <c r="O659" t="s">
        <v>1776</v>
      </c>
      <c r="P659">
        <v>50</v>
      </c>
      <c r="Q659">
        <v>2400</v>
      </c>
      <c r="R659" t="s">
        <v>1777</v>
      </c>
      <c r="S659" s="42" t="str">
        <f>HYPERLINK("https://sklep.kobi.pl/produkt/led-halo-5w-4000k")</f>
        <v>https://sklep.kobi.pl/produkt/led-halo-5w-4000k</v>
      </c>
      <c r="T659" s="42" t="str">
        <f>HYPERLINK("https://eprel.ec.europa.eu/qr/807424         ")</f>
        <v xml:space="preserve">https://eprel.ec.europa.eu/qr/807424         </v>
      </c>
      <c r="U659">
        <v>8.7999999999999995E-2</v>
      </c>
      <c r="V659">
        <v>0.107</v>
      </c>
      <c r="W659">
        <v>85</v>
      </c>
      <c r="X659">
        <v>85</v>
      </c>
      <c r="Y659">
        <v>45</v>
      </c>
      <c r="Z659" t="s">
        <v>1778</v>
      </c>
      <c r="AA659"/>
    </row>
    <row r="660" spans="1:27" ht="15" x14ac:dyDescent="0.25">
      <c r="A660" t="s">
        <v>9</v>
      </c>
      <c r="B660" t="s">
        <v>173</v>
      </c>
      <c r="C660" t="s">
        <v>257</v>
      </c>
      <c r="D660" t="s">
        <v>486</v>
      </c>
      <c r="E660" t="s">
        <v>71</v>
      </c>
      <c r="F660" t="s">
        <v>487</v>
      </c>
      <c r="G660" t="s">
        <v>488</v>
      </c>
      <c r="H660" t="s">
        <v>53</v>
      </c>
      <c r="I660" s="41">
        <v>177.5</v>
      </c>
      <c r="J660" s="40">
        <f>I660*(1-IFERROR(VLOOKUP(H660,Rabat!$D$10:$E$41,2,FALSE),0))</f>
        <v>177.5</v>
      </c>
      <c r="K660">
        <v>0.3</v>
      </c>
      <c r="L660" t="s">
        <v>1818</v>
      </c>
      <c r="M660" t="s">
        <v>2467</v>
      </c>
      <c r="N660" t="s">
        <v>2000</v>
      </c>
      <c r="O660" t="s">
        <v>1776</v>
      </c>
      <c r="P660">
        <v>50</v>
      </c>
      <c r="Q660">
        <v>0</v>
      </c>
      <c r="R660" t="s">
        <v>1777</v>
      </c>
      <c r="S660" s="42" t="str">
        <f>HYPERLINK("https://sklep.kobi.pl/produkt/oprawa-koge-10w-3000k-white")</f>
        <v>https://sklep.kobi.pl/produkt/oprawa-koge-10w-3000k-white</v>
      </c>
      <c r="T660" s="42" t="str">
        <f>HYPERLINK("https://eprel.ec.europa.eu/qr/929455         ")</f>
        <v xml:space="preserve">https://eprel.ec.europa.eu/qr/929455         </v>
      </c>
      <c r="U660">
        <v>0.36</v>
      </c>
      <c r="V660">
        <v>0.44</v>
      </c>
      <c r="W660">
        <v>130</v>
      </c>
      <c r="X660">
        <v>130</v>
      </c>
      <c r="Y660">
        <v>150</v>
      </c>
      <c r="Z660" t="s">
        <v>1778</v>
      </c>
      <c r="AA660"/>
    </row>
    <row r="661" spans="1:27" ht="15" x14ac:dyDescent="0.25">
      <c r="A661" t="s">
        <v>9</v>
      </c>
      <c r="B661" t="s">
        <v>173</v>
      </c>
      <c r="C661" t="s">
        <v>257</v>
      </c>
      <c r="D661" t="s">
        <v>69</v>
      </c>
      <c r="E661" t="s">
        <v>149</v>
      </c>
      <c r="F661" t="s">
        <v>258</v>
      </c>
      <c r="G661" t="s">
        <v>259</v>
      </c>
      <c r="H661" t="s">
        <v>55</v>
      </c>
      <c r="I661" s="41">
        <v>44.27</v>
      </c>
      <c r="J661" s="40">
        <f>I661*(1-IFERROR(VLOOKUP(H661,Rabat!$D$10:$E$41,2,FALSE),0))</f>
        <v>44.27</v>
      </c>
      <c r="K661">
        <v>0.1</v>
      </c>
      <c r="L661" t="s">
        <v>1789</v>
      </c>
      <c r="M661" t="s">
        <v>2468</v>
      </c>
      <c r="N661" t="s">
        <v>2033</v>
      </c>
      <c r="O661" t="s">
        <v>1776</v>
      </c>
      <c r="P661">
        <v>100</v>
      </c>
      <c r="Q661">
        <v>0</v>
      </c>
      <c r="R661" t="s">
        <v>1777</v>
      </c>
      <c r="S661" s="42" t="str">
        <f>HYPERLINK("https://sklep.kobi.pl/produkt/oprawa-ledwally2-mat-chr-2700k-14w-35lm")</f>
        <v>https://sklep.kobi.pl/produkt/oprawa-ledwally2-mat-chr-2700k-14w-35lm</v>
      </c>
      <c r="T661" t="s">
        <v>71</v>
      </c>
      <c r="U661">
        <v>0.114</v>
      </c>
      <c r="V661">
        <v>0.13700000000000001</v>
      </c>
      <c r="W661">
        <v>36</v>
      </c>
      <c r="X661">
        <v>67</v>
      </c>
      <c r="Y661">
        <v>79</v>
      </c>
      <c r="Z661" t="s">
        <v>1778</v>
      </c>
      <c r="AA661"/>
    </row>
    <row r="662" spans="1:27" ht="15" x14ac:dyDescent="0.25">
      <c r="A662" t="s">
        <v>9</v>
      </c>
      <c r="B662" t="s">
        <v>173</v>
      </c>
      <c r="C662" t="s">
        <v>257</v>
      </c>
      <c r="D662" t="s">
        <v>486</v>
      </c>
      <c r="E662" t="s">
        <v>149</v>
      </c>
      <c r="F662" t="s">
        <v>491</v>
      </c>
      <c r="G662" t="s">
        <v>492</v>
      </c>
      <c r="H662" t="s">
        <v>53</v>
      </c>
      <c r="I662" s="41">
        <v>288.39999999999998</v>
      </c>
      <c r="J662" s="40">
        <f>I662*(1-IFERROR(VLOOKUP(H662,Rabat!$D$10:$E$41,2,FALSE),0))</f>
        <v>288.39999999999998</v>
      </c>
      <c r="K662">
        <v>0.49</v>
      </c>
      <c r="L662" t="s">
        <v>1818</v>
      </c>
      <c r="M662" t="s">
        <v>2469</v>
      </c>
      <c r="N662" t="s">
        <v>2000</v>
      </c>
      <c r="O662" t="s">
        <v>1776</v>
      </c>
      <c r="P662">
        <v>24</v>
      </c>
      <c r="Q662">
        <v>0</v>
      </c>
      <c r="R662" t="s">
        <v>1777</v>
      </c>
      <c r="S662" s="42" t="str">
        <f>HYPERLINK("https://sklep.kobi.pl/produkt/oprawa-oslo-10w-3000k-white")</f>
        <v>https://sklep.kobi.pl/produkt/oprawa-oslo-10w-3000k-white</v>
      </c>
      <c r="T662" s="42" t="str">
        <f>HYPERLINK("https://eprel.ec.europa.eu/qr/929242         ")</f>
        <v xml:space="preserve">https://eprel.ec.europa.eu/qr/929242         </v>
      </c>
      <c r="U662">
        <v>0.57999999999999996</v>
      </c>
      <c r="V662">
        <v>0.72099999999999997</v>
      </c>
      <c r="W662">
        <v>130</v>
      </c>
      <c r="X662">
        <v>130</v>
      </c>
      <c r="Y662">
        <v>135</v>
      </c>
      <c r="Z662" t="s">
        <v>1778</v>
      </c>
      <c r="AA662"/>
    </row>
    <row r="663" spans="1:27" ht="15" x14ac:dyDescent="0.25">
      <c r="A663" t="s">
        <v>9</v>
      </c>
      <c r="B663" t="s">
        <v>173</v>
      </c>
      <c r="C663" t="s">
        <v>257</v>
      </c>
      <c r="D663" t="s">
        <v>486</v>
      </c>
      <c r="E663" t="s">
        <v>149</v>
      </c>
      <c r="F663" t="s">
        <v>489</v>
      </c>
      <c r="G663" t="s">
        <v>490</v>
      </c>
      <c r="H663" t="s">
        <v>53</v>
      </c>
      <c r="I663" s="41">
        <v>294.77</v>
      </c>
      <c r="J663" s="40">
        <f>I663*(1-IFERROR(VLOOKUP(H663,Rabat!$D$10:$E$41,2,FALSE),0))</f>
        <v>294.77</v>
      </c>
      <c r="K663">
        <v>0.51</v>
      </c>
      <c r="L663" t="s">
        <v>1818</v>
      </c>
      <c r="M663" t="s">
        <v>2470</v>
      </c>
      <c r="N663" t="s">
        <v>2000</v>
      </c>
      <c r="O663" t="s">
        <v>1776</v>
      </c>
      <c r="P663">
        <v>24</v>
      </c>
      <c r="Q663">
        <v>0</v>
      </c>
      <c r="R663" t="s">
        <v>1777</v>
      </c>
      <c r="S663" s="42" t="str">
        <f>HYPERLINK("https://sklep.kobi.pl/produkt/oprawa-oslo-14w-3000k-white")</f>
        <v>https://sklep.kobi.pl/produkt/oprawa-oslo-14w-3000k-white</v>
      </c>
      <c r="T663" s="42" t="str">
        <f>HYPERLINK("https://eprel.ec.europa.eu/qr/929210         ")</f>
        <v xml:space="preserve">https://eprel.ec.europa.eu/qr/929210         </v>
      </c>
      <c r="U663">
        <v>0.6</v>
      </c>
      <c r="V663">
        <v>0.72</v>
      </c>
      <c r="W663">
        <v>132</v>
      </c>
      <c r="X663">
        <v>130</v>
      </c>
      <c r="Y663">
        <v>134</v>
      </c>
      <c r="Z663" t="s">
        <v>1778</v>
      </c>
      <c r="AA663"/>
    </row>
    <row r="664" spans="1:27" ht="15" x14ac:dyDescent="0.25">
      <c r="A664" t="s">
        <v>9</v>
      </c>
      <c r="B664" t="s">
        <v>1492</v>
      </c>
      <c r="C664" t="s">
        <v>1493</v>
      </c>
      <c r="D664" t="s">
        <v>667</v>
      </c>
      <c r="E664" t="s">
        <v>1289</v>
      </c>
      <c r="F664" t="s">
        <v>1494</v>
      </c>
      <c r="G664" t="s">
        <v>1495</v>
      </c>
      <c r="H664" t="s">
        <v>13</v>
      </c>
      <c r="I664" s="41">
        <v>69.400000000000006</v>
      </c>
      <c r="J664" s="40">
        <f>I664*(1-IFERROR(VLOOKUP(H664,Rabat!$D$10:$E$41,2,FALSE),0))</f>
        <v>69.400000000000006</v>
      </c>
      <c r="K664">
        <v>0.13</v>
      </c>
      <c r="L664" t="s">
        <v>1789</v>
      </c>
      <c r="M664" t="s">
        <v>2471</v>
      </c>
      <c r="N664" t="s">
        <v>2092</v>
      </c>
      <c r="O664" t="s">
        <v>1776</v>
      </c>
      <c r="P664">
        <v>30</v>
      </c>
      <c r="Q664">
        <v>0</v>
      </c>
      <c r="R664" t="s">
        <v>1777</v>
      </c>
      <c r="S664" s="42" t="str">
        <f>HYPERLINK("https://sklep.kobi.pl/produkt/querk-1-black-1xgu10-led2b")</f>
        <v>https://sklep.kobi.pl/produkt/querk-1-black-1xgu10-led2b</v>
      </c>
      <c r="T664" t="s">
        <v>71</v>
      </c>
      <c r="U664">
        <v>0.28999999999999998</v>
      </c>
      <c r="V664">
        <v>0</v>
      </c>
      <c r="W664">
        <v>0</v>
      </c>
      <c r="X664">
        <v>0</v>
      </c>
      <c r="Y664">
        <v>0</v>
      </c>
      <c r="Z664" t="s">
        <v>1778</v>
      </c>
      <c r="AA664"/>
    </row>
    <row r="665" spans="1:27" ht="15" x14ac:dyDescent="0.25">
      <c r="A665" t="s">
        <v>9</v>
      </c>
      <c r="B665" t="s">
        <v>1492</v>
      </c>
      <c r="C665" t="s">
        <v>1493</v>
      </c>
      <c r="D665" t="s">
        <v>667</v>
      </c>
      <c r="E665" t="s">
        <v>1289</v>
      </c>
      <c r="F665" t="s">
        <v>1496</v>
      </c>
      <c r="G665" t="s">
        <v>1497</v>
      </c>
      <c r="H665" t="s">
        <v>13</v>
      </c>
      <c r="I665" s="41">
        <v>63.46</v>
      </c>
      <c r="J665" s="40">
        <f>I665*(1-IFERROR(VLOOKUP(H665,Rabat!$D$10:$E$41,2,FALSE),0))</f>
        <v>63.46</v>
      </c>
      <c r="K665">
        <v>0.12</v>
      </c>
      <c r="L665" t="s">
        <v>1789</v>
      </c>
      <c r="M665" t="s">
        <v>2472</v>
      </c>
      <c r="N665" t="s">
        <v>2092</v>
      </c>
      <c r="O665" t="s">
        <v>1776</v>
      </c>
      <c r="P665">
        <v>30</v>
      </c>
      <c r="Q665">
        <v>0</v>
      </c>
      <c r="R665" t="s">
        <v>1777</v>
      </c>
      <c r="S665" s="42" t="str">
        <f>HYPERLINK("https://sklep.kobi.pl/produkt/querk-2-black-1xgu10-led2b")</f>
        <v>https://sklep.kobi.pl/produkt/querk-2-black-1xgu10-led2b</v>
      </c>
      <c r="T665" t="s">
        <v>71</v>
      </c>
      <c r="U665">
        <v>0.26</v>
      </c>
      <c r="V665">
        <v>0</v>
      </c>
      <c r="W665">
        <v>0</v>
      </c>
      <c r="X665">
        <v>0</v>
      </c>
      <c r="Y665">
        <v>0</v>
      </c>
      <c r="Z665" t="s">
        <v>1778</v>
      </c>
      <c r="AA665"/>
    </row>
    <row r="666" spans="1:27" ht="15" x14ac:dyDescent="0.25">
      <c r="A666" t="s">
        <v>9</v>
      </c>
      <c r="B666" t="s">
        <v>1492</v>
      </c>
      <c r="C666" t="s">
        <v>1493</v>
      </c>
      <c r="D666" t="s">
        <v>667</v>
      </c>
      <c r="E666" t="s">
        <v>1289</v>
      </c>
      <c r="F666" t="s">
        <v>1498</v>
      </c>
      <c r="G666" t="s">
        <v>1499</v>
      </c>
      <c r="H666" t="s">
        <v>13</v>
      </c>
      <c r="I666" s="41">
        <v>79.95</v>
      </c>
      <c r="J666" s="40">
        <f>I666*(1-IFERROR(VLOOKUP(H666,Rabat!$D$10:$E$41,2,FALSE),0))</f>
        <v>79.95</v>
      </c>
      <c r="K666">
        <v>0.22</v>
      </c>
      <c r="L666" t="s">
        <v>1789</v>
      </c>
      <c r="M666" t="s">
        <v>2473</v>
      </c>
      <c r="N666" t="s">
        <v>2092</v>
      </c>
      <c r="O666" t="s">
        <v>1776</v>
      </c>
      <c r="P666">
        <v>10</v>
      </c>
      <c r="Q666">
        <v>0</v>
      </c>
      <c r="R666" t="s">
        <v>1777</v>
      </c>
      <c r="S666" s="42" t="str">
        <f>HYPERLINK("https://sklep.kobi.pl/produkt/querk-3-black-2xgu10-led2b")</f>
        <v>https://sklep.kobi.pl/produkt/querk-3-black-2xgu10-led2b</v>
      </c>
      <c r="T666" t="s">
        <v>71</v>
      </c>
      <c r="U666">
        <v>0.48</v>
      </c>
      <c r="V666">
        <v>0</v>
      </c>
      <c r="W666">
        <v>0</v>
      </c>
      <c r="X666">
        <v>0</v>
      </c>
      <c r="Y666">
        <v>0</v>
      </c>
      <c r="Z666" t="s">
        <v>1778</v>
      </c>
      <c r="AA666"/>
    </row>
    <row r="667" spans="1:27" ht="15" x14ac:dyDescent="0.25">
      <c r="A667" t="s">
        <v>9</v>
      </c>
      <c r="B667" t="s">
        <v>1492</v>
      </c>
      <c r="C667" t="s">
        <v>1493</v>
      </c>
      <c r="D667" t="s">
        <v>667</v>
      </c>
      <c r="E667" t="s">
        <v>1289</v>
      </c>
      <c r="F667" t="s">
        <v>1500</v>
      </c>
      <c r="G667" t="s">
        <v>1501</v>
      </c>
      <c r="H667" t="s">
        <v>13</v>
      </c>
      <c r="I667" s="41">
        <v>126.45</v>
      </c>
      <c r="J667" s="40">
        <f>I667*(1-IFERROR(VLOOKUP(H667,Rabat!$D$10:$E$41,2,FALSE),0))</f>
        <v>126.45</v>
      </c>
      <c r="K667">
        <v>0.36</v>
      </c>
      <c r="L667" t="s">
        <v>1789</v>
      </c>
      <c r="M667" t="s">
        <v>2474</v>
      </c>
      <c r="N667" t="s">
        <v>2092</v>
      </c>
      <c r="O667" t="s">
        <v>1776</v>
      </c>
      <c r="P667">
        <v>10</v>
      </c>
      <c r="Q667">
        <v>0</v>
      </c>
      <c r="R667" t="s">
        <v>1777</v>
      </c>
      <c r="S667" s="42" t="str">
        <f>HYPERLINK("https://sklep.kobi.pl/produkt/garden-lamp-querk-4-black-led2b")</f>
        <v>https://sklep.kobi.pl/produkt/garden-lamp-querk-4-black-led2b</v>
      </c>
      <c r="T667" t="s">
        <v>71</v>
      </c>
      <c r="U667">
        <v>0.79</v>
      </c>
      <c r="V667">
        <v>0</v>
      </c>
      <c r="W667">
        <v>0</v>
      </c>
      <c r="X667">
        <v>0</v>
      </c>
      <c r="Y667">
        <v>0</v>
      </c>
      <c r="Z667" t="s">
        <v>1778</v>
      </c>
      <c r="AA667"/>
    </row>
    <row r="668" spans="1:27" ht="15" x14ac:dyDescent="0.25">
      <c r="A668" t="s">
        <v>9</v>
      </c>
      <c r="B668" t="s">
        <v>1492</v>
      </c>
      <c r="C668" t="s">
        <v>1493</v>
      </c>
      <c r="D668" t="s">
        <v>667</v>
      </c>
      <c r="E668" t="s">
        <v>1289</v>
      </c>
      <c r="F668" t="s">
        <v>1502</v>
      </c>
      <c r="G668" t="s">
        <v>1503</v>
      </c>
      <c r="H668" t="s">
        <v>13</v>
      </c>
      <c r="I668" s="41">
        <v>116.6</v>
      </c>
      <c r="J668" s="40">
        <f>I668*(1-IFERROR(VLOOKUP(H668,Rabat!$D$10:$E$41,2,FALSE),0))</f>
        <v>116.6</v>
      </c>
      <c r="K668">
        <v>0.26</v>
      </c>
      <c r="L668" t="s">
        <v>1789</v>
      </c>
      <c r="M668" t="s">
        <v>2475</v>
      </c>
      <c r="N668" t="s">
        <v>2092</v>
      </c>
      <c r="O668" t="s">
        <v>1776</v>
      </c>
      <c r="P668">
        <v>10</v>
      </c>
      <c r="Q668">
        <v>0</v>
      </c>
      <c r="R668" t="s">
        <v>1777</v>
      </c>
      <c r="S668" s="42" t="str">
        <f>HYPERLINK("https://sklep.kobi.pl/produkt/querk-5-black-2xgu10-led2b")</f>
        <v>https://sklep.kobi.pl/produkt/querk-5-black-2xgu10-led2b</v>
      </c>
      <c r="T668" t="s">
        <v>71</v>
      </c>
      <c r="U668">
        <v>0.57999999999999996</v>
      </c>
      <c r="V668">
        <v>0</v>
      </c>
      <c r="W668">
        <v>0</v>
      </c>
      <c r="X668">
        <v>0</v>
      </c>
      <c r="Y668">
        <v>0</v>
      </c>
      <c r="Z668" t="s">
        <v>1778</v>
      </c>
      <c r="AA668"/>
    </row>
    <row r="669" spans="1:27" ht="15" x14ac:dyDescent="0.25">
      <c r="A669" t="s">
        <v>9</v>
      </c>
      <c r="B669" t="s">
        <v>1387</v>
      </c>
      <c r="C669"/>
      <c r="D669" t="s">
        <v>667</v>
      </c>
      <c r="E669" t="s">
        <v>1289</v>
      </c>
      <c r="F669" t="s">
        <v>1418</v>
      </c>
      <c r="G669" t="s">
        <v>1419</v>
      </c>
      <c r="H669" t="s">
        <v>13</v>
      </c>
      <c r="I669" s="41">
        <v>60.95</v>
      </c>
      <c r="J669" s="40">
        <f>I669*(1-IFERROR(VLOOKUP(H669,Rabat!$D$10:$E$41,2,FALSE),0))</f>
        <v>60.95</v>
      </c>
      <c r="K669">
        <v>0.34</v>
      </c>
      <c r="L669" t="s">
        <v>1789</v>
      </c>
      <c r="M669" t="s">
        <v>2476</v>
      </c>
      <c r="N669" t="s">
        <v>2194</v>
      </c>
      <c r="O669" t="s">
        <v>2109</v>
      </c>
      <c r="P669">
        <v>24</v>
      </c>
      <c r="Q669">
        <v>0</v>
      </c>
      <c r="R669" t="s">
        <v>1777</v>
      </c>
      <c r="S669"/>
      <c r="T669" t="s">
        <v>71</v>
      </c>
      <c r="U669">
        <v>0.4</v>
      </c>
      <c r="V669"/>
      <c r="W669"/>
      <c r="X669"/>
      <c r="Y669"/>
      <c r="Z669" t="s">
        <v>1778</v>
      </c>
      <c r="AA669"/>
    </row>
    <row r="670" spans="1:27" ht="15" x14ac:dyDescent="0.25">
      <c r="A670" t="s">
        <v>9</v>
      </c>
      <c r="B670" t="s">
        <v>1387</v>
      </c>
      <c r="C670"/>
      <c r="D670" t="s">
        <v>667</v>
      </c>
      <c r="E670" t="s">
        <v>1289</v>
      </c>
      <c r="F670" t="s">
        <v>1398</v>
      </c>
      <c r="G670" t="s">
        <v>1399</v>
      </c>
      <c r="H670" t="s">
        <v>13</v>
      </c>
      <c r="I670" s="41">
        <v>46.42</v>
      </c>
      <c r="J670" s="40">
        <f>I670*(1-IFERROR(VLOOKUP(H670,Rabat!$D$10:$E$41,2,FALSE),0))</f>
        <v>46.42</v>
      </c>
      <c r="K670">
        <v>0.18</v>
      </c>
      <c r="L670" t="s">
        <v>1789</v>
      </c>
      <c r="M670" t="s">
        <v>2477</v>
      </c>
      <c r="N670" t="s">
        <v>2194</v>
      </c>
      <c r="O670" t="s">
        <v>1776</v>
      </c>
      <c r="P670">
        <v>24</v>
      </c>
      <c r="Q670">
        <v>0</v>
      </c>
      <c r="R670" t="s">
        <v>1777</v>
      </c>
      <c r="S670"/>
      <c r="T670" t="s">
        <v>71</v>
      </c>
      <c r="U670">
        <v>0.21</v>
      </c>
      <c r="V670">
        <v>0</v>
      </c>
      <c r="W670">
        <v>0</v>
      </c>
      <c r="X670">
        <v>0</v>
      </c>
      <c r="Y670">
        <v>0</v>
      </c>
      <c r="Z670" t="s">
        <v>1778</v>
      </c>
      <c r="AA670"/>
    </row>
    <row r="671" spans="1:27" ht="15" x14ac:dyDescent="0.25">
      <c r="A671" t="s">
        <v>9</v>
      </c>
      <c r="B671" t="s">
        <v>1387</v>
      </c>
      <c r="C671"/>
      <c r="D671" t="s">
        <v>667</v>
      </c>
      <c r="E671" t="s">
        <v>1289</v>
      </c>
      <c r="F671" t="s">
        <v>1402</v>
      </c>
      <c r="G671" t="s">
        <v>1403</v>
      </c>
      <c r="H671" t="s">
        <v>13</v>
      </c>
      <c r="I671" s="41">
        <v>47.48</v>
      </c>
      <c r="J671" s="40">
        <f>I671*(1-IFERROR(VLOOKUP(H671,Rabat!$D$10:$E$41,2,FALSE),0))</f>
        <v>47.48</v>
      </c>
      <c r="K671">
        <v>0.14000000000000001</v>
      </c>
      <c r="L671" t="s">
        <v>1789</v>
      </c>
      <c r="M671" t="s">
        <v>2478</v>
      </c>
      <c r="N671" t="s">
        <v>2194</v>
      </c>
      <c r="O671" t="s">
        <v>1776</v>
      </c>
      <c r="P671">
        <v>24</v>
      </c>
      <c r="Q671">
        <v>0</v>
      </c>
      <c r="R671" t="s">
        <v>1777</v>
      </c>
      <c r="S671"/>
      <c r="T671" t="s">
        <v>71</v>
      </c>
      <c r="U671">
        <v>0.16</v>
      </c>
      <c r="V671">
        <v>0</v>
      </c>
      <c r="W671">
        <v>0</v>
      </c>
      <c r="X671">
        <v>0</v>
      </c>
      <c r="Y671">
        <v>0</v>
      </c>
      <c r="Z671" t="s">
        <v>1778</v>
      </c>
      <c r="AA671"/>
    </row>
    <row r="672" spans="1:27" ht="15" x14ac:dyDescent="0.25">
      <c r="A672" t="s">
        <v>9</v>
      </c>
      <c r="B672" t="s">
        <v>1387</v>
      </c>
      <c r="C672"/>
      <c r="D672" t="s">
        <v>667</v>
      </c>
      <c r="E672" t="s">
        <v>1289</v>
      </c>
      <c r="F672" t="s">
        <v>1749</v>
      </c>
      <c r="G672" t="s">
        <v>1750</v>
      </c>
      <c r="H672" t="s">
        <v>13</v>
      </c>
      <c r="I672" s="41">
        <v>70.59</v>
      </c>
      <c r="J672" s="40">
        <f>I672*(1-IFERROR(VLOOKUP(H672,Rabat!$D$10:$E$41,2,FALSE),0))</f>
        <v>70.59</v>
      </c>
      <c r="K672">
        <v>0.7</v>
      </c>
      <c r="L672" t="s">
        <v>1789</v>
      </c>
      <c r="M672" t="s">
        <v>2479</v>
      </c>
      <c r="N672" t="s">
        <v>2194</v>
      </c>
      <c r="O672" t="s">
        <v>2109</v>
      </c>
      <c r="P672">
        <v>12</v>
      </c>
      <c r="Q672">
        <v>0</v>
      </c>
      <c r="R672" t="s">
        <v>1777</v>
      </c>
      <c r="S672"/>
      <c r="T672" t="s">
        <v>71</v>
      </c>
      <c r="U672">
        <v>0.83</v>
      </c>
      <c r="V672">
        <v>0</v>
      </c>
      <c r="W672">
        <v>0</v>
      </c>
      <c r="X672">
        <v>0</v>
      </c>
      <c r="Y672">
        <v>0</v>
      </c>
      <c r="Z672" t="s">
        <v>1778</v>
      </c>
      <c r="AA672"/>
    </row>
    <row r="673" spans="1:27" ht="15" x14ac:dyDescent="0.25">
      <c r="A673" t="s">
        <v>9</v>
      </c>
      <c r="B673" t="s">
        <v>1387</v>
      </c>
      <c r="C673"/>
      <c r="D673" t="s">
        <v>667</v>
      </c>
      <c r="E673" t="s">
        <v>1289</v>
      </c>
      <c r="F673" t="s">
        <v>1751</v>
      </c>
      <c r="G673" t="s">
        <v>1752</v>
      </c>
      <c r="H673" t="s">
        <v>13</v>
      </c>
      <c r="I673" s="41">
        <v>105.09</v>
      </c>
      <c r="J673" s="40">
        <f>I673*(1-IFERROR(VLOOKUP(H673,Rabat!$D$10:$E$41,2,FALSE),0))</f>
        <v>105.09</v>
      </c>
      <c r="K673">
        <v>1.05</v>
      </c>
      <c r="L673" t="s">
        <v>1789</v>
      </c>
      <c r="M673" t="s">
        <v>2480</v>
      </c>
      <c r="N673" t="s">
        <v>2194</v>
      </c>
      <c r="O673" t="s">
        <v>2109</v>
      </c>
      <c r="P673">
        <v>8</v>
      </c>
      <c r="Q673">
        <v>0</v>
      </c>
      <c r="R673" t="s">
        <v>1777</v>
      </c>
      <c r="S673"/>
      <c r="T673" t="s">
        <v>71</v>
      </c>
      <c r="U673">
        <v>1.24</v>
      </c>
      <c r="V673">
        <v>0</v>
      </c>
      <c r="W673">
        <v>0</v>
      </c>
      <c r="X673">
        <v>0</v>
      </c>
      <c r="Y673">
        <v>0</v>
      </c>
      <c r="Z673" t="s">
        <v>1778</v>
      </c>
      <c r="AA673"/>
    </row>
    <row r="674" spans="1:27" ht="15" x14ac:dyDescent="0.25">
      <c r="A674" t="s">
        <v>9</v>
      </c>
      <c r="B674" t="s">
        <v>1387</v>
      </c>
      <c r="C674"/>
      <c r="D674" t="s">
        <v>667</v>
      </c>
      <c r="E674" t="s">
        <v>1289</v>
      </c>
      <c r="F674" t="s">
        <v>1420</v>
      </c>
      <c r="G674" t="s">
        <v>1421</v>
      </c>
      <c r="H674" t="s">
        <v>13</v>
      </c>
      <c r="I674" s="41">
        <v>70.010000000000005</v>
      </c>
      <c r="J674" s="40">
        <f>I674*(1-IFERROR(VLOOKUP(H674,Rabat!$D$10:$E$41,2,FALSE),0))</f>
        <v>70.010000000000005</v>
      </c>
      <c r="K674">
        <v>0.38</v>
      </c>
      <c r="L674" t="s">
        <v>1789</v>
      </c>
      <c r="M674" t="s">
        <v>2481</v>
      </c>
      <c r="N674" t="s">
        <v>2194</v>
      </c>
      <c r="O674" t="s">
        <v>2109</v>
      </c>
      <c r="P674">
        <v>24</v>
      </c>
      <c r="Q674">
        <v>0</v>
      </c>
      <c r="R674" t="s">
        <v>1777</v>
      </c>
      <c r="S674"/>
      <c r="T674" t="s">
        <v>71</v>
      </c>
      <c r="U674">
        <v>0.45</v>
      </c>
      <c r="V674">
        <v>0</v>
      </c>
      <c r="W674">
        <v>0</v>
      </c>
      <c r="X674">
        <v>0</v>
      </c>
      <c r="Y674">
        <v>0</v>
      </c>
      <c r="Z674" t="s">
        <v>1778</v>
      </c>
      <c r="AA674"/>
    </row>
    <row r="675" spans="1:27" ht="15" x14ac:dyDescent="0.25">
      <c r="A675" t="s">
        <v>9</v>
      </c>
      <c r="B675" t="s">
        <v>1387</v>
      </c>
      <c r="C675"/>
      <c r="D675" t="s">
        <v>667</v>
      </c>
      <c r="E675" t="s">
        <v>1289</v>
      </c>
      <c r="F675" t="s">
        <v>1390</v>
      </c>
      <c r="G675" t="s">
        <v>1391</v>
      </c>
      <c r="H675" t="s">
        <v>13</v>
      </c>
      <c r="I675" s="41">
        <v>126.08</v>
      </c>
      <c r="J675" s="40">
        <f>I675*(1-IFERROR(VLOOKUP(H675,Rabat!$D$10:$E$41,2,FALSE),0))</f>
        <v>126.08</v>
      </c>
      <c r="K675">
        <v>0.8</v>
      </c>
      <c r="L675" t="s">
        <v>1789</v>
      </c>
      <c r="M675" t="s">
        <v>2482</v>
      </c>
      <c r="N675" t="s">
        <v>2194</v>
      </c>
      <c r="O675" t="s">
        <v>2109</v>
      </c>
      <c r="P675">
        <v>24</v>
      </c>
      <c r="Q675">
        <v>0</v>
      </c>
      <c r="R675" t="s">
        <v>1777</v>
      </c>
      <c r="S675"/>
      <c r="T675" t="s">
        <v>71</v>
      </c>
      <c r="U675">
        <v>0.95</v>
      </c>
      <c r="V675">
        <v>0</v>
      </c>
      <c r="W675">
        <v>0</v>
      </c>
      <c r="X675">
        <v>0</v>
      </c>
      <c r="Y675">
        <v>0</v>
      </c>
      <c r="Z675" t="s">
        <v>1778</v>
      </c>
      <c r="AA675"/>
    </row>
    <row r="676" spans="1:27" ht="15" x14ac:dyDescent="0.25">
      <c r="A676" t="s">
        <v>9</v>
      </c>
      <c r="B676" t="s">
        <v>1387</v>
      </c>
      <c r="C676"/>
      <c r="D676" t="s">
        <v>667</v>
      </c>
      <c r="E676" t="s">
        <v>1289</v>
      </c>
      <c r="F676" t="s">
        <v>1743</v>
      </c>
      <c r="G676" t="s">
        <v>1744</v>
      </c>
      <c r="H676" t="s">
        <v>13</v>
      </c>
      <c r="I676" s="41">
        <v>58.4</v>
      </c>
      <c r="J676" s="40">
        <f>I676*(1-IFERROR(VLOOKUP(H676,Rabat!$D$10:$E$41,2,FALSE),0))</f>
        <v>58.4</v>
      </c>
      <c r="K676">
        <v>0.32</v>
      </c>
      <c r="L676" t="s">
        <v>1789</v>
      </c>
      <c r="M676" t="s">
        <v>2483</v>
      </c>
      <c r="N676" t="s">
        <v>2194</v>
      </c>
      <c r="O676" t="s">
        <v>2109</v>
      </c>
      <c r="P676">
        <v>6</v>
      </c>
      <c r="Q676">
        <v>0</v>
      </c>
      <c r="R676" t="s">
        <v>1777</v>
      </c>
      <c r="S676"/>
      <c r="T676" t="s">
        <v>71</v>
      </c>
      <c r="U676">
        <v>0.38</v>
      </c>
      <c r="V676">
        <v>0</v>
      </c>
      <c r="W676">
        <v>0</v>
      </c>
      <c r="X676">
        <v>0</v>
      </c>
      <c r="Y676">
        <v>0</v>
      </c>
      <c r="Z676" t="s">
        <v>1778</v>
      </c>
      <c r="AA676"/>
    </row>
    <row r="677" spans="1:27" ht="15" x14ac:dyDescent="0.25">
      <c r="A677" t="s">
        <v>9</v>
      </c>
      <c r="B677" t="s">
        <v>1387</v>
      </c>
      <c r="C677"/>
      <c r="D677" t="s">
        <v>667</v>
      </c>
      <c r="E677" t="s">
        <v>1289</v>
      </c>
      <c r="F677" t="s">
        <v>1745</v>
      </c>
      <c r="G677" t="s">
        <v>1746</v>
      </c>
      <c r="H677" t="s">
        <v>13</v>
      </c>
      <c r="I677" s="41">
        <v>58.4</v>
      </c>
      <c r="J677" s="40">
        <f>I677*(1-IFERROR(VLOOKUP(H677,Rabat!$D$10:$E$41,2,FALSE),0))</f>
        <v>58.4</v>
      </c>
      <c r="K677">
        <v>0.34</v>
      </c>
      <c r="L677" t="s">
        <v>1789</v>
      </c>
      <c r="M677" t="s">
        <v>2484</v>
      </c>
      <c r="N677" t="s">
        <v>2194</v>
      </c>
      <c r="O677" t="s">
        <v>2109</v>
      </c>
      <c r="P677">
        <v>6</v>
      </c>
      <c r="Q677">
        <v>0</v>
      </c>
      <c r="R677" t="s">
        <v>1777</v>
      </c>
      <c r="S677"/>
      <c r="T677" t="s">
        <v>71</v>
      </c>
      <c r="U677">
        <v>0.4</v>
      </c>
      <c r="V677">
        <v>0</v>
      </c>
      <c r="W677">
        <v>0</v>
      </c>
      <c r="X677">
        <v>0</v>
      </c>
      <c r="Y677">
        <v>0</v>
      </c>
      <c r="Z677" t="s">
        <v>1778</v>
      </c>
      <c r="AA677"/>
    </row>
    <row r="678" spans="1:27" ht="15" x14ac:dyDescent="0.25">
      <c r="A678" t="s">
        <v>9</v>
      </c>
      <c r="B678" t="s">
        <v>1387</v>
      </c>
      <c r="C678"/>
      <c r="D678" t="s">
        <v>667</v>
      </c>
      <c r="E678" t="s">
        <v>1289</v>
      </c>
      <c r="F678" t="s">
        <v>1406</v>
      </c>
      <c r="G678" t="s">
        <v>1407</v>
      </c>
      <c r="H678" t="s">
        <v>13</v>
      </c>
      <c r="I678" s="41">
        <v>95.61</v>
      </c>
      <c r="J678" s="40">
        <f>I678*(1-IFERROR(VLOOKUP(H678,Rabat!$D$10:$E$41,2,FALSE),0))</f>
        <v>95.61</v>
      </c>
      <c r="K678">
        <v>0.36</v>
      </c>
      <c r="L678" t="s">
        <v>1789</v>
      </c>
      <c r="M678" t="s">
        <v>2485</v>
      </c>
      <c r="N678" t="s">
        <v>2194</v>
      </c>
      <c r="O678" t="s">
        <v>1776</v>
      </c>
      <c r="P678">
        <v>20</v>
      </c>
      <c r="Q678">
        <v>0</v>
      </c>
      <c r="R678" t="s">
        <v>1777</v>
      </c>
      <c r="S678" s="42" t="str">
        <f>HYPERLINK("https://sklep.kobi.pl/produkt/solar-led-glow-6000k-led2b")</f>
        <v>https://sklep.kobi.pl/produkt/solar-led-glow-6000k-led2b</v>
      </c>
      <c r="T678" t="s">
        <v>71</v>
      </c>
      <c r="U678">
        <v>0.43</v>
      </c>
      <c r="V678">
        <v>0</v>
      </c>
      <c r="W678">
        <v>0</v>
      </c>
      <c r="X678">
        <v>0</v>
      </c>
      <c r="Y678">
        <v>0</v>
      </c>
      <c r="Z678" t="s">
        <v>1778</v>
      </c>
      <c r="AA678"/>
    </row>
    <row r="679" spans="1:27" ht="15" x14ac:dyDescent="0.25">
      <c r="A679" t="s">
        <v>9</v>
      </c>
      <c r="B679" t="s">
        <v>1387</v>
      </c>
      <c r="C679"/>
      <c r="D679" t="s">
        <v>667</v>
      </c>
      <c r="E679" t="s">
        <v>1289</v>
      </c>
      <c r="F679" t="s">
        <v>1410</v>
      </c>
      <c r="G679" t="s">
        <v>1411</v>
      </c>
      <c r="H679" t="s">
        <v>13</v>
      </c>
      <c r="I679" s="41">
        <v>35.51</v>
      </c>
      <c r="J679" s="40">
        <f>I679*(1-IFERROR(VLOOKUP(H679,Rabat!$D$10:$E$41,2,FALSE),0))</f>
        <v>35.51</v>
      </c>
      <c r="K679">
        <v>0.06</v>
      </c>
      <c r="L679" t="s">
        <v>1789</v>
      </c>
      <c r="M679" t="s">
        <v>2486</v>
      </c>
      <c r="N679" t="s">
        <v>2194</v>
      </c>
      <c r="O679" t="s">
        <v>1776</v>
      </c>
      <c r="P679">
        <v>12</v>
      </c>
      <c r="Q679">
        <v>0</v>
      </c>
      <c r="R679" t="s">
        <v>1777</v>
      </c>
      <c r="S679"/>
      <c r="T679" t="s">
        <v>71</v>
      </c>
      <c r="U679">
        <v>7.0000000000000007E-2</v>
      </c>
      <c r="V679">
        <v>0</v>
      </c>
      <c r="W679">
        <v>0</v>
      </c>
      <c r="X679">
        <v>0</v>
      </c>
      <c r="Y679">
        <v>0</v>
      </c>
      <c r="Z679" t="s">
        <v>1778</v>
      </c>
      <c r="AA679"/>
    </row>
    <row r="680" spans="1:27" ht="15" x14ac:dyDescent="0.25">
      <c r="A680" t="s">
        <v>9</v>
      </c>
      <c r="B680" t="s">
        <v>1387</v>
      </c>
      <c r="C680"/>
      <c r="D680" t="s">
        <v>667</v>
      </c>
      <c r="E680" t="s">
        <v>1289</v>
      </c>
      <c r="F680" t="s">
        <v>1416</v>
      </c>
      <c r="G680" t="s">
        <v>1417</v>
      </c>
      <c r="H680" t="s">
        <v>13</v>
      </c>
      <c r="I680" s="41">
        <v>92.69</v>
      </c>
      <c r="J680" s="40">
        <f>I680*(1-IFERROR(VLOOKUP(H680,Rabat!$D$10:$E$41,2,FALSE),0))</f>
        <v>92.69</v>
      </c>
      <c r="K680">
        <v>0.2</v>
      </c>
      <c r="L680" t="s">
        <v>1789</v>
      </c>
      <c r="M680" t="s">
        <v>2487</v>
      </c>
      <c r="N680" t="s">
        <v>2194</v>
      </c>
      <c r="O680" t="s">
        <v>1776</v>
      </c>
      <c r="P680">
        <v>12</v>
      </c>
      <c r="Q680">
        <v>0</v>
      </c>
      <c r="R680" t="s">
        <v>1777</v>
      </c>
      <c r="S680" s="42" t="str">
        <f>HYPERLINK("https://sklep.kobi.pl/produkt/solar-led-lance-6000k-led2b")</f>
        <v>https://sklep.kobi.pl/produkt/solar-led-lance-6000k-led2b</v>
      </c>
      <c r="T680" t="s">
        <v>71</v>
      </c>
      <c r="U680">
        <v>0.24</v>
      </c>
      <c r="V680">
        <v>0</v>
      </c>
      <c r="W680">
        <v>0</v>
      </c>
      <c r="X680">
        <v>0</v>
      </c>
      <c r="Y680">
        <v>0</v>
      </c>
      <c r="Z680" t="s">
        <v>1778</v>
      </c>
      <c r="AA680"/>
    </row>
    <row r="681" spans="1:27" ht="15" x14ac:dyDescent="0.25">
      <c r="A681" t="s">
        <v>9</v>
      </c>
      <c r="B681" t="s">
        <v>1387</v>
      </c>
      <c r="C681"/>
      <c r="D681" t="s">
        <v>667</v>
      </c>
      <c r="E681" t="s">
        <v>1289</v>
      </c>
      <c r="F681" t="s">
        <v>1404</v>
      </c>
      <c r="G681" t="s">
        <v>1405</v>
      </c>
      <c r="H681" t="s">
        <v>13</v>
      </c>
      <c r="I681" s="41">
        <v>35.72</v>
      </c>
      <c r="J681" s="40">
        <f>I681*(1-IFERROR(VLOOKUP(H681,Rabat!$D$10:$E$41,2,FALSE),0))</f>
        <v>35.72</v>
      </c>
      <c r="K681">
        <v>0.1</v>
      </c>
      <c r="L681" t="s">
        <v>1789</v>
      </c>
      <c r="M681" t="s">
        <v>2488</v>
      </c>
      <c r="N681" t="s">
        <v>2194</v>
      </c>
      <c r="O681" t="s">
        <v>1776</v>
      </c>
      <c r="P681">
        <v>80</v>
      </c>
      <c r="Q681">
        <v>0</v>
      </c>
      <c r="R681" t="s">
        <v>1777</v>
      </c>
      <c r="S681" s="42" t="str">
        <f>HYPERLINK("https://sklep.kobi.pl/produkt/solar-led-lumina-6500k-led2b")</f>
        <v>https://sklep.kobi.pl/produkt/solar-led-lumina-6500k-led2b</v>
      </c>
      <c r="T681" t="s">
        <v>71</v>
      </c>
      <c r="U681">
        <v>0.12</v>
      </c>
      <c r="V681">
        <v>0</v>
      </c>
      <c r="W681">
        <v>0</v>
      </c>
      <c r="X681">
        <v>0</v>
      </c>
      <c r="Y681">
        <v>0</v>
      </c>
      <c r="Z681" t="s">
        <v>1778</v>
      </c>
      <c r="AA681"/>
    </row>
    <row r="682" spans="1:27" ht="15" x14ac:dyDescent="0.25">
      <c r="A682" t="s">
        <v>9</v>
      </c>
      <c r="B682" t="s">
        <v>1387</v>
      </c>
      <c r="C682"/>
      <c r="D682" t="s">
        <v>667</v>
      </c>
      <c r="E682" t="s">
        <v>1289</v>
      </c>
      <c r="F682" t="s">
        <v>1388</v>
      </c>
      <c r="G682" t="s">
        <v>1389</v>
      </c>
      <c r="H682" t="s">
        <v>13</v>
      </c>
      <c r="I682" s="41">
        <v>67.680000000000007</v>
      </c>
      <c r="J682" s="40">
        <f>I682*(1-IFERROR(VLOOKUP(H682,Rabat!$D$10:$E$41,2,FALSE),0))</f>
        <v>67.680000000000007</v>
      </c>
      <c r="K682">
        <v>0.24</v>
      </c>
      <c r="L682" t="s">
        <v>1789</v>
      </c>
      <c r="M682" t="s">
        <v>2489</v>
      </c>
      <c r="N682" t="s">
        <v>2194</v>
      </c>
      <c r="O682" t="s">
        <v>2109</v>
      </c>
      <c r="P682">
        <v>30</v>
      </c>
      <c r="Q682">
        <v>0</v>
      </c>
      <c r="R682" t="s">
        <v>1777</v>
      </c>
      <c r="S682"/>
      <c r="T682" t="s">
        <v>71</v>
      </c>
      <c r="U682">
        <v>0.28000000000000003</v>
      </c>
      <c r="V682">
        <v>0</v>
      </c>
      <c r="W682">
        <v>0</v>
      </c>
      <c r="X682">
        <v>0</v>
      </c>
      <c r="Y682">
        <v>0</v>
      </c>
      <c r="Z682" t="s">
        <v>1778</v>
      </c>
      <c r="AA682"/>
    </row>
    <row r="683" spans="1:27" ht="15" x14ac:dyDescent="0.25">
      <c r="A683" t="s">
        <v>9</v>
      </c>
      <c r="B683" t="s">
        <v>1387</v>
      </c>
      <c r="C683"/>
      <c r="D683" t="s">
        <v>667</v>
      </c>
      <c r="E683" t="s">
        <v>1289</v>
      </c>
      <c r="F683" t="s">
        <v>1408</v>
      </c>
      <c r="G683" t="s">
        <v>1409</v>
      </c>
      <c r="H683" t="s">
        <v>13</v>
      </c>
      <c r="I683" s="41">
        <v>70.010000000000005</v>
      </c>
      <c r="J683" s="40">
        <f>I683*(1-IFERROR(VLOOKUP(H683,Rabat!$D$10:$E$41,2,FALSE),0))</f>
        <v>70.010000000000005</v>
      </c>
      <c r="K683">
        <v>0.3</v>
      </c>
      <c r="L683" t="s">
        <v>1789</v>
      </c>
      <c r="M683" t="s">
        <v>2490</v>
      </c>
      <c r="N683" t="s">
        <v>2194</v>
      </c>
      <c r="O683" t="s">
        <v>1776</v>
      </c>
      <c r="P683">
        <v>60</v>
      </c>
      <c r="Q683">
        <v>0</v>
      </c>
      <c r="R683" t="s">
        <v>1777</v>
      </c>
      <c r="S683" s="42" t="str">
        <f>HYPERLINK("https://sklep.kobi.pl/produkt/solar-led-prism-6000k-led2b")</f>
        <v>https://sklep.kobi.pl/produkt/solar-led-prism-6000k-led2b</v>
      </c>
      <c r="T683" t="s">
        <v>71</v>
      </c>
      <c r="U683">
        <v>0.35</v>
      </c>
      <c r="V683">
        <v>0</v>
      </c>
      <c r="W683">
        <v>0</v>
      </c>
      <c r="X683">
        <v>0</v>
      </c>
      <c r="Y683">
        <v>0</v>
      </c>
      <c r="Z683" t="s">
        <v>1778</v>
      </c>
      <c r="AA683"/>
    </row>
    <row r="684" spans="1:27" ht="15" x14ac:dyDescent="0.25">
      <c r="A684" t="s">
        <v>9</v>
      </c>
      <c r="B684" t="s">
        <v>1387</v>
      </c>
      <c r="C684"/>
      <c r="D684" t="s">
        <v>667</v>
      </c>
      <c r="E684" t="s">
        <v>1289</v>
      </c>
      <c r="F684" t="s">
        <v>1757</v>
      </c>
      <c r="G684" t="s">
        <v>1758</v>
      </c>
      <c r="H684" t="s">
        <v>13</v>
      </c>
      <c r="I684" s="41">
        <v>61.33</v>
      </c>
      <c r="J684" s="40">
        <f>I684*(1-IFERROR(VLOOKUP(H684,Rabat!$D$10:$E$41,2,FALSE),0))</f>
        <v>61.33</v>
      </c>
      <c r="K684">
        <v>0.33</v>
      </c>
      <c r="L684" t="s">
        <v>1789</v>
      </c>
      <c r="M684" t="s">
        <v>2491</v>
      </c>
      <c r="N684" t="s">
        <v>2194</v>
      </c>
      <c r="O684" t="s">
        <v>1776</v>
      </c>
      <c r="P684">
        <v>6</v>
      </c>
      <c r="Q684">
        <v>0</v>
      </c>
      <c r="R684" t="s">
        <v>1777</v>
      </c>
      <c r="S684"/>
      <c r="T684" t="s">
        <v>71</v>
      </c>
      <c r="U684">
        <v>0.39</v>
      </c>
      <c r="V684">
        <v>0</v>
      </c>
      <c r="W684">
        <v>0</v>
      </c>
      <c r="X684">
        <v>0</v>
      </c>
      <c r="Y684">
        <v>0</v>
      </c>
      <c r="Z684" t="s">
        <v>1778</v>
      </c>
      <c r="AA684"/>
    </row>
    <row r="685" spans="1:27" ht="15" x14ac:dyDescent="0.25">
      <c r="A685" t="s">
        <v>9</v>
      </c>
      <c r="B685" t="s">
        <v>1387</v>
      </c>
      <c r="C685"/>
      <c r="D685" t="s">
        <v>667</v>
      </c>
      <c r="E685" t="s">
        <v>1289</v>
      </c>
      <c r="F685" t="s">
        <v>1755</v>
      </c>
      <c r="G685" t="s">
        <v>1756</v>
      </c>
      <c r="H685" t="s">
        <v>13</v>
      </c>
      <c r="I685" s="41">
        <v>99.21</v>
      </c>
      <c r="J685" s="40">
        <f>I685*(1-IFERROR(VLOOKUP(H685,Rabat!$D$10:$E$41,2,FALSE),0))</f>
        <v>99.21</v>
      </c>
      <c r="K685">
        <v>0.63</v>
      </c>
      <c r="L685" t="s">
        <v>1789</v>
      </c>
      <c r="M685" t="s">
        <v>2492</v>
      </c>
      <c r="N685" t="s">
        <v>2194</v>
      </c>
      <c r="O685" t="s">
        <v>2109</v>
      </c>
      <c r="P685">
        <v>3</v>
      </c>
      <c r="Q685">
        <v>0</v>
      </c>
      <c r="R685" t="s">
        <v>1777</v>
      </c>
      <c r="S685"/>
      <c r="T685" t="s">
        <v>71</v>
      </c>
      <c r="U685">
        <v>0.75</v>
      </c>
      <c r="V685">
        <v>0</v>
      </c>
      <c r="W685">
        <v>0</v>
      </c>
      <c r="X685">
        <v>0</v>
      </c>
      <c r="Y685">
        <v>0</v>
      </c>
      <c r="Z685" t="s">
        <v>1778</v>
      </c>
      <c r="AA685"/>
    </row>
    <row r="686" spans="1:27" ht="15" x14ac:dyDescent="0.25">
      <c r="A686" t="s">
        <v>9</v>
      </c>
      <c r="B686" t="s">
        <v>1387</v>
      </c>
      <c r="C686"/>
      <c r="D686" t="s">
        <v>667</v>
      </c>
      <c r="E686" t="s">
        <v>1289</v>
      </c>
      <c r="F686" t="s">
        <v>1759</v>
      </c>
      <c r="G686" t="s">
        <v>1760</v>
      </c>
      <c r="H686" t="s">
        <v>13</v>
      </c>
      <c r="I686" s="41">
        <v>106.58</v>
      </c>
      <c r="J686" s="40">
        <f>I686*(1-IFERROR(VLOOKUP(H686,Rabat!$D$10:$E$41,2,FALSE),0))</f>
        <v>106.58</v>
      </c>
      <c r="K686">
        <v>0.35</v>
      </c>
      <c r="L686" t="s">
        <v>1789</v>
      </c>
      <c r="M686" t="s">
        <v>2493</v>
      </c>
      <c r="N686" t="s">
        <v>2194</v>
      </c>
      <c r="O686" t="s">
        <v>1776</v>
      </c>
      <c r="P686">
        <v>24</v>
      </c>
      <c r="Q686">
        <v>0</v>
      </c>
      <c r="R686" t="s">
        <v>1777</v>
      </c>
      <c r="S686"/>
      <c r="T686" t="s">
        <v>71</v>
      </c>
      <c r="U686">
        <v>0.41</v>
      </c>
      <c r="V686">
        <v>0</v>
      </c>
      <c r="W686">
        <v>0</v>
      </c>
      <c r="X686">
        <v>0</v>
      </c>
      <c r="Y686">
        <v>0</v>
      </c>
      <c r="Z686" t="s">
        <v>1778</v>
      </c>
      <c r="AA686"/>
    </row>
    <row r="687" spans="1:27" ht="15" x14ac:dyDescent="0.25">
      <c r="A687" t="s">
        <v>9</v>
      </c>
      <c r="B687" t="s">
        <v>1387</v>
      </c>
      <c r="C687"/>
      <c r="D687" t="s">
        <v>667</v>
      </c>
      <c r="E687" t="s">
        <v>1289</v>
      </c>
      <c r="F687" t="s">
        <v>1392</v>
      </c>
      <c r="G687" t="s">
        <v>1393</v>
      </c>
      <c r="H687" t="s">
        <v>13</v>
      </c>
      <c r="I687" s="41">
        <v>43.72</v>
      </c>
      <c r="J687" s="40">
        <f>I687*(1-IFERROR(VLOOKUP(H687,Rabat!$D$10:$E$41,2,FALSE),0))</f>
        <v>43.72</v>
      </c>
      <c r="K687">
        <v>0.2</v>
      </c>
      <c r="L687" t="s">
        <v>1789</v>
      </c>
      <c r="M687" t="s">
        <v>2494</v>
      </c>
      <c r="N687" t="s">
        <v>2194</v>
      </c>
      <c r="O687" t="s">
        <v>1776</v>
      </c>
      <c r="P687">
        <v>40</v>
      </c>
      <c r="Q687">
        <v>0</v>
      </c>
      <c r="R687" t="s">
        <v>1777</v>
      </c>
      <c r="S687" s="42" t="str">
        <f>HYPERLINK("https://sklep.kobi.pl/produkt/solar-10-led-starlight-6000k-led2b")</f>
        <v>https://sklep.kobi.pl/produkt/solar-10-led-starlight-6000k-led2b</v>
      </c>
      <c r="T687" t="s">
        <v>71</v>
      </c>
      <c r="U687">
        <v>0.24</v>
      </c>
      <c r="V687">
        <v>0</v>
      </c>
      <c r="W687">
        <v>0</v>
      </c>
      <c r="X687">
        <v>0</v>
      </c>
      <c r="Y687">
        <v>0</v>
      </c>
      <c r="Z687" t="s">
        <v>1778</v>
      </c>
      <c r="AA687"/>
    </row>
    <row r="688" spans="1:27" ht="15" x14ac:dyDescent="0.25">
      <c r="A688" t="s">
        <v>9</v>
      </c>
      <c r="B688" t="s">
        <v>1387</v>
      </c>
      <c r="C688"/>
      <c r="D688" t="s">
        <v>667</v>
      </c>
      <c r="E688" t="s">
        <v>1289</v>
      </c>
      <c r="F688" t="s">
        <v>1394</v>
      </c>
      <c r="G688" t="s">
        <v>1395</v>
      </c>
      <c r="H688" t="s">
        <v>13</v>
      </c>
      <c r="I688" s="41">
        <v>58.4</v>
      </c>
      <c r="J688" s="40">
        <f>I688*(1-IFERROR(VLOOKUP(H688,Rabat!$D$10:$E$41,2,FALSE),0))</f>
        <v>58.4</v>
      </c>
      <c r="K688">
        <v>0.34</v>
      </c>
      <c r="L688" t="s">
        <v>1789</v>
      </c>
      <c r="M688" t="s">
        <v>2495</v>
      </c>
      <c r="N688" t="s">
        <v>2194</v>
      </c>
      <c r="O688" t="s">
        <v>1776</v>
      </c>
      <c r="P688">
        <v>20</v>
      </c>
      <c r="Q688">
        <v>0</v>
      </c>
      <c r="R688" t="s">
        <v>1777</v>
      </c>
      <c r="S688" s="42" t="str">
        <f>HYPERLINK("https://sklep.kobi.pl/produkt/solar-20-led-starlight-3000k-led2b")</f>
        <v>https://sklep.kobi.pl/produkt/solar-20-led-starlight-3000k-led2b</v>
      </c>
      <c r="T688" t="s">
        <v>71</v>
      </c>
      <c r="U688">
        <v>0.4</v>
      </c>
      <c r="V688">
        <v>0.51</v>
      </c>
      <c r="W688">
        <v>0</v>
      </c>
      <c r="X688">
        <v>0</v>
      </c>
      <c r="Y688">
        <v>0</v>
      </c>
      <c r="Z688" t="s">
        <v>1778</v>
      </c>
      <c r="AA688"/>
    </row>
    <row r="689" spans="1:27" ht="15" x14ac:dyDescent="0.25">
      <c r="A689" t="s">
        <v>9</v>
      </c>
      <c r="B689" t="s">
        <v>1387</v>
      </c>
      <c r="C689"/>
      <c r="D689" t="s">
        <v>667</v>
      </c>
      <c r="E689" t="s">
        <v>1289</v>
      </c>
      <c r="F689" t="s">
        <v>1396</v>
      </c>
      <c r="G689" t="s">
        <v>1397</v>
      </c>
      <c r="H689" t="s">
        <v>13</v>
      </c>
      <c r="I689" s="41">
        <v>67.040000000000006</v>
      </c>
      <c r="J689" s="40">
        <f>I689*(1-IFERROR(VLOOKUP(H689,Rabat!$D$10:$E$41,2,FALSE),0))</f>
        <v>67.040000000000006</v>
      </c>
      <c r="K689">
        <v>0.46</v>
      </c>
      <c r="L689" t="s">
        <v>1789</v>
      </c>
      <c r="M689" t="s">
        <v>2496</v>
      </c>
      <c r="N689" t="s">
        <v>2194</v>
      </c>
      <c r="O689" t="s">
        <v>1776</v>
      </c>
      <c r="P689">
        <v>20</v>
      </c>
      <c r="Q689">
        <v>0</v>
      </c>
      <c r="R689" t="s">
        <v>1777</v>
      </c>
      <c r="S689" s="42" t="str">
        <f>HYPERLINK("https://sklep.kobi.pl/produkt/solar-30-led-starlight-3000k-led2b")</f>
        <v>https://sklep.kobi.pl/produkt/solar-30-led-starlight-3000k-led2b</v>
      </c>
      <c r="T689" t="s">
        <v>71</v>
      </c>
      <c r="U689">
        <v>0.55000000000000004</v>
      </c>
      <c r="V689">
        <v>0</v>
      </c>
      <c r="W689">
        <v>0</v>
      </c>
      <c r="X689">
        <v>0</v>
      </c>
      <c r="Y689">
        <v>0</v>
      </c>
      <c r="Z689" t="s">
        <v>1778</v>
      </c>
      <c r="AA689"/>
    </row>
    <row r="690" spans="1:27" ht="15" x14ac:dyDescent="0.25">
      <c r="A690" t="s">
        <v>9</v>
      </c>
      <c r="B690" t="s">
        <v>1387</v>
      </c>
      <c r="C690"/>
      <c r="D690" t="s">
        <v>667</v>
      </c>
      <c r="E690" t="s">
        <v>1289</v>
      </c>
      <c r="F690" t="s">
        <v>1400</v>
      </c>
      <c r="G690" t="s">
        <v>1401</v>
      </c>
      <c r="H690" t="s">
        <v>13</v>
      </c>
      <c r="I690" s="41">
        <v>65.56</v>
      </c>
      <c r="J690" s="40">
        <f>I690*(1-IFERROR(VLOOKUP(H690,Rabat!$D$10:$E$41,2,FALSE),0))</f>
        <v>65.56</v>
      </c>
      <c r="K690">
        <v>0.13</v>
      </c>
      <c r="L690" t="s">
        <v>1789</v>
      </c>
      <c r="M690" t="s">
        <v>2497</v>
      </c>
      <c r="N690" t="s">
        <v>2194</v>
      </c>
      <c r="O690" t="s">
        <v>1776</v>
      </c>
      <c r="P690">
        <v>24</v>
      </c>
      <c r="Q690">
        <v>0</v>
      </c>
      <c r="R690" t="s">
        <v>1777</v>
      </c>
      <c r="S690" s="42" t="str">
        <f>HYPERLINK("https://sklep.kobi.pl/produkt/solar-300-led-spark-3000k-led2b")</f>
        <v>https://sklep.kobi.pl/produkt/solar-300-led-spark-3000k-led2b</v>
      </c>
      <c r="T690" t="s">
        <v>71</v>
      </c>
      <c r="U690">
        <v>0.15</v>
      </c>
      <c r="V690">
        <v>0</v>
      </c>
      <c r="W690">
        <v>0</v>
      </c>
      <c r="X690">
        <v>0</v>
      </c>
      <c r="Y690">
        <v>0</v>
      </c>
      <c r="Z690" t="s">
        <v>1778</v>
      </c>
      <c r="AA690"/>
    </row>
    <row r="691" spans="1:27" ht="15" x14ac:dyDescent="0.25">
      <c r="A691" t="s">
        <v>9</v>
      </c>
      <c r="B691" t="s">
        <v>1387</v>
      </c>
      <c r="C691"/>
      <c r="D691" t="s">
        <v>667</v>
      </c>
      <c r="E691" t="s">
        <v>1289</v>
      </c>
      <c r="F691" t="s">
        <v>1414</v>
      </c>
      <c r="G691" t="s">
        <v>1415</v>
      </c>
      <c r="H691" t="s">
        <v>13</v>
      </c>
      <c r="I691" s="41">
        <v>423.92</v>
      </c>
      <c r="J691" s="40">
        <f>I691*(1-IFERROR(VLOOKUP(H691,Rabat!$D$10:$E$41,2,FALSE),0))</f>
        <v>423.92</v>
      </c>
      <c r="K691">
        <v>1.39</v>
      </c>
      <c r="L691" t="s">
        <v>1789</v>
      </c>
      <c r="M691" t="s">
        <v>2498</v>
      </c>
      <c r="N691" t="s">
        <v>2194</v>
      </c>
      <c r="O691" t="s">
        <v>2109</v>
      </c>
      <c r="P691">
        <v>6</v>
      </c>
      <c r="Q691">
        <v>0</v>
      </c>
      <c r="R691" t="s">
        <v>1777</v>
      </c>
      <c r="S691"/>
      <c r="T691" t="s">
        <v>71</v>
      </c>
      <c r="U691">
        <v>1.64</v>
      </c>
      <c r="V691">
        <v>0</v>
      </c>
      <c r="W691">
        <v>0</v>
      </c>
      <c r="X691">
        <v>0</v>
      </c>
      <c r="Y691">
        <v>0</v>
      </c>
      <c r="Z691" t="s">
        <v>1778</v>
      </c>
      <c r="AA691"/>
    </row>
    <row r="692" spans="1:27" ht="15" x14ac:dyDescent="0.25">
      <c r="A692" t="s">
        <v>9</v>
      </c>
      <c r="B692" t="s">
        <v>1387</v>
      </c>
      <c r="C692"/>
      <c r="D692" t="s">
        <v>667</v>
      </c>
      <c r="E692" t="s">
        <v>1289</v>
      </c>
      <c r="F692" t="s">
        <v>1412</v>
      </c>
      <c r="G692" t="s">
        <v>1413</v>
      </c>
      <c r="H692" t="s">
        <v>13</v>
      </c>
      <c r="I692" s="41">
        <v>105.09</v>
      </c>
      <c r="J692" s="40">
        <f>I692*(1-IFERROR(VLOOKUP(H692,Rabat!$D$10:$E$41,2,FALSE),0))</f>
        <v>105.09</v>
      </c>
      <c r="K692">
        <v>0.39</v>
      </c>
      <c r="L692" t="s">
        <v>1789</v>
      </c>
      <c r="M692" t="s">
        <v>2499</v>
      </c>
      <c r="N692" t="s">
        <v>2194</v>
      </c>
      <c r="O692" t="s">
        <v>1776</v>
      </c>
      <c r="P692">
        <v>36</v>
      </c>
      <c r="Q692">
        <v>0</v>
      </c>
      <c r="R692" t="s">
        <v>1777</v>
      </c>
      <c r="S692" s="42" t="str">
        <f>HYPERLINK("https://sklep.kobi.pl/produkt/solar-led-sway-6000k-led2b")</f>
        <v>https://sklep.kobi.pl/produkt/solar-led-sway-6000k-led2b</v>
      </c>
      <c r="T692" t="s">
        <v>71</v>
      </c>
      <c r="U692">
        <v>0.46</v>
      </c>
      <c r="V692">
        <v>0</v>
      </c>
      <c r="W692">
        <v>0</v>
      </c>
      <c r="X692">
        <v>0</v>
      </c>
      <c r="Y692">
        <v>0</v>
      </c>
      <c r="Z692" t="s">
        <v>1778</v>
      </c>
      <c r="AA692"/>
    </row>
    <row r="693" spans="1:27" ht="15" x14ac:dyDescent="0.25">
      <c r="A693" t="s">
        <v>5</v>
      </c>
      <c r="B693" t="s">
        <v>61</v>
      </c>
      <c r="C693"/>
      <c r="D693" t="s">
        <v>741</v>
      </c>
      <c r="E693" t="s">
        <v>149</v>
      </c>
      <c r="F693" t="s">
        <v>808</v>
      </c>
      <c r="G693" t="s">
        <v>809</v>
      </c>
      <c r="H693" t="s">
        <v>6</v>
      </c>
      <c r="I693" s="41">
        <v>331.88</v>
      </c>
      <c r="J693" s="40">
        <f>I693*(1-IFERROR(VLOOKUP(H693,Rabat!$D$10:$E$41,2,FALSE),0))</f>
        <v>331.88</v>
      </c>
      <c r="K693">
        <v>1.77</v>
      </c>
      <c r="L693" t="s">
        <v>1779</v>
      </c>
      <c r="M693" t="s">
        <v>2500</v>
      </c>
      <c r="N693" t="s">
        <v>2023</v>
      </c>
      <c r="O693" t="s">
        <v>1776</v>
      </c>
      <c r="P693">
        <v>5</v>
      </c>
      <c r="Q693">
        <v>0</v>
      </c>
      <c r="R693" t="s">
        <v>1955</v>
      </c>
      <c r="S693" s="42" t="str">
        <f>HYPERLINK("https://sklep.kobi.pl/produkt/led-ariel-40w-4400lm-4000k-ip44")</f>
        <v>https://sklep.kobi.pl/produkt/led-ariel-40w-4400lm-4000k-ip44</v>
      </c>
      <c r="T693" s="42" t="str">
        <f>HYPERLINK("https://eprel.ec.europa.eu/qr/941060         ")</f>
        <v xml:space="preserve">https://eprel.ec.europa.eu/qr/941060         </v>
      </c>
      <c r="U693">
        <v>2.1</v>
      </c>
      <c r="V693"/>
      <c r="W693"/>
      <c r="X693"/>
      <c r="Y693"/>
      <c r="Z693" t="s">
        <v>1778</v>
      </c>
      <c r="AA693"/>
    </row>
    <row r="694" spans="1:27" ht="15" x14ac:dyDescent="0.25">
      <c r="A694" t="s">
        <v>5</v>
      </c>
      <c r="B694" t="s">
        <v>64</v>
      </c>
      <c r="C694"/>
      <c r="D694" t="s">
        <v>59</v>
      </c>
      <c r="E694" t="s">
        <v>71</v>
      </c>
      <c r="F694" t="s">
        <v>906</v>
      </c>
      <c r="G694" t="s">
        <v>907</v>
      </c>
      <c r="H694" t="s">
        <v>59</v>
      </c>
      <c r="I694" s="41">
        <v>211</v>
      </c>
      <c r="J694" s="40">
        <f>I694*(1-IFERROR(VLOOKUP(H694,Rabat!$D$10:$E$41,2,FALSE),0))</f>
        <v>211</v>
      </c>
      <c r="K694">
        <v>0</v>
      </c>
      <c r="L694" t="s">
        <v>1789</v>
      </c>
      <c r="M694" t="s">
        <v>2501</v>
      </c>
      <c r="N694" t="s">
        <v>2502</v>
      </c>
      <c r="O694" t="s">
        <v>1776</v>
      </c>
      <c r="P694">
        <v>1</v>
      </c>
      <c r="Q694">
        <v>0</v>
      </c>
      <c r="R694" t="s">
        <v>1955</v>
      </c>
      <c r="S694" s="42" t="str">
        <f>HYPERLINK("https://sklep.kobi.pl/produkt/szyna-3-fazowa-2m-biala-do-nextrack-nt-pl")</f>
        <v>https://sklep.kobi.pl/produkt/szyna-3-fazowa-2m-biala-do-nextrack-nt-pl</v>
      </c>
      <c r="T694" t="s">
        <v>71</v>
      </c>
      <c r="U694">
        <v>1.54</v>
      </c>
      <c r="V694"/>
      <c r="W694">
        <v>2000</v>
      </c>
      <c r="X694">
        <v>40</v>
      </c>
      <c r="Y694">
        <v>30</v>
      </c>
      <c r="Z694" t="s">
        <v>1778</v>
      </c>
      <c r="AA694"/>
    </row>
    <row r="695" spans="1:27" ht="15" x14ac:dyDescent="0.25">
      <c r="A695" t="s">
        <v>5</v>
      </c>
      <c r="B695" t="s">
        <v>64</v>
      </c>
      <c r="C695"/>
      <c r="D695" t="s">
        <v>59</v>
      </c>
      <c r="E695" t="s">
        <v>71</v>
      </c>
      <c r="F695" t="s">
        <v>538</v>
      </c>
      <c r="G695" t="s">
        <v>539</v>
      </c>
      <c r="H695" t="s">
        <v>59</v>
      </c>
      <c r="I695" s="41">
        <v>211</v>
      </c>
      <c r="J695" s="40">
        <f>I695*(1-IFERROR(VLOOKUP(H695,Rabat!$D$10:$E$41,2,FALSE),0))</f>
        <v>211</v>
      </c>
      <c r="K695">
        <v>0</v>
      </c>
      <c r="L695" t="s">
        <v>1789</v>
      </c>
      <c r="M695" t="s">
        <v>2503</v>
      </c>
      <c r="N695" t="s">
        <v>2502</v>
      </c>
      <c r="O695" t="s">
        <v>1776</v>
      </c>
      <c r="P695">
        <v>1</v>
      </c>
      <c r="Q695">
        <v>0</v>
      </c>
      <c r="R695" t="s">
        <v>1955</v>
      </c>
      <c r="S695" s="42" t="str">
        <f>HYPERLINK("https://sklep.kobi.pl/produkt/szyna-3-fazowa-2m-czarna-do-nextrack-nt")</f>
        <v>https://sklep.kobi.pl/produkt/szyna-3-fazowa-2m-czarna-do-nextrack-nt</v>
      </c>
      <c r="T695" t="s">
        <v>71</v>
      </c>
      <c r="U695">
        <v>1.54</v>
      </c>
      <c r="V695"/>
      <c r="W695">
        <v>2000</v>
      </c>
      <c r="X695">
        <v>40</v>
      </c>
      <c r="Y695">
        <v>30</v>
      </c>
      <c r="Z695" t="s">
        <v>1778</v>
      </c>
      <c r="AA695"/>
    </row>
    <row r="696" spans="1:27" ht="15" x14ac:dyDescent="0.25">
      <c r="A696" t="s">
        <v>5</v>
      </c>
      <c r="B696" t="s">
        <v>64</v>
      </c>
      <c r="C696"/>
      <c r="D696" t="s">
        <v>59</v>
      </c>
      <c r="E696" t="s">
        <v>71</v>
      </c>
      <c r="F696" t="s">
        <v>557</v>
      </c>
      <c r="G696" t="s">
        <v>558</v>
      </c>
      <c r="H696" t="s">
        <v>59</v>
      </c>
      <c r="I696" s="41">
        <v>33</v>
      </c>
      <c r="J696" s="40">
        <f>I696*(1-IFERROR(VLOOKUP(H696,Rabat!$D$10:$E$41,2,FALSE),0))</f>
        <v>33</v>
      </c>
      <c r="K696">
        <v>0</v>
      </c>
      <c r="L696" t="s">
        <v>1789</v>
      </c>
      <c r="M696" t="s">
        <v>2504</v>
      </c>
      <c r="N696" t="s">
        <v>2505</v>
      </c>
      <c r="O696" t="s">
        <v>1776</v>
      </c>
      <c r="P696">
        <v>50</v>
      </c>
      <c r="Q696">
        <v>0</v>
      </c>
      <c r="R696" t="s">
        <v>1955</v>
      </c>
      <c r="S696" s="42" t="str">
        <f>HYPERLINK("https://sklep.kobi.pl/produkt/zasilanie-lewe-biale-do-nextrack-nt")</f>
        <v>https://sklep.kobi.pl/produkt/zasilanie-lewe-biale-do-nextrack-nt</v>
      </c>
      <c r="T696" t="s">
        <v>71</v>
      </c>
      <c r="U696">
        <v>5.3999999999999999E-2</v>
      </c>
      <c r="V696">
        <v>5.7000000000000002E-2</v>
      </c>
      <c r="W696">
        <v>100</v>
      </c>
      <c r="X696">
        <v>30</v>
      </c>
      <c r="Y696">
        <v>30</v>
      </c>
      <c r="Z696" t="s">
        <v>1778</v>
      </c>
      <c r="AA696"/>
    </row>
    <row r="697" spans="1:27" ht="15" x14ac:dyDescent="0.25">
      <c r="A697" t="s">
        <v>5</v>
      </c>
      <c r="B697" t="s">
        <v>64</v>
      </c>
      <c r="C697"/>
      <c r="D697" t="s">
        <v>59</v>
      </c>
      <c r="E697" t="s">
        <v>71</v>
      </c>
      <c r="F697" t="s">
        <v>559</v>
      </c>
      <c r="G697" t="s">
        <v>560</v>
      </c>
      <c r="H697" t="s">
        <v>59</v>
      </c>
      <c r="I697" s="41">
        <v>33</v>
      </c>
      <c r="J697" s="40">
        <f>I697*(1-IFERROR(VLOOKUP(H697,Rabat!$D$10:$E$41,2,FALSE),0))</f>
        <v>33</v>
      </c>
      <c r="K697">
        <v>0</v>
      </c>
      <c r="L697" t="s">
        <v>1789</v>
      </c>
      <c r="M697" t="s">
        <v>2506</v>
      </c>
      <c r="N697" t="s">
        <v>2505</v>
      </c>
      <c r="O697" t="s">
        <v>1776</v>
      </c>
      <c r="P697">
        <v>50</v>
      </c>
      <c r="Q697">
        <v>0</v>
      </c>
      <c r="R697" t="s">
        <v>1955</v>
      </c>
      <c r="S697" s="42" t="str">
        <f>HYPERLINK("https://sklep.kobi.pl/produkt/zasilanie-lewe-czarne-do-nextrack-nt")</f>
        <v>https://sklep.kobi.pl/produkt/zasilanie-lewe-czarne-do-nextrack-nt</v>
      </c>
      <c r="T697" t="s">
        <v>71</v>
      </c>
      <c r="U697">
        <v>5.3999999999999999E-2</v>
      </c>
      <c r="V697">
        <v>5.7000000000000002E-2</v>
      </c>
      <c r="W697">
        <v>100</v>
      </c>
      <c r="X697">
        <v>30</v>
      </c>
      <c r="Y697">
        <v>30</v>
      </c>
      <c r="Z697" t="s">
        <v>1778</v>
      </c>
      <c r="AA697"/>
    </row>
    <row r="698" spans="1:27" ht="15" x14ac:dyDescent="0.25">
      <c r="A698" t="s">
        <v>5</v>
      </c>
      <c r="B698" t="s">
        <v>64</v>
      </c>
      <c r="C698"/>
      <c r="D698" t="s">
        <v>59</v>
      </c>
      <c r="E698" t="s">
        <v>71</v>
      </c>
      <c r="F698" t="s">
        <v>561</v>
      </c>
      <c r="G698" t="s">
        <v>562</v>
      </c>
      <c r="H698" t="s">
        <v>59</v>
      </c>
      <c r="I698" s="41">
        <v>33</v>
      </c>
      <c r="J698" s="40">
        <f>I698*(1-IFERROR(VLOOKUP(H698,Rabat!$D$10:$E$41,2,FALSE),0))</f>
        <v>33</v>
      </c>
      <c r="K698">
        <v>0</v>
      </c>
      <c r="L698" t="s">
        <v>1789</v>
      </c>
      <c r="M698" t="s">
        <v>2507</v>
      </c>
      <c r="N698" t="s">
        <v>2505</v>
      </c>
      <c r="O698" t="s">
        <v>1776</v>
      </c>
      <c r="P698">
        <v>50</v>
      </c>
      <c r="Q698">
        <v>0</v>
      </c>
      <c r="R698" t="s">
        <v>1955</v>
      </c>
      <c r="S698" s="42" t="str">
        <f>HYPERLINK("https://sklep.kobi.pl/produkt/zasilanie-prawe-biale-do-nextrack-nt")</f>
        <v>https://sklep.kobi.pl/produkt/zasilanie-prawe-biale-do-nextrack-nt</v>
      </c>
      <c r="T698" t="s">
        <v>71</v>
      </c>
      <c r="U698">
        <v>5.3999999999999999E-2</v>
      </c>
      <c r="V698">
        <v>5.7000000000000002E-2</v>
      </c>
      <c r="W698">
        <v>100</v>
      </c>
      <c r="X698">
        <v>30</v>
      </c>
      <c r="Y698">
        <v>30</v>
      </c>
      <c r="Z698" t="s">
        <v>1778</v>
      </c>
      <c r="AA698"/>
    </row>
    <row r="699" spans="1:27" ht="15" x14ac:dyDescent="0.25">
      <c r="A699" t="s">
        <v>5</v>
      </c>
      <c r="B699" t="s">
        <v>64</v>
      </c>
      <c r="C699"/>
      <c r="D699" t="s">
        <v>59</v>
      </c>
      <c r="E699" t="s">
        <v>71</v>
      </c>
      <c r="F699" t="s">
        <v>563</v>
      </c>
      <c r="G699" t="s">
        <v>564</v>
      </c>
      <c r="H699" t="s">
        <v>59</v>
      </c>
      <c r="I699" s="41">
        <v>33</v>
      </c>
      <c r="J699" s="40">
        <f>I699*(1-IFERROR(VLOOKUP(H699,Rabat!$D$10:$E$41,2,FALSE),0))</f>
        <v>33</v>
      </c>
      <c r="K699">
        <v>0</v>
      </c>
      <c r="L699" t="s">
        <v>1789</v>
      </c>
      <c r="M699" t="s">
        <v>2508</v>
      </c>
      <c r="N699" t="s">
        <v>2505</v>
      </c>
      <c r="O699" t="s">
        <v>1776</v>
      </c>
      <c r="P699">
        <v>50</v>
      </c>
      <c r="Q699">
        <v>0</v>
      </c>
      <c r="R699" t="s">
        <v>1955</v>
      </c>
      <c r="S699" s="42" t="str">
        <f>HYPERLINK("https://sklep.kobi.pl/produkt/zasilanie-prawe-czarne-do-nextrack-nt")</f>
        <v>https://sklep.kobi.pl/produkt/zasilanie-prawe-czarne-do-nextrack-nt</v>
      </c>
      <c r="T699" t="s">
        <v>71</v>
      </c>
      <c r="U699">
        <v>5.3999999999999999E-2</v>
      </c>
      <c r="V699">
        <v>5.7000000000000002E-2</v>
      </c>
      <c r="W699">
        <v>100</v>
      </c>
      <c r="X699">
        <v>30</v>
      </c>
      <c r="Y699">
        <v>30</v>
      </c>
      <c r="Z699" t="s">
        <v>1778</v>
      </c>
      <c r="AA699"/>
    </row>
    <row r="700" spans="1:27" ht="15" x14ac:dyDescent="0.25">
      <c r="A700" t="s">
        <v>5</v>
      </c>
      <c r="B700" t="s">
        <v>64</v>
      </c>
      <c r="C700"/>
      <c r="D700" t="s">
        <v>59</v>
      </c>
      <c r="E700" t="s">
        <v>71</v>
      </c>
      <c r="F700" t="s">
        <v>565</v>
      </c>
      <c r="G700" t="s">
        <v>566</v>
      </c>
      <c r="H700" t="s">
        <v>59</v>
      </c>
      <c r="I700" s="41">
        <v>7</v>
      </c>
      <c r="J700" s="40">
        <f>I700*(1-IFERROR(VLOOKUP(H700,Rabat!$D$10:$E$41,2,FALSE),0))</f>
        <v>7</v>
      </c>
      <c r="K700">
        <v>0</v>
      </c>
      <c r="L700" t="s">
        <v>1789</v>
      </c>
      <c r="M700" t="s">
        <v>2509</v>
      </c>
      <c r="N700" t="s">
        <v>2510</v>
      </c>
      <c r="O700" t="s">
        <v>1776</v>
      </c>
      <c r="P700">
        <v>200</v>
      </c>
      <c r="Q700">
        <v>0</v>
      </c>
      <c r="R700" t="s">
        <v>1955</v>
      </c>
      <c r="S700" s="42" t="str">
        <f>HYPERLINK("https://sklep.kobi.pl/produkt/zaslepka-biala-do-nextrack-nt")</f>
        <v>https://sklep.kobi.pl/produkt/zaslepka-biala-do-nextrack-nt</v>
      </c>
      <c r="T700" t="s">
        <v>71</v>
      </c>
      <c r="U700">
        <v>8.0000000000000002E-3</v>
      </c>
      <c r="V700">
        <v>8.9999999999999993E-3</v>
      </c>
      <c r="W700">
        <v>30</v>
      </c>
      <c r="X700">
        <v>10</v>
      </c>
      <c r="Y700">
        <v>40</v>
      </c>
      <c r="Z700" t="s">
        <v>1778</v>
      </c>
      <c r="AA700"/>
    </row>
    <row r="701" spans="1:27" ht="15" x14ac:dyDescent="0.25">
      <c r="A701" t="s">
        <v>5</v>
      </c>
      <c r="B701" t="s">
        <v>64</v>
      </c>
      <c r="C701"/>
      <c r="D701" t="s">
        <v>59</v>
      </c>
      <c r="E701" t="s">
        <v>71</v>
      </c>
      <c r="F701" t="s">
        <v>567</v>
      </c>
      <c r="G701" t="s">
        <v>568</v>
      </c>
      <c r="H701" t="s">
        <v>59</v>
      </c>
      <c r="I701" s="41">
        <v>7</v>
      </c>
      <c r="J701" s="40">
        <f>I701*(1-IFERROR(VLOOKUP(H701,Rabat!$D$10:$E$41,2,FALSE),0))</f>
        <v>7</v>
      </c>
      <c r="K701">
        <v>0</v>
      </c>
      <c r="L701" t="s">
        <v>1789</v>
      </c>
      <c r="M701" t="s">
        <v>2511</v>
      </c>
      <c r="N701" t="s">
        <v>2510</v>
      </c>
      <c r="O701" t="s">
        <v>1776</v>
      </c>
      <c r="P701">
        <v>200</v>
      </c>
      <c r="Q701">
        <v>0</v>
      </c>
      <c r="R701" t="s">
        <v>1955</v>
      </c>
      <c r="S701" s="42" t="str">
        <f>HYPERLINK("https://sklep.kobi.pl/produkt/zaslepka-czarna-do-nextrack-nt")</f>
        <v>https://sklep.kobi.pl/produkt/zaslepka-czarna-do-nextrack-nt</v>
      </c>
      <c r="T701" t="s">
        <v>71</v>
      </c>
      <c r="U701">
        <v>8.0000000000000002E-3</v>
      </c>
      <c r="V701">
        <v>8.9999999999999993E-3</v>
      </c>
      <c r="W701">
        <v>30</v>
      </c>
      <c r="X701">
        <v>10</v>
      </c>
      <c r="Y701">
        <v>40</v>
      </c>
      <c r="Z701" t="s">
        <v>1778</v>
      </c>
      <c r="AA701"/>
    </row>
    <row r="702" spans="1:27" ht="15" x14ac:dyDescent="0.25">
      <c r="A702" t="s">
        <v>5</v>
      </c>
      <c r="B702" t="s">
        <v>64</v>
      </c>
      <c r="C702"/>
      <c r="D702" t="s">
        <v>59</v>
      </c>
      <c r="E702" t="s">
        <v>71</v>
      </c>
      <c r="F702" t="s">
        <v>589</v>
      </c>
      <c r="G702" t="s">
        <v>590</v>
      </c>
      <c r="H702" t="s">
        <v>59</v>
      </c>
      <c r="I702" s="41">
        <v>27</v>
      </c>
      <c r="J702" s="40">
        <f>I702*(1-IFERROR(VLOOKUP(H702,Rabat!$D$10:$E$41,2,FALSE),0))</f>
        <v>27</v>
      </c>
      <c r="K702">
        <v>0</v>
      </c>
      <c r="L702" t="s">
        <v>1789</v>
      </c>
      <c r="M702" t="s">
        <v>2512</v>
      </c>
      <c r="N702" t="s">
        <v>2513</v>
      </c>
      <c r="O702" t="s">
        <v>1776</v>
      </c>
      <c r="P702">
        <v>100</v>
      </c>
      <c r="Q702">
        <v>0</v>
      </c>
      <c r="R702" t="s">
        <v>1955</v>
      </c>
      <c r="S702" s="42" t="str">
        <f>HYPERLINK("https://sklep.kobi.pl/produkt/zestaw-do-zawieszenia-szyny-2m-bialy-nex")</f>
        <v>https://sklep.kobi.pl/produkt/zestaw-do-zawieszenia-szyny-2m-bialy-nex</v>
      </c>
      <c r="T702" t="s">
        <v>71</v>
      </c>
      <c r="U702">
        <v>5.3999999999999999E-2</v>
      </c>
      <c r="V702">
        <v>0.59599999999999997</v>
      </c>
      <c r="W702">
        <v>70</v>
      </c>
      <c r="X702">
        <v>70</v>
      </c>
      <c r="Y702">
        <v>10</v>
      </c>
      <c r="Z702" t="s">
        <v>1778</v>
      </c>
      <c r="AA702"/>
    </row>
    <row r="703" spans="1:27" ht="15" x14ac:dyDescent="0.25">
      <c r="A703" t="s">
        <v>5</v>
      </c>
      <c r="B703" t="s">
        <v>64</v>
      </c>
      <c r="C703"/>
      <c r="D703" t="s">
        <v>59</v>
      </c>
      <c r="E703" t="s">
        <v>71</v>
      </c>
      <c r="F703" t="s">
        <v>591</v>
      </c>
      <c r="G703" t="s">
        <v>592</v>
      </c>
      <c r="H703" t="s">
        <v>59</v>
      </c>
      <c r="I703" s="41">
        <v>26.67</v>
      </c>
      <c r="J703" s="40">
        <f>I703*(1-IFERROR(VLOOKUP(H703,Rabat!$D$10:$E$41,2,FALSE),0))</f>
        <v>26.67</v>
      </c>
      <c r="K703">
        <v>0</v>
      </c>
      <c r="L703" t="s">
        <v>1789</v>
      </c>
      <c r="M703" t="s">
        <v>2514</v>
      </c>
      <c r="N703" t="s">
        <v>2513</v>
      </c>
      <c r="O703" t="s">
        <v>1776</v>
      </c>
      <c r="P703">
        <v>100</v>
      </c>
      <c r="Q703">
        <v>0</v>
      </c>
      <c r="R703" t="s">
        <v>1955</v>
      </c>
      <c r="S703" s="42" t="str">
        <f>HYPERLINK("https://sklep.kobi.pl/produkt/zestaw-do-zawieszenia-szyny-2m-czarn-nex")</f>
        <v>https://sklep.kobi.pl/produkt/zestaw-do-zawieszenia-szyny-2m-czarn-nex</v>
      </c>
      <c r="T703" t="s">
        <v>71</v>
      </c>
      <c r="U703">
        <v>5.3999999999999999E-2</v>
      </c>
      <c r="V703">
        <v>0.59599999999999997</v>
      </c>
      <c r="W703">
        <v>70</v>
      </c>
      <c r="X703">
        <v>70</v>
      </c>
      <c r="Y703">
        <v>10</v>
      </c>
      <c r="Z703" t="s">
        <v>1778</v>
      </c>
      <c r="AA703"/>
    </row>
    <row r="704" spans="1:27" ht="15" x14ac:dyDescent="0.25">
      <c r="A704" t="s">
        <v>5</v>
      </c>
      <c r="B704" t="s">
        <v>64</v>
      </c>
      <c r="C704"/>
      <c r="D704" t="s">
        <v>59</v>
      </c>
      <c r="E704" t="s">
        <v>71</v>
      </c>
      <c r="F704" t="s">
        <v>569</v>
      </c>
      <c r="G704" t="s">
        <v>570</v>
      </c>
      <c r="H704" t="s">
        <v>59</v>
      </c>
      <c r="I704" s="41">
        <v>27</v>
      </c>
      <c r="J704" s="40">
        <f>I704*(1-IFERROR(VLOOKUP(H704,Rabat!$D$10:$E$41,2,FALSE),0))</f>
        <v>27</v>
      </c>
      <c r="K704">
        <v>0</v>
      </c>
      <c r="L704" t="s">
        <v>1789</v>
      </c>
      <c r="M704" t="s">
        <v>2515</v>
      </c>
      <c r="N704" t="s">
        <v>2505</v>
      </c>
      <c r="O704" t="s">
        <v>1776</v>
      </c>
      <c r="P704">
        <v>100</v>
      </c>
      <c r="Q704">
        <v>0</v>
      </c>
      <c r="R704" t="s">
        <v>1955</v>
      </c>
      <c r="S704" s="42" t="str">
        <f>HYPERLINK("https://sklep.kobi.pl/produkt/lacznik-i-wewnetrzn-bialy-do-nextrack-nt")</f>
        <v>https://sklep.kobi.pl/produkt/lacznik-i-wewnetrzn-bialy-do-nextrack-nt</v>
      </c>
      <c r="T704" t="s">
        <v>71</v>
      </c>
      <c r="U704">
        <v>2.5000000000000001E-2</v>
      </c>
      <c r="V704">
        <v>2.7E-2</v>
      </c>
      <c r="W704">
        <v>70</v>
      </c>
      <c r="X704">
        <v>20</v>
      </c>
      <c r="Y704">
        <v>20</v>
      </c>
      <c r="Z704" t="s">
        <v>1778</v>
      </c>
      <c r="AA704"/>
    </row>
    <row r="705" spans="1:27" ht="15" x14ac:dyDescent="0.25">
      <c r="A705" t="s">
        <v>5</v>
      </c>
      <c r="B705" t="s">
        <v>64</v>
      </c>
      <c r="C705"/>
      <c r="D705" t="s">
        <v>59</v>
      </c>
      <c r="E705" t="s">
        <v>71</v>
      </c>
      <c r="F705" t="s">
        <v>571</v>
      </c>
      <c r="G705" t="s">
        <v>572</v>
      </c>
      <c r="H705" t="s">
        <v>59</v>
      </c>
      <c r="I705" s="41">
        <v>27</v>
      </c>
      <c r="J705" s="40">
        <f>I705*(1-IFERROR(VLOOKUP(H705,Rabat!$D$10:$E$41,2,FALSE),0))</f>
        <v>27</v>
      </c>
      <c r="K705">
        <v>0</v>
      </c>
      <c r="L705" t="s">
        <v>1789</v>
      </c>
      <c r="M705" t="s">
        <v>2516</v>
      </c>
      <c r="N705" t="s">
        <v>2505</v>
      </c>
      <c r="O705" t="s">
        <v>1776</v>
      </c>
      <c r="P705">
        <v>100</v>
      </c>
      <c r="Q705">
        <v>0</v>
      </c>
      <c r="R705" t="s">
        <v>1955</v>
      </c>
      <c r="S705" s="42" t="str">
        <f>HYPERLINK("https://sklep.kobi.pl/produkt/lacznik-i-wewnetrzn-czarn-do-nextrack-nt")</f>
        <v>https://sklep.kobi.pl/produkt/lacznik-i-wewnetrzn-czarn-do-nextrack-nt</v>
      </c>
      <c r="T705" t="s">
        <v>71</v>
      </c>
      <c r="U705">
        <v>2.5000000000000001E-2</v>
      </c>
      <c r="V705">
        <v>0.27</v>
      </c>
      <c r="W705">
        <v>70</v>
      </c>
      <c r="X705">
        <v>20</v>
      </c>
      <c r="Y705">
        <v>20</v>
      </c>
      <c r="Z705" t="s">
        <v>1778</v>
      </c>
      <c r="AA705"/>
    </row>
    <row r="706" spans="1:27" ht="15" x14ac:dyDescent="0.25">
      <c r="A706" t="s">
        <v>5</v>
      </c>
      <c r="B706" t="s">
        <v>64</v>
      </c>
      <c r="C706"/>
      <c r="D706" t="s">
        <v>59</v>
      </c>
      <c r="E706" t="s">
        <v>71</v>
      </c>
      <c r="F706" t="s">
        <v>573</v>
      </c>
      <c r="G706" t="s">
        <v>574</v>
      </c>
      <c r="H706" t="s">
        <v>59</v>
      </c>
      <c r="I706" s="41">
        <v>72</v>
      </c>
      <c r="J706" s="40">
        <f>I706*(1-IFERROR(VLOOKUP(H706,Rabat!$D$10:$E$41,2,FALSE),0))</f>
        <v>72</v>
      </c>
      <c r="K706">
        <v>0</v>
      </c>
      <c r="L706" t="s">
        <v>1789</v>
      </c>
      <c r="M706" t="s">
        <v>2517</v>
      </c>
      <c r="N706" t="s">
        <v>2505</v>
      </c>
      <c r="O706" t="s">
        <v>1776</v>
      </c>
      <c r="P706">
        <v>50</v>
      </c>
      <c r="Q706">
        <v>0</v>
      </c>
      <c r="R706" t="s">
        <v>1955</v>
      </c>
      <c r="S706" s="42" t="str">
        <f>HYPERLINK("https://sklep.kobi.pl/produkt/lacznik-i-zewnetrzn-bialy-do-nextrack-nt")</f>
        <v>https://sklep.kobi.pl/produkt/lacznik-i-zewnetrzn-bialy-do-nextrack-nt</v>
      </c>
      <c r="T706" t="s">
        <v>71</v>
      </c>
      <c r="U706">
        <v>0.10199999999999999</v>
      </c>
      <c r="V706">
        <v>0.27</v>
      </c>
      <c r="W706">
        <v>70</v>
      </c>
      <c r="X706">
        <v>20</v>
      </c>
      <c r="Y706">
        <v>20</v>
      </c>
      <c r="Z706" t="s">
        <v>1778</v>
      </c>
      <c r="AA706"/>
    </row>
    <row r="707" spans="1:27" ht="15" x14ac:dyDescent="0.25">
      <c r="A707" t="s">
        <v>5</v>
      </c>
      <c r="B707" t="s">
        <v>64</v>
      </c>
      <c r="C707"/>
      <c r="D707" t="s">
        <v>59</v>
      </c>
      <c r="E707" t="s">
        <v>71</v>
      </c>
      <c r="F707" t="s">
        <v>575</v>
      </c>
      <c r="G707" t="s">
        <v>576</v>
      </c>
      <c r="H707" t="s">
        <v>59</v>
      </c>
      <c r="I707" s="41">
        <v>72</v>
      </c>
      <c r="J707" s="40">
        <f>I707*(1-IFERROR(VLOOKUP(H707,Rabat!$D$10:$E$41,2,FALSE),0))</f>
        <v>72</v>
      </c>
      <c r="K707">
        <v>0</v>
      </c>
      <c r="L707" t="s">
        <v>1789</v>
      </c>
      <c r="M707" t="s">
        <v>2518</v>
      </c>
      <c r="N707" t="s">
        <v>2505</v>
      </c>
      <c r="O707" t="s">
        <v>1776</v>
      </c>
      <c r="P707">
        <v>50</v>
      </c>
      <c r="Q707">
        <v>0</v>
      </c>
      <c r="R707" t="s">
        <v>1955</v>
      </c>
      <c r="S707" s="42" t="str">
        <f>HYPERLINK("https://sklep.kobi.pl/produkt/lacznik-i-zewnetrzn-czarn-do-nextrack-nt")</f>
        <v>https://sklep.kobi.pl/produkt/lacznik-i-zewnetrzn-czarn-do-nextrack-nt</v>
      </c>
      <c r="T707" t="s">
        <v>71</v>
      </c>
      <c r="U707">
        <v>0.10199999999999999</v>
      </c>
      <c r="V707">
        <v>0.27</v>
      </c>
      <c r="W707">
        <v>70</v>
      </c>
      <c r="X707">
        <v>20</v>
      </c>
      <c r="Y707">
        <v>20</v>
      </c>
      <c r="Z707" t="s">
        <v>1778</v>
      </c>
      <c r="AA707"/>
    </row>
    <row r="708" spans="1:27" ht="15" x14ac:dyDescent="0.25">
      <c r="A708" t="s">
        <v>5</v>
      </c>
      <c r="B708" t="s">
        <v>64</v>
      </c>
      <c r="C708"/>
      <c r="D708" t="s">
        <v>59</v>
      </c>
      <c r="E708" t="s">
        <v>71</v>
      </c>
      <c r="F708" t="s">
        <v>585</v>
      </c>
      <c r="G708" t="s">
        <v>586</v>
      </c>
      <c r="H708" t="s">
        <v>59</v>
      </c>
      <c r="I708" s="41">
        <v>72</v>
      </c>
      <c r="J708" s="40">
        <f>I708*(1-IFERROR(VLOOKUP(H708,Rabat!$D$10:$E$41,2,FALSE),0))</f>
        <v>72</v>
      </c>
      <c r="K708">
        <v>0</v>
      </c>
      <c r="L708" t="s">
        <v>1789</v>
      </c>
      <c r="M708" t="s">
        <v>2519</v>
      </c>
      <c r="N708" t="s">
        <v>2505</v>
      </c>
      <c r="O708" t="s">
        <v>1776</v>
      </c>
      <c r="P708">
        <v>25</v>
      </c>
      <c r="Q708">
        <v>0</v>
      </c>
      <c r="R708" t="s">
        <v>1955</v>
      </c>
      <c r="S708" s="42" t="str">
        <f>HYPERLINK("https://sklep.kobi.pl/produkt/lacznik-l-zewnetrzn-bialy-do-nextrack-nt")</f>
        <v>https://sklep.kobi.pl/produkt/lacznik-l-zewnetrzn-bialy-do-nextrack-nt</v>
      </c>
      <c r="T708" t="s">
        <v>71</v>
      </c>
      <c r="U708">
        <v>0.10299999999999999</v>
      </c>
      <c r="V708">
        <v>0.106</v>
      </c>
      <c r="W708">
        <v>90</v>
      </c>
      <c r="X708">
        <v>90</v>
      </c>
      <c r="Y708">
        <v>30</v>
      </c>
      <c r="Z708" t="s">
        <v>1778</v>
      </c>
      <c r="AA708"/>
    </row>
    <row r="709" spans="1:27" ht="15" x14ac:dyDescent="0.25">
      <c r="A709" t="s">
        <v>5</v>
      </c>
      <c r="B709" t="s">
        <v>64</v>
      </c>
      <c r="C709"/>
      <c r="D709" t="s">
        <v>59</v>
      </c>
      <c r="E709" t="s">
        <v>71</v>
      </c>
      <c r="F709" t="s">
        <v>587</v>
      </c>
      <c r="G709" t="s">
        <v>588</v>
      </c>
      <c r="H709" t="s">
        <v>59</v>
      </c>
      <c r="I709" s="41">
        <v>72</v>
      </c>
      <c r="J709" s="40">
        <f>I709*(1-IFERROR(VLOOKUP(H709,Rabat!$D$10:$E$41,2,FALSE),0))</f>
        <v>72</v>
      </c>
      <c r="K709">
        <v>0</v>
      </c>
      <c r="L709" t="s">
        <v>1789</v>
      </c>
      <c r="M709" t="s">
        <v>2520</v>
      </c>
      <c r="N709" t="s">
        <v>2505</v>
      </c>
      <c r="O709" t="s">
        <v>1776</v>
      </c>
      <c r="P709">
        <v>25</v>
      </c>
      <c r="Q709">
        <v>0</v>
      </c>
      <c r="R709" t="s">
        <v>1955</v>
      </c>
      <c r="S709" s="42" t="str">
        <f>HYPERLINK("https://sklep.kobi.pl/produkt/lacznik-l-zewnetrzn-czarn-do-nextrack-nt")</f>
        <v>https://sklep.kobi.pl/produkt/lacznik-l-zewnetrzn-czarn-do-nextrack-nt</v>
      </c>
      <c r="T709" t="s">
        <v>71</v>
      </c>
      <c r="U709">
        <v>0.10299999999999999</v>
      </c>
      <c r="V709">
        <v>0.106</v>
      </c>
      <c r="W709">
        <v>90</v>
      </c>
      <c r="X709">
        <v>90</v>
      </c>
      <c r="Y709">
        <v>30</v>
      </c>
      <c r="Z709" t="s">
        <v>1778</v>
      </c>
      <c r="AA709"/>
    </row>
    <row r="710" spans="1:27" ht="15" x14ac:dyDescent="0.25">
      <c r="A710" t="s">
        <v>5</v>
      </c>
      <c r="B710" t="s">
        <v>64</v>
      </c>
      <c r="C710"/>
      <c r="D710" t="s">
        <v>59</v>
      </c>
      <c r="E710" t="s">
        <v>71</v>
      </c>
      <c r="F710" t="s">
        <v>1005</v>
      </c>
      <c r="G710" t="s">
        <v>1006</v>
      </c>
      <c r="H710" t="s">
        <v>59</v>
      </c>
      <c r="I710" s="41">
        <v>72</v>
      </c>
      <c r="J710" s="40">
        <f>I710*(1-IFERROR(VLOOKUP(H710,Rabat!$D$10:$E$41,2,FALSE),0))</f>
        <v>72</v>
      </c>
      <c r="K710">
        <v>0</v>
      </c>
      <c r="L710" t="s">
        <v>1789</v>
      </c>
      <c r="M710" t="s">
        <v>2521</v>
      </c>
      <c r="N710" t="s">
        <v>2505</v>
      </c>
      <c r="O710" t="s">
        <v>1776</v>
      </c>
      <c r="P710">
        <v>25</v>
      </c>
      <c r="Q710">
        <v>0</v>
      </c>
      <c r="R710" t="s">
        <v>1955</v>
      </c>
      <c r="S710" s="42" t="str">
        <f>HYPERLINK("https://sklep.kobi.pl/produkt/lacznik-l-zewnetrzny-prawy-bialy")</f>
        <v>https://sklep.kobi.pl/produkt/lacznik-l-zewnetrzny-prawy-bialy</v>
      </c>
      <c r="T710" t="s">
        <v>71</v>
      </c>
      <c r="U710">
        <v>0.10299999999999999</v>
      </c>
      <c r="V710"/>
      <c r="W710"/>
      <c r="X710"/>
      <c r="Y710"/>
      <c r="Z710" t="s">
        <v>1778</v>
      </c>
      <c r="AA710"/>
    </row>
    <row r="711" spans="1:27" ht="15" x14ac:dyDescent="0.25">
      <c r="A711" t="s">
        <v>5</v>
      </c>
      <c r="B711" t="s">
        <v>64</v>
      </c>
      <c r="C711"/>
      <c r="D711" t="s">
        <v>59</v>
      </c>
      <c r="E711" t="s">
        <v>71</v>
      </c>
      <c r="F711" t="s">
        <v>1003</v>
      </c>
      <c r="G711" t="s">
        <v>1004</v>
      </c>
      <c r="H711" t="s">
        <v>59</v>
      </c>
      <c r="I711" s="41">
        <v>72</v>
      </c>
      <c r="J711" s="40">
        <f>I711*(1-IFERROR(VLOOKUP(H711,Rabat!$D$10:$E$41,2,FALSE),0))</f>
        <v>72</v>
      </c>
      <c r="K711">
        <v>0</v>
      </c>
      <c r="L711" t="s">
        <v>1789</v>
      </c>
      <c r="M711" t="s">
        <v>2522</v>
      </c>
      <c r="N711" t="s">
        <v>2505</v>
      </c>
      <c r="O711" t="s">
        <v>1776</v>
      </c>
      <c r="P711">
        <v>25</v>
      </c>
      <c r="Q711">
        <v>0</v>
      </c>
      <c r="R711" t="s">
        <v>1955</v>
      </c>
      <c r="S711" s="42" t="str">
        <f>HYPERLINK("https://sklep.kobi.pl/produkt/lacznik-l-zewnetrzny-prawy-czarny")</f>
        <v>https://sklep.kobi.pl/produkt/lacznik-l-zewnetrzny-prawy-czarny</v>
      </c>
      <c r="T711" t="s">
        <v>71</v>
      </c>
      <c r="U711">
        <v>0.10299999999999999</v>
      </c>
      <c r="V711"/>
      <c r="W711"/>
      <c r="X711"/>
      <c r="Y711"/>
      <c r="Z711" t="s">
        <v>1778</v>
      </c>
      <c r="AA711"/>
    </row>
    <row r="712" spans="1:27" ht="15" x14ac:dyDescent="0.25">
      <c r="A712" t="s">
        <v>5</v>
      </c>
      <c r="B712" t="s">
        <v>64</v>
      </c>
      <c r="C712"/>
      <c r="D712" t="s">
        <v>59</v>
      </c>
      <c r="E712" t="s">
        <v>71</v>
      </c>
      <c r="F712" t="s">
        <v>1248</v>
      </c>
      <c r="G712" t="s">
        <v>1249</v>
      </c>
      <c r="H712" t="s">
        <v>59</v>
      </c>
      <c r="I712" s="41">
        <v>82.3</v>
      </c>
      <c r="J712" s="40">
        <f>I712*(1-IFERROR(VLOOKUP(H712,Rabat!$D$10:$E$41,2,FALSE),0))</f>
        <v>82.3</v>
      </c>
      <c r="K712">
        <v>0</v>
      </c>
      <c r="L712" t="s">
        <v>1789</v>
      </c>
      <c r="M712" t="s">
        <v>2523</v>
      </c>
      <c r="N712" t="s">
        <v>2505</v>
      </c>
      <c r="O712" t="s">
        <v>1776</v>
      </c>
      <c r="P712">
        <v>25</v>
      </c>
      <c r="Q712">
        <v>0</v>
      </c>
      <c r="R712" t="s">
        <v>1777</v>
      </c>
      <c r="S712" s="42" t="str">
        <f>HYPERLINK("https://sklep.kobi.pl/produkt/lacznik-nt-flex-zewnetrzny-bialy")</f>
        <v>https://sklep.kobi.pl/produkt/lacznik-nt-flex-zewnetrzny-bialy</v>
      </c>
      <c r="T712" t="s">
        <v>71</v>
      </c>
      <c r="U712">
        <v>0.15</v>
      </c>
      <c r="V712">
        <v>0</v>
      </c>
      <c r="W712">
        <v>0</v>
      </c>
      <c r="X712">
        <v>0</v>
      </c>
      <c r="Y712">
        <v>0</v>
      </c>
      <c r="Z712" t="s">
        <v>1778</v>
      </c>
      <c r="AA712"/>
    </row>
    <row r="713" spans="1:27" ht="15" x14ac:dyDescent="0.25">
      <c r="A713" t="s">
        <v>5</v>
      </c>
      <c r="B713" t="s">
        <v>64</v>
      </c>
      <c r="C713"/>
      <c r="D713" t="s">
        <v>59</v>
      </c>
      <c r="E713" t="s">
        <v>71</v>
      </c>
      <c r="F713" t="s">
        <v>1194</v>
      </c>
      <c r="G713" t="s">
        <v>1195</v>
      </c>
      <c r="H713" t="s">
        <v>59</v>
      </c>
      <c r="I713" s="41">
        <v>82.3</v>
      </c>
      <c r="J713" s="40">
        <f>I713*(1-IFERROR(VLOOKUP(H713,Rabat!$D$10:$E$41,2,FALSE),0))</f>
        <v>82.3</v>
      </c>
      <c r="K713">
        <v>0</v>
      </c>
      <c r="L713" t="s">
        <v>1789</v>
      </c>
      <c r="M713" t="s">
        <v>2524</v>
      </c>
      <c r="N713" t="s">
        <v>2505</v>
      </c>
      <c r="O713" t="s">
        <v>1776</v>
      </c>
      <c r="P713">
        <v>25</v>
      </c>
      <c r="Q713">
        <v>0</v>
      </c>
      <c r="R713" t="s">
        <v>1777</v>
      </c>
      <c r="S713" s="42" t="str">
        <f>HYPERLINK("https://sklep.kobi.pl/produkt/lacznik-nt-flex-zewnetrzny-czarny")</f>
        <v>https://sklep.kobi.pl/produkt/lacznik-nt-flex-zewnetrzny-czarny</v>
      </c>
      <c r="T713" t="s">
        <v>71</v>
      </c>
      <c r="U713">
        <v>0.15</v>
      </c>
      <c r="V713">
        <v>0</v>
      </c>
      <c r="W713">
        <v>0</v>
      </c>
      <c r="X713">
        <v>0</v>
      </c>
      <c r="Y713">
        <v>0</v>
      </c>
      <c r="Z713" t="s">
        <v>1778</v>
      </c>
      <c r="AA713"/>
    </row>
    <row r="714" spans="1:27" ht="15" x14ac:dyDescent="0.25">
      <c r="A714" t="s">
        <v>5</v>
      </c>
      <c r="B714" t="s">
        <v>64</v>
      </c>
      <c r="C714"/>
      <c r="D714" t="s">
        <v>59</v>
      </c>
      <c r="E714" t="s">
        <v>71</v>
      </c>
      <c r="F714" t="s">
        <v>581</v>
      </c>
      <c r="G714" t="s">
        <v>582</v>
      </c>
      <c r="H714" t="s">
        <v>59</v>
      </c>
      <c r="I714" s="41">
        <v>122</v>
      </c>
      <c r="J714" s="40">
        <f>I714*(1-IFERROR(VLOOKUP(H714,Rabat!$D$10:$E$41,2,FALSE),0))</f>
        <v>122</v>
      </c>
      <c r="K714">
        <v>0</v>
      </c>
      <c r="L714" t="s">
        <v>1789</v>
      </c>
      <c r="M714" t="s">
        <v>2525</v>
      </c>
      <c r="N714" t="s">
        <v>2505</v>
      </c>
      <c r="O714" t="s">
        <v>1776</v>
      </c>
      <c r="P714">
        <v>25</v>
      </c>
      <c r="Q714">
        <v>0</v>
      </c>
      <c r="R714" t="s">
        <v>1955</v>
      </c>
      <c r="S714" s="42" t="str">
        <f>HYPERLINK("https://sklep.kobi.pl/produkt/lacznik-t-zewnetrzn-bialy-do-nextrack-nt")</f>
        <v>https://sklep.kobi.pl/produkt/lacznik-t-zewnetrzn-bialy-do-nextrack-nt</v>
      </c>
      <c r="T714" t="s">
        <v>71</v>
      </c>
      <c r="U714">
        <v>0.154</v>
      </c>
      <c r="V714">
        <v>0.158</v>
      </c>
      <c r="W714">
        <v>140</v>
      </c>
      <c r="X714">
        <v>90</v>
      </c>
      <c r="Y714">
        <v>20</v>
      </c>
      <c r="Z714" t="s">
        <v>1778</v>
      </c>
      <c r="AA714"/>
    </row>
    <row r="715" spans="1:27" ht="15" x14ac:dyDescent="0.25">
      <c r="A715" t="s">
        <v>5</v>
      </c>
      <c r="B715" t="s">
        <v>64</v>
      </c>
      <c r="C715"/>
      <c r="D715" t="s">
        <v>59</v>
      </c>
      <c r="E715" t="s">
        <v>71</v>
      </c>
      <c r="F715" t="s">
        <v>583</v>
      </c>
      <c r="G715" t="s">
        <v>584</v>
      </c>
      <c r="H715" t="s">
        <v>59</v>
      </c>
      <c r="I715" s="41">
        <v>122</v>
      </c>
      <c r="J715" s="40">
        <f>I715*(1-IFERROR(VLOOKUP(H715,Rabat!$D$10:$E$41,2,FALSE),0))</f>
        <v>122</v>
      </c>
      <c r="K715">
        <v>0</v>
      </c>
      <c r="L715" t="s">
        <v>1789</v>
      </c>
      <c r="M715" t="s">
        <v>2526</v>
      </c>
      <c r="N715" t="s">
        <v>2505</v>
      </c>
      <c r="O715" t="s">
        <v>1776</v>
      </c>
      <c r="P715">
        <v>25</v>
      </c>
      <c r="Q715">
        <v>0</v>
      </c>
      <c r="R715" t="s">
        <v>1955</v>
      </c>
      <c r="S715" s="42" t="str">
        <f>HYPERLINK("https://sklep.kobi.pl/produkt/lacznik-t-zewnetrzn-czarn-do-nextrack-nt")</f>
        <v>https://sklep.kobi.pl/produkt/lacznik-t-zewnetrzn-czarn-do-nextrack-nt</v>
      </c>
      <c r="T715" t="s">
        <v>71</v>
      </c>
      <c r="U715">
        <v>0.154</v>
      </c>
      <c r="V715">
        <v>0.158</v>
      </c>
      <c r="W715">
        <v>140</v>
      </c>
      <c r="X715">
        <v>90</v>
      </c>
      <c r="Y715">
        <v>20</v>
      </c>
      <c r="Z715" t="s">
        <v>1778</v>
      </c>
      <c r="AA715"/>
    </row>
    <row r="716" spans="1:27" ht="15" x14ac:dyDescent="0.25">
      <c r="A716" t="s">
        <v>5</v>
      </c>
      <c r="B716" t="s">
        <v>64</v>
      </c>
      <c r="C716"/>
      <c r="D716" t="s">
        <v>59</v>
      </c>
      <c r="E716" t="s">
        <v>71</v>
      </c>
      <c r="F716" t="s">
        <v>577</v>
      </c>
      <c r="G716" t="s">
        <v>578</v>
      </c>
      <c r="H716" t="s">
        <v>59</v>
      </c>
      <c r="I716" s="41">
        <v>167</v>
      </c>
      <c r="J716" s="40">
        <f>I716*(1-IFERROR(VLOOKUP(H716,Rabat!$D$10:$E$41,2,FALSE),0))</f>
        <v>167</v>
      </c>
      <c r="K716">
        <v>0</v>
      </c>
      <c r="L716" t="s">
        <v>1789</v>
      </c>
      <c r="M716" t="s">
        <v>2527</v>
      </c>
      <c r="N716" t="s">
        <v>2505</v>
      </c>
      <c r="O716" t="s">
        <v>1776</v>
      </c>
      <c r="P716">
        <v>10</v>
      </c>
      <c r="Q716">
        <v>0</v>
      </c>
      <c r="R716" t="s">
        <v>1955</v>
      </c>
      <c r="S716" s="42" t="str">
        <f>HYPERLINK("https://sklep.kobi.pl/produkt/lacznik-x-zewnetrzn-bialy-do-nextrack-nt")</f>
        <v>https://sklep.kobi.pl/produkt/lacznik-x-zewnetrzn-bialy-do-nextrack-nt</v>
      </c>
      <c r="T716" t="s">
        <v>71</v>
      </c>
      <c r="U716">
        <v>0.20499999999999999</v>
      </c>
      <c r="V716">
        <v>0.21099999999999999</v>
      </c>
      <c r="W716">
        <v>160</v>
      </c>
      <c r="X716">
        <v>160</v>
      </c>
      <c r="Y716">
        <v>30</v>
      </c>
      <c r="Z716" t="s">
        <v>1778</v>
      </c>
      <c r="AA716"/>
    </row>
    <row r="717" spans="1:27" ht="15" x14ac:dyDescent="0.25">
      <c r="A717" t="s">
        <v>5</v>
      </c>
      <c r="B717" t="s">
        <v>64</v>
      </c>
      <c r="C717"/>
      <c r="D717" t="s">
        <v>59</v>
      </c>
      <c r="E717" t="s">
        <v>71</v>
      </c>
      <c r="F717" t="s">
        <v>579</v>
      </c>
      <c r="G717" t="s">
        <v>580</v>
      </c>
      <c r="H717" t="s">
        <v>59</v>
      </c>
      <c r="I717" s="41">
        <v>167</v>
      </c>
      <c r="J717" s="40">
        <f>I717*(1-IFERROR(VLOOKUP(H717,Rabat!$D$10:$E$41,2,FALSE),0))</f>
        <v>167</v>
      </c>
      <c r="K717">
        <v>0</v>
      </c>
      <c r="L717" t="s">
        <v>1789</v>
      </c>
      <c r="M717" t="s">
        <v>2528</v>
      </c>
      <c r="N717" t="s">
        <v>2505</v>
      </c>
      <c r="O717" t="s">
        <v>1776</v>
      </c>
      <c r="P717">
        <v>10</v>
      </c>
      <c r="Q717">
        <v>0</v>
      </c>
      <c r="R717" t="s">
        <v>1955</v>
      </c>
      <c r="S717" s="42" t="str">
        <f>HYPERLINK("https://sklep.kobi.pl/produkt/lacznik-x-zewnetrzn-czarn-do-nextrack-nt")</f>
        <v>https://sklep.kobi.pl/produkt/lacznik-x-zewnetrzn-czarn-do-nextrack-nt</v>
      </c>
      <c r="T717" t="s">
        <v>71</v>
      </c>
      <c r="U717">
        <v>0.20499999999999999</v>
      </c>
      <c r="V717">
        <v>0.21099999999999999</v>
      </c>
      <c r="W717">
        <v>160</v>
      </c>
      <c r="X717">
        <v>160</v>
      </c>
      <c r="Y717">
        <v>30</v>
      </c>
      <c r="Z717" t="s">
        <v>1778</v>
      </c>
      <c r="AA717"/>
    </row>
    <row r="718" spans="1:27" ht="15" x14ac:dyDescent="0.25">
      <c r="A718" t="s">
        <v>14</v>
      </c>
      <c r="B718" t="s">
        <v>186</v>
      </c>
      <c r="C718"/>
      <c r="D718" t="s">
        <v>69</v>
      </c>
      <c r="E718" t="s">
        <v>71</v>
      </c>
      <c r="F718" t="s">
        <v>206</v>
      </c>
      <c r="G718" t="s">
        <v>207</v>
      </c>
      <c r="H718" t="s">
        <v>56</v>
      </c>
      <c r="I718" s="41">
        <v>58</v>
      </c>
      <c r="J718" s="40">
        <f>I718*(1-IFERROR(VLOOKUP(H718,Rabat!$D$10:$E$41,2,FALSE),0))</f>
        <v>58</v>
      </c>
      <c r="K718">
        <v>0.02</v>
      </c>
      <c r="L718" t="s">
        <v>1789</v>
      </c>
      <c r="M718" t="s">
        <v>2529</v>
      </c>
      <c r="N718" t="s">
        <v>2530</v>
      </c>
      <c r="O718" t="s">
        <v>1776</v>
      </c>
      <c r="P718">
        <v>100</v>
      </c>
      <c r="Q718">
        <v>0</v>
      </c>
      <c r="R718" t="s">
        <v>1955</v>
      </c>
      <c r="S718" s="42" t="str">
        <f>HYPERLINK("https://sklep.kobi.pl/produkt/czujnik-mikrofalowy-lx701-360st")</f>
        <v>https://sklep.kobi.pl/produkt/czujnik-mikrofalowy-lx701-360st</v>
      </c>
      <c r="T718" t="s">
        <v>71</v>
      </c>
      <c r="U718">
        <v>4.2000000000000003E-2</v>
      </c>
      <c r="V718">
        <v>0.81</v>
      </c>
      <c r="W718">
        <v>130</v>
      </c>
      <c r="X718">
        <v>60</v>
      </c>
      <c r="Y718">
        <v>100</v>
      </c>
      <c r="Z718" t="s">
        <v>1778</v>
      </c>
      <c r="AA718"/>
    </row>
    <row r="719" spans="1:27" ht="15" x14ac:dyDescent="0.25">
      <c r="A719" t="s">
        <v>14</v>
      </c>
      <c r="B719" t="s">
        <v>186</v>
      </c>
      <c r="C719"/>
      <c r="D719" t="s">
        <v>69</v>
      </c>
      <c r="E719" t="s">
        <v>71</v>
      </c>
      <c r="F719" t="s">
        <v>192</v>
      </c>
      <c r="G719" t="s">
        <v>193</v>
      </c>
      <c r="H719" t="s">
        <v>56</v>
      </c>
      <c r="I719" s="41">
        <v>48.51</v>
      </c>
      <c r="J719" s="40">
        <f>I719*(1-IFERROR(VLOOKUP(H719,Rabat!$D$10:$E$41,2,FALSE),0))</f>
        <v>48.51</v>
      </c>
      <c r="K719">
        <v>0.04</v>
      </c>
      <c r="L719" t="s">
        <v>1789</v>
      </c>
      <c r="M719" t="s">
        <v>2531</v>
      </c>
      <c r="N719" t="s">
        <v>2530</v>
      </c>
      <c r="O719" t="s">
        <v>1776</v>
      </c>
      <c r="P719">
        <v>100</v>
      </c>
      <c r="Q719">
        <v>0</v>
      </c>
      <c r="R719" t="s">
        <v>1820</v>
      </c>
      <c r="S719" s="42" t="str">
        <f>HYPERLINK("https://sklep.kobi.pl/produkt/czujnik-ruchu-lx01-140st-bialy")</f>
        <v>https://sklep.kobi.pl/produkt/czujnik-ruchu-lx01-140st-bialy</v>
      </c>
      <c r="T719" t="s">
        <v>71</v>
      </c>
      <c r="U719">
        <v>8.7999999999999995E-2</v>
      </c>
      <c r="V719">
        <v>9.8000000000000004E-2</v>
      </c>
      <c r="W719">
        <v>63</v>
      </c>
      <c r="X719">
        <v>83</v>
      </c>
      <c r="Y719">
        <v>82</v>
      </c>
      <c r="Z719" t="s">
        <v>1778</v>
      </c>
      <c r="AA719"/>
    </row>
    <row r="720" spans="1:27" ht="15" x14ac:dyDescent="0.25">
      <c r="A720" t="s">
        <v>14</v>
      </c>
      <c r="B720" t="s">
        <v>186</v>
      </c>
      <c r="C720"/>
      <c r="D720" t="s">
        <v>69</v>
      </c>
      <c r="E720" t="s">
        <v>71</v>
      </c>
      <c r="F720" t="s">
        <v>202</v>
      </c>
      <c r="G720" t="s">
        <v>203</v>
      </c>
      <c r="H720" t="s">
        <v>56</v>
      </c>
      <c r="I720" s="41">
        <v>48.65</v>
      </c>
      <c r="J720" s="40">
        <f>I720*(1-IFERROR(VLOOKUP(H720,Rabat!$D$10:$E$41,2,FALSE),0))</f>
        <v>48.65</v>
      </c>
      <c r="K720">
        <v>0.06</v>
      </c>
      <c r="L720" t="s">
        <v>1789</v>
      </c>
      <c r="M720" t="s">
        <v>2532</v>
      </c>
      <c r="N720" t="s">
        <v>2530</v>
      </c>
      <c r="O720" t="s">
        <v>1776</v>
      </c>
      <c r="P720">
        <v>50</v>
      </c>
      <c r="Q720">
        <v>0</v>
      </c>
      <c r="R720" t="s">
        <v>1820</v>
      </c>
      <c r="S720" s="42" t="str">
        <f>HYPERLINK("https://sklep.kobi.pl/produkt/czujnik-ruchu-lx06-360st-bialy")</f>
        <v>https://sklep.kobi.pl/produkt/czujnik-ruchu-lx06-360st-bialy</v>
      </c>
      <c r="T720" t="s">
        <v>71</v>
      </c>
      <c r="U720">
        <v>0.14199999999999999</v>
      </c>
      <c r="V720">
        <v>0.19</v>
      </c>
      <c r="W720">
        <v>67</v>
      </c>
      <c r="X720">
        <v>123</v>
      </c>
      <c r="Y720">
        <v>128</v>
      </c>
      <c r="Z720" t="s">
        <v>1778</v>
      </c>
      <c r="AA720"/>
    </row>
    <row r="721" spans="1:27" ht="15" x14ac:dyDescent="0.25">
      <c r="A721" t="s">
        <v>14</v>
      </c>
      <c r="B721" t="s">
        <v>186</v>
      </c>
      <c r="C721"/>
      <c r="D721" t="s">
        <v>69</v>
      </c>
      <c r="E721" t="s">
        <v>71</v>
      </c>
      <c r="F721" t="s">
        <v>187</v>
      </c>
      <c r="G721" t="s">
        <v>188</v>
      </c>
      <c r="H721" t="s">
        <v>56</v>
      </c>
      <c r="I721" s="41">
        <v>38.22</v>
      </c>
      <c r="J721" s="40">
        <f>I721*(1-IFERROR(VLOOKUP(H721,Rabat!$D$10:$E$41,2,FALSE),0))</f>
        <v>38.22</v>
      </c>
      <c r="K721">
        <v>0.05</v>
      </c>
      <c r="L721" t="s">
        <v>1789</v>
      </c>
      <c r="M721" t="s">
        <v>2533</v>
      </c>
      <c r="N721" t="s">
        <v>2530</v>
      </c>
      <c r="O721" t="s">
        <v>1776</v>
      </c>
      <c r="P721">
        <v>50</v>
      </c>
      <c r="Q721">
        <v>0</v>
      </c>
      <c r="R721" t="s">
        <v>1820</v>
      </c>
      <c r="S721" s="42" t="str">
        <f>HYPERLINK("https://sklep.kobi.pl/produkt/czujnik-ruchu-lx39-180st-kulka-bialy")</f>
        <v>https://sklep.kobi.pl/produkt/czujnik-ruchu-lx39-180st-kulka-bialy</v>
      </c>
      <c r="T721" t="s">
        <v>71</v>
      </c>
      <c r="U721">
        <v>0.10299999999999999</v>
      </c>
      <c r="V721">
        <v>0.158</v>
      </c>
      <c r="W721">
        <v>75</v>
      </c>
      <c r="X721">
        <v>92</v>
      </c>
      <c r="Y721">
        <v>102</v>
      </c>
      <c r="Z721" t="s">
        <v>1778</v>
      </c>
      <c r="AA721"/>
    </row>
    <row r="722" spans="1:27" ht="15" x14ac:dyDescent="0.25">
      <c r="A722" t="s">
        <v>14</v>
      </c>
      <c r="B722" t="s">
        <v>186</v>
      </c>
      <c r="C722"/>
      <c r="D722" t="s">
        <v>69</v>
      </c>
      <c r="E722" t="s">
        <v>71</v>
      </c>
      <c r="F722" t="s">
        <v>194</v>
      </c>
      <c r="G722" t="s">
        <v>195</v>
      </c>
      <c r="H722" t="s">
        <v>56</v>
      </c>
      <c r="I722" s="41">
        <v>38.22</v>
      </c>
      <c r="J722" s="40">
        <f>I722*(1-IFERROR(VLOOKUP(H722,Rabat!$D$10:$E$41,2,FALSE),0))</f>
        <v>38.22</v>
      </c>
      <c r="K722">
        <v>0.05</v>
      </c>
      <c r="L722" t="s">
        <v>1789</v>
      </c>
      <c r="M722" t="s">
        <v>2534</v>
      </c>
      <c r="N722" t="s">
        <v>2530</v>
      </c>
      <c r="O722" t="s">
        <v>1776</v>
      </c>
      <c r="P722">
        <v>50</v>
      </c>
      <c r="Q722">
        <v>0</v>
      </c>
      <c r="R722" t="s">
        <v>1820</v>
      </c>
      <c r="S722" s="42" t="str">
        <f>HYPERLINK("https://sklep.kobi.pl/produkt/czujnik-ruchu-lx39-180st-kulka-czarny")</f>
        <v>https://sklep.kobi.pl/produkt/czujnik-ruchu-lx39-180st-kulka-czarny</v>
      </c>
      <c r="T722" t="s">
        <v>71</v>
      </c>
      <c r="U722">
        <v>0.10299999999999999</v>
      </c>
      <c r="V722">
        <v>0.158</v>
      </c>
      <c r="W722">
        <v>140</v>
      </c>
      <c r="X722">
        <v>70</v>
      </c>
      <c r="Y722">
        <v>100</v>
      </c>
      <c r="Z722" t="s">
        <v>1778</v>
      </c>
      <c r="AA722"/>
    </row>
    <row r="723" spans="1:27" ht="15" x14ac:dyDescent="0.25">
      <c r="A723" t="s">
        <v>14</v>
      </c>
      <c r="B723" t="s">
        <v>186</v>
      </c>
      <c r="C723"/>
      <c r="D723" t="s">
        <v>69</v>
      </c>
      <c r="E723" t="s">
        <v>71</v>
      </c>
      <c r="F723" t="s">
        <v>196</v>
      </c>
      <c r="G723" t="s">
        <v>197</v>
      </c>
      <c r="H723" t="s">
        <v>56</v>
      </c>
      <c r="I723" s="41">
        <v>45.99</v>
      </c>
      <c r="J723" s="40">
        <f>I723*(1-IFERROR(VLOOKUP(H723,Rabat!$D$10:$E$41,2,FALSE),0))</f>
        <v>45.99</v>
      </c>
      <c r="K723">
        <v>0.06</v>
      </c>
      <c r="L723" t="s">
        <v>1789</v>
      </c>
      <c r="M723" t="s">
        <v>2535</v>
      </c>
      <c r="N723" t="s">
        <v>2530</v>
      </c>
      <c r="O723" t="s">
        <v>1776</v>
      </c>
      <c r="P723">
        <v>50</v>
      </c>
      <c r="Q723">
        <v>0</v>
      </c>
      <c r="R723" t="s">
        <v>1820</v>
      </c>
      <c r="S723" s="42" t="str">
        <f>HYPERLINK("https://sklep.kobi.pl/produkt/czujnik-ruchu-lx40-bialy")</f>
        <v>https://sklep.kobi.pl/produkt/czujnik-ruchu-lx40-bialy</v>
      </c>
      <c r="T723" t="s">
        <v>71</v>
      </c>
      <c r="U723">
        <v>0.13800000000000001</v>
      </c>
      <c r="V723">
        <v>0.18</v>
      </c>
      <c r="W723">
        <v>130</v>
      </c>
      <c r="X723">
        <v>90</v>
      </c>
      <c r="Y723">
        <v>70</v>
      </c>
      <c r="Z723" t="s">
        <v>1778</v>
      </c>
      <c r="AA723"/>
    </row>
    <row r="724" spans="1:27" ht="15" x14ac:dyDescent="0.25">
      <c r="A724" t="s">
        <v>14</v>
      </c>
      <c r="B724" t="s">
        <v>186</v>
      </c>
      <c r="C724"/>
      <c r="D724" t="s">
        <v>69</v>
      </c>
      <c r="E724" t="s">
        <v>71</v>
      </c>
      <c r="F724" t="s">
        <v>198</v>
      </c>
      <c r="G724" t="s">
        <v>199</v>
      </c>
      <c r="H724" t="s">
        <v>56</v>
      </c>
      <c r="I724" s="41">
        <v>45.99</v>
      </c>
      <c r="J724" s="40">
        <f>I724*(1-IFERROR(VLOOKUP(H724,Rabat!$D$10:$E$41,2,FALSE),0))</f>
        <v>45.99</v>
      </c>
      <c r="K724">
        <v>0.06</v>
      </c>
      <c r="L724" t="s">
        <v>1789</v>
      </c>
      <c r="M724" t="s">
        <v>2536</v>
      </c>
      <c r="N724" t="s">
        <v>2530</v>
      </c>
      <c r="O724" t="s">
        <v>1776</v>
      </c>
      <c r="P724">
        <v>50</v>
      </c>
      <c r="Q724">
        <v>0</v>
      </c>
      <c r="R724" t="s">
        <v>1820</v>
      </c>
      <c r="S724" s="42" t="str">
        <f>HYPERLINK("https://sklep.kobi.pl/produkt/czujnik-ruchu-lx40-czarny")</f>
        <v>https://sklep.kobi.pl/produkt/czujnik-ruchu-lx40-czarny</v>
      </c>
      <c r="T724" t="s">
        <v>71</v>
      </c>
      <c r="U724">
        <v>0.13800000000000001</v>
      </c>
      <c r="V724">
        <v>0.18</v>
      </c>
      <c r="W724">
        <v>130</v>
      </c>
      <c r="X724">
        <v>90</v>
      </c>
      <c r="Y724">
        <v>70</v>
      </c>
      <c r="Z724" t="s">
        <v>1778</v>
      </c>
      <c r="AA724"/>
    </row>
    <row r="725" spans="1:27" ht="15" x14ac:dyDescent="0.25">
      <c r="A725" t="s">
        <v>14</v>
      </c>
      <c r="B725" t="s">
        <v>186</v>
      </c>
      <c r="C725"/>
      <c r="D725" t="s">
        <v>69</v>
      </c>
      <c r="E725" t="s">
        <v>71</v>
      </c>
      <c r="F725" t="s">
        <v>204</v>
      </c>
      <c r="G725" t="s">
        <v>205</v>
      </c>
      <c r="H725" t="s">
        <v>56</v>
      </c>
      <c r="I725" s="41">
        <v>50</v>
      </c>
      <c r="J725" s="40">
        <f>I725*(1-IFERROR(VLOOKUP(H725,Rabat!$D$10:$E$41,2,FALSE),0))</f>
        <v>50</v>
      </c>
      <c r="K725">
        <v>0.03</v>
      </c>
      <c r="L725" t="s">
        <v>1789</v>
      </c>
      <c r="M725" t="s">
        <v>2537</v>
      </c>
      <c r="N725" t="s">
        <v>2530</v>
      </c>
      <c r="O725" t="s">
        <v>1776</v>
      </c>
      <c r="P725">
        <v>50</v>
      </c>
      <c r="Q725">
        <v>0</v>
      </c>
      <c r="R725" t="s">
        <v>1820</v>
      </c>
      <c r="S725" s="42" t="str">
        <f>HYPERLINK("https://sklep.kobi.pl/produkt/czujnik-ruchu-lx41-360st-do-wbud-bialy")</f>
        <v>https://sklep.kobi.pl/produkt/czujnik-ruchu-lx41-360st-do-wbud-bialy</v>
      </c>
      <c r="T725" t="s">
        <v>71</v>
      </c>
      <c r="U725">
        <v>6.7000000000000004E-2</v>
      </c>
      <c r="V725">
        <v>0.125</v>
      </c>
      <c r="W725">
        <v>120</v>
      </c>
      <c r="X725">
        <v>100</v>
      </c>
      <c r="Y725">
        <v>80</v>
      </c>
      <c r="Z725" t="s">
        <v>1778</v>
      </c>
      <c r="AA725"/>
    </row>
    <row r="726" spans="1:27" ht="15" x14ac:dyDescent="0.25">
      <c r="A726" t="s">
        <v>14</v>
      </c>
      <c r="B726" t="s">
        <v>186</v>
      </c>
      <c r="C726"/>
      <c r="D726" t="s">
        <v>69</v>
      </c>
      <c r="E726" t="s">
        <v>71</v>
      </c>
      <c r="F726" t="s">
        <v>210</v>
      </c>
      <c r="G726" t="s">
        <v>211</v>
      </c>
      <c r="H726" t="s">
        <v>56</v>
      </c>
      <c r="I726" s="41">
        <v>46.4</v>
      </c>
      <c r="J726" s="40">
        <f>I726*(1-IFERROR(VLOOKUP(H726,Rabat!$D$10:$E$41,2,FALSE),0))</f>
        <v>46.4</v>
      </c>
      <c r="K726">
        <v>0.02</v>
      </c>
      <c r="L726" t="s">
        <v>1789</v>
      </c>
      <c r="M726" t="s">
        <v>2538</v>
      </c>
      <c r="N726" t="s">
        <v>2530</v>
      </c>
      <c r="O726" t="s">
        <v>1776</v>
      </c>
      <c r="P726">
        <v>100</v>
      </c>
      <c r="Q726">
        <v>0</v>
      </c>
      <c r="R726" t="s">
        <v>1820</v>
      </c>
      <c r="S726" s="42" t="str">
        <f>HYPERLINK("https://sklep.kobi.pl/produkt/czujnik-ruchu-lx42-360st-do-wbud-bialy")</f>
        <v>https://sklep.kobi.pl/produkt/czujnik-ruchu-lx42-360st-do-wbud-bialy</v>
      </c>
      <c r="T726" t="s">
        <v>71</v>
      </c>
      <c r="U726">
        <v>0.04</v>
      </c>
      <c r="V726">
        <v>6.9000000000000006E-2</v>
      </c>
      <c r="W726">
        <v>90</v>
      </c>
      <c r="X726">
        <v>80</v>
      </c>
      <c r="Y726">
        <v>60</v>
      </c>
      <c r="Z726" t="s">
        <v>1778</v>
      </c>
      <c r="AA726"/>
    </row>
    <row r="727" spans="1:27" ht="15" x14ac:dyDescent="0.25">
      <c r="A727" t="s">
        <v>14</v>
      </c>
      <c r="B727" t="s">
        <v>186</v>
      </c>
      <c r="C727"/>
      <c r="D727" t="s">
        <v>69</v>
      </c>
      <c r="E727" t="s">
        <v>1289</v>
      </c>
      <c r="F727" t="s">
        <v>1761</v>
      </c>
      <c r="G727" t="s">
        <v>1762</v>
      </c>
      <c r="H727" t="s">
        <v>56</v>
      </c>
      <c r="I727" s="41">
        <v>110</v>
      </c>
      <c r="J727" s="40">
        <f>I727*(1-IFERROR(VLOOKUP(H727,Rabat!$D$10:$E$41,2,FALSE),0))</f>
        <v>110</v>
      </c>
      <c r="K727"/>
      <c r="L727" t="s">
        <v>1789</v>
      </c>
      <c r="M727" t="s">
        <v>2539</v>
      </c>
      <c r="N727" t="s">
        <v>2530</v>
      </c>
      <c r="O727" t="s">
        <v>1776</v>
      </c>
      <c r="P727">
        <v>100</v>
      </c>
      <c r="Q727">
        <v>0</v>
      </c>
      <c r="R727" t="s">
        <v>1789</v>
      </c>
      <c r="S727"/>
      <c r="T727" t="s">
        <v>71</v>
      </c>
      <c r="U727">
        <v>4.2000000000000003E-2</v>
      </c>
      <c r="V727">
        <v>0</v>
      </c>
      <c r="W727">
        <v>0</v>
      </c>
      <c r="X727">
        <v>0</v>
      </c>
      <c r="Y727">
        <v>0</v>
      </c>
      <c r="Z727" t="s">
        <v>1778</v>
      </c>
      <c r="AA727"/>
    </row>
    <row r="728" spans="1:27" ht="15" x14ac:dyDescent="0.25">
      <c r="A728" t="s">
        <v>14</v>
      </c>
      <c r="B728" t="s">
        <v>186</v>
      </c>
      <c r="C728"/>
      <c r="D728" t="s">
        <v>69</v>
      </c>
      <c r="E728" t="s">
        <v>1289</v>
      </c>
      <c r="F728" t="s">
        <v>1591</v>
      </c>
      <c r="G728" t="s">
        <v>1592</v>
      </c>
      <c r="H728" t="s">
        <v>56</v>
      </c>
      <c r="I728" s="41">
        <v>110</v>
      </c>
      <c r="J728" s="40">
        <f>I728*(1-IFERROR(VLOOKUP(H728,Rabat!$D$10:$E$41,2,FALSE),0))</f>
        <v>110</v>
      </c>
      <c r="K728">
        <v>0.02</v>
      </c>
      <c r="L728" t="s">
        <v>1789</v>
      </c>
      <c r="M728" t="s">
        <v>2540</v>
      </c>
      <c r="N728" t="s">
        <v>2530</v>
      </c>
      <c r="O728" t="s">
        <v>1776</v>
      </c>
      <c r="P728">
        <v>1</v>
      </c>
      <c r="Q728">
        <v>0</v>
      </c>
      <c r="R728" t="s">
        <v>1820</v>
      </c>
      <c r="S728" s="42" t="str">
        <f>HYPERLINK("https://sklep.kobi.pl/produkt/czujnik-ruchu-zhaga")</f>
        <v>https://sklep.kobi.pl/produkt/czujnik-ruchu-zhaga</v>
      </c>
      <c r="T728" t="s">
        <v>71</v>
      </c>
      <c r="U728">
        <v>0.03</v>
      </c>
      <c r="V728">
        <v>0</v>
      </c>
      <c r="W728">
        <v>0</v>
      </c>
      <c r="X728">
        <v>0</v>
      </c>
      <c r="Y728">
        <v>0</v>
      </c>
      <c r="Z728" t="s">
        <v>1778</v>
      </c>
      <c r="AA728"/>
    </row>
    <row r="729" spans="1:27" ht="15" x14ac:dyDescent="0.25">
      <c r="A729" t="s">
        <v>14</v>
      </c>
      <c r="B729" t="s">
        <v>186</v>
      </c>
      <c r="C729"/>
      <c r="D729" t="s">
        <v>69</v>
      </c>
      <c r="E729" t="s">
        <v>1289</v>
      </c>
      <c r="F729" t="s">
        <v>1593</v>
      </c>
      <c r="G729" t="s">
        <v>1594</v>
      </c>
      <c r="H729" t="s">
        <v>56</v>
      </c>
      <c r="I729" s="41">
        <v>218</v>
      </c>
      <c r="J729" s="40">
        <f>I729*(1-IFERROR(VLOOKUP(H729,Rabat!$D$10:$E$41,2,FALSE),0))</f>
        <v>218</v>
      </c>
      <c r="K729">
        <v>0.04</v>
      </c>
      <c r="L729" t="s">
        <v>1789</v>
      </c>
      <c r="M729" t="s">
        <v>2541</v>
      </c>
      <c r="N729" t="s">
        <v>2542</v>
      </c>
      <c r="O729" t="s">
        <v>1776</v>
      </c>
      <c r="P729">
        <v>1</v>
      </c>
      <c r="Q729">
        <v>0</v>
      </c>
      <c r="R729" t="s">
        <v>1820</v>
      </c>
      <c r="S729" s="42" t="str">
        <f>HYPERLINK("https://sklep.kobi.pl/produkt/pilot-do-czujnika")</f>
        <v>https://sklep.kobi.pl/produkt/pilot-do-czujnika</v>
      </c>
      <c r="T729" t="s">
        <v>71</v>
      </c>
      <c r="U729">
        <v>0.08</v>
      </c>
      <c r="V729">
        <v>0</v>
      </c>
      <c r="W729">
        <v>0</v>
      </c>
      <c r="X729">
        <v>0</v>
      </c>
      <c r="Y729">
        <v>0</v>
      </c>
      <c r="Z729" t="s">
        <v>1778</v>
      </c>
      <c r="AA729"/>
    </row>
    <row r="730" spans="1:27" ht="15" x14ac:dyDescent="0.25">
      <c r="A730" t="s">
        <v>14</v>
      </c>
      <c r="B730" t="s">
        <v>554</v>
      </c>
      <c r="C730"/>
      <c r="D730" t="s">
        <v>69</v>
      </c>
      <c r="E730" t="s">
        <v>149</v>
      </c>
      <c r="F730" t="s">
        <v>1624</v>
      </c>
      <c r="G730" t="s">
        <v>1625</v>
      </c>
      <c r="H730" t="s">
        <v>52</v>
      </c>
      <c r="I730" s="41">
        <v>53.12</v>
      </c>
      <c r="J730" s="40">
        <f>I730*(1-IFERROR(VLOOKUP(H730,Rabat!$D$10:$E$41,2,FALSE),0))</f>
        <v>53.12</v>
      </c>
      <c r="K730">
        <v>0</v>
      </c>
      <c r="L730" t="s">
        <v>1789</v>
      </c>
      <c r="M730" t="s">
        <v>2543</v>
      </c>
      <c r="N730" t="s">
        <v>2510</v>
      </c>
      <c r="O730" t="s">
        <v>1776</v>
      </c>
      <c r="P730">
        <v>0</v>
      </c>
      <c r="Q730">
        <v>0</v>
      </c>
      <c r="R730" t="s">
        <v>1777</v>
      </c>
      <c r="S730"/>
      <c r="T730" t="s">
        <v>71</v>
      </c>
      <c r="U730">
        <v>0</v>
      </c>
      <c r="V730">
        <v>0.32</v>
      </c>
      <c r="W730">
        <v>1500</v>
      </c>
      <c r="X730">
        <v>110</v>
      </c>
      <c r="Y730">
        <v>60</v>
      </c>
      <c r="Z730" t="s">
        <v>1778</v>
      </c>
      <c r="AA730"/>
    </row>
    <row r="731" spans="1:27" ht="15" x14ac:dyDescent="0.25">
      <c r="A731" t="s">
        <v>14</v>
      </c>
      <c r="B731" t="s">
        <v>554</v>
      </c>
      <c r="C731"/>
      <c r="D731" t="s">
        <v>69</v>
      </c>
      <c r="E731" t="s">
        <v>149</v>
      </c>
      <c r="F731" t="s">
        <v>555</v>
      </c>
      <c r="G731" t="s">
        <v>556</v>
      </c>
      <c r="H731" t="s">
        <v>57</v>
      </c>
      <c r="I731" s="41">
        <v>23</v>
      </c>
      <c r="J731" s="40">
        <f>I731*(1-IFERROR(VLOOKUP(H731,Rabat!$D$10:$E$41,2,FALSE),0))</f>
        <v>23</v>
      </c>
      <c r="K731">
        <v>0</v>
      </c>
      <c r="L731" t="s">
        <v>1789</v>
      </c>
      <c r="M731" t="s">
        <v>2543</v>
      </c>
      <c r="N731" t="s">
        <v>2510</v>
      </c>
      <c r="O731" t="s">
        <v>1776</v>
      </c>
      <c r="P731">
        <v>30</v>
      </c>
      <c r="Q731">
        <v>0</v>
      </c>
      <c r="R731" t="s">
        <v>1777</v>
      </c>
      <c r="S731" s="42" t="str">
        <f>HYPERLINK("https://sklep.kobi.pl/produkt/klosz-przyzmatic-led-hermic-2x120")</f>
        <v>https://sklep.kobi.pl/produkt/klosz-przyzmatic-led-hermic-2x120</v>
      </c>
      <c r="T731" t="s">
        <v>71</v>
      </c>
      <c r="U731">
        <v>0.34</v>
      </c>
      <c r="V731">
        <v>0.35899999999999999</v>
      </c>
      <c r="W731">
        <v>1260</v>
      </c>
      <c r="X731">
        <v>120</v>
      </c>
      <c r="Y731">
        <v>40</v>
      </c>
      <c r="Z731" t="s">
        <v>1778</v>
      </c>
      <c r="AA731"/>
    </row>
    <row r="732" spans="1:27" ht="15" x14ac:dyDescent="0.25">
      <c r="A732" t="s">
        <v>5</v>
      </c>
      <c r="B732" t="s">
        <v>554</v>
      </c>
      <c r="C732" t="s">
        <v>158</v>
      </c>
      <c r="D732" t="s">
        <v>69</v>
      </c>
      <c r="E732" t="s">
        <v>1289</v>
      </c>
      <c r="F732" t="s">
        <v>1476</v>
      </c>
      <c r="G732" t="s">
        <v>1477</v>
      </c>
      <c r="H732" t="s">
        <v>6</v>
      </c>
      <c r="I732" s="41">
        <v>60</v>
      </c>
      <c r="J732" s="40">
        <f>I732*(1-IFERROR(VLOOKUP(H732,Rabat!$D$10:$E$41,2,FALSE),0))</f>
        <v>60</v>
      </c>
      <c r="K732">
        <v>0</v>
      </c>
      <c r="L732" t="s">
        <v>1789</v>
      </c>
      <c r="M732" t="s">
        <v>2544</v>
      </c>
      <c r="N732" t="s">
        <v>2099</v>
      </c>
      <c r="O732" t="s">
        <v>1776</v>
      </c>
      <c r="P732">
        <v>20</v>
      </c>
      <c r="Q732">
        <v>0</v>
      </c>
      <c r="R732" t="s">
        <v>1777</v>
      </c>
      <c r="S732" s="42" t="str">
        <f>HYPERLINK("https://sklep.kobi.pl/produkt/uchwyt-do-anica-hb-100w")</f>
        <v>https://sklep.kobi.pl/produkt/uchwyt-do-anica-hb-100w</v>
      </c>
      <c r="T732" t="s">
        <v>71</v>
      </c>
      <c r="U732">
        <v>0.46</v>
      </c>
      <c r="V732">
        <v>0</v>
      </c>
      <c r="W732">
        <v>0</v>
      </c>
      <c r="X732">
        <v>0</v>
      </c>
      <c r="Y732">
        <v>0</v>
      </c>
      <c r="Z732" t="s">
        <v>1778</v>
      </c>
      <c r="AA732"/>
    </row>
    <row r="733" spans="1:27" ht="15" x14ac:dyDescent="0.25">
      <c r="A733" t="s">
        <v>14</v>
      </c>
      <c r="B733" t="s">
        <v>1214</v>
      </c>
      <c r="C733" t="s">
        <v>1215</v>
      </c>
      <c r="D733" t="s">
        <v>821</v>
      </c>
      <c r="E733" t="s">
        <v>149</v>
      </c>
      <c r="F733" t="s">
        <v>1216</v>
      </c>
      <c r="G733" t="s">
        <v>1217</v>
      </c>
      <c r="H733" t="s">
        <v>58</v>
      </c>
      <c r="I733" s="41">
        <v>77.56</v>
      </c>
      <c r="J733" s="40">
        <f>I733*(1-IFERROR(VLOOKUP(H733,Rabat!$D$10:$E$41,2,FALSE),0))</f>
        <v>77.56</v>
      </c>
      <c r="K733">
        <v>0.04</v>
      </c>
      <c r="L733" t="s">
        <v>1789</v>
      </c>
      <c r="M733" t="s">
        <v>2545</v>
      </c>
      <c r="N733" t="s">
        <v>2546</v>
      </c>
      <c r="O733" t="s">
        <v>1776</v>
      </c>
      <c r="P733">
        <v>50</v>
      </c>
      <c r="Q733">
        <v>2000</v>
      </c>
      <c r="R733" t="s">
        <v>1777</v>
      </c>
      <c r="S733" s="42" t="str">
        <f>HYPERLINK("https://sklep.kobi.pl/produkt/smart-socket-wifi")</f>
        <v>https://sklep.kobi.pl/produkt/smart-socket-wifi</v>
      </c>
      <c r="T733" t="s">
        <v>71</v>
      </c>
      <c r="U733">
        <v>8.6999999999999994E-2</v>
      </c>
      <c r="V733">
        <v>0.12</v>
      </c>
      <c r="W733">
        <v>105</v>
      </c>
      <c r="X733">
        <v>75</v>
      </c>
      <c r="Y733">
        <v>60</v>
      </c>
      <c r="Z733" t="s">
        <v>1778</v>
      </c>
      <c r="AA733"/>
    </row>
    <row r="734" spans="1:27" ht="15" x14ac:dyDescent="0.25">
      <c r="A734" t="s">
        <v>14</v>
      </c>
      <c r="B734" t="s">
        <v>158</v>
      </c>
      <c r="C734" t="s">
        <v>159</v>
      </c>
      <c r="D734" t="s">
        <v>69</v>
      </c>
      <c r="E734" t="s">
        <v>71</v>
      </c>
      <c r="F734" t="s">
        <v>164</v>
      </c>
      <c r="G734" t="s">
        <v>165</v>
      </c>
      <c r="H734" t="s">
        <v>15</v>
      </c>
      <c r="I734" s="41">
        <v>1.49</v>
      </c>
      <c r="J734" s="40">
        <f>I734*(1-IFERROR(VLOOKUP(H734,Rabat!$D$10:$E$41,2,FALSE),0))</f>
        <v>1.49</v>
      </c>
      <c r="K734">
        <v>0</v>
      </c>
      <c r="L734" t="s">
        <v>1789</v>
      </c>
      <c r="M734" t="s">
        <v>2547</v>
      </c>
      <c r="N734" t="s">
        <v>2548</v>
      </c>
      <c r="O734" t="s">
        <v>1776</v>
      </c>
      <c r="P734">
        <v>200</v>
      </c>
      <c r="Q734">
        <v>0</v>
      </c>
      <c r="R734" t="s">
        <v>1777</v>
      </c>
      <c r="S734" s="42" t="str">
        <f>HYPERLINK("https://sklep.kobi.pl/produkt/kostka-halogenowa-g53")</f>
        <v>https://sklep.kobi.pl/produkt/kostka-halogenowa-g53</v>
      </c>
      <c r="T734" t="s">
        <v>71</v>
      </c>
      <c r="U734">
        <v>0.01</v>
      </c>
      <c r="V734">
        <v>0.01</v>
      </c>
      <c r="W734">
        <v>20</v>
      </c>
      <c r="X734">
        <v>20</v>
      </c>
      <c r="Y734">
        <v>20</v>
      </c>
      <c r="Z734" t="s">
        <v>1778</v>
      </c>
      <c r="AA734"/>
    </row>
    <row r="735" spans="1:27" ht="15" x14ac:dyDescent="0.25">
      <c r="A735" t="s">
        <v>14</v>
      </c>
      <c r="B735" t="s">
        <v>158</v>
      </c>
      <c r="C735" t="s">
        <v>159</v>
      </c>
      <c r="D735" t="s">
        <v>69</v>
      </c>
      <c r="E735" t="s">
        <v>71</v>
      </c>
      <c r="F735" t="s">
        <v>162</v>
      </c>
      <c r="G735" t="s">
        <v>163</v>
      </c>
      <c r="H735" t="s">
        <v>15</v>
      </c>
      <c r="I735" s="41">
        <v>1.74</v>
      </c>
      <c r="J735" s="40">
        <f>I735*(1-IFERROR(VLOOKUP(H735,Rabat!$D$10:$E$41,2,FALSE),0))</f>
        <v>1.74</v>
      </c>
      <c r="K735">
        <v>0</v>
      </c>
      <c r="L735" t="s">
        <v>1789</v>
      </c>
      <c r="M735" t="s">
        <v>2549</v>
      </c>
      <c r="N735" t="s">
        <v>2550</v>
      </c>
      <c r="O735" t="s">
        <v>1776</v>
      </c>
      <c r="P735">
        <v>50</v>
      </c>
      <c r="Q735">
        <v>28800</v>
      </c>
      <c r="R735" t="s">
        <v>1777</v>
      </c>
      <c r="S735" s="42" t="str">
        <f>HYPERLINK("https://sklep.kobi.pl/produkt/kostka-halogenowa-k002-gu10")</f>
        <v>https://sklep.kobi.pl/produkt/kostka-halogenowa-k002-gu10</v>
      </c>
      <c r="T735" t="s">
        <v>71</v>
      </c>
      <c r="U735">
        <v>1.6E-2</v>
      </c>
      <c r="V735">
        <v>0.02</v>
      </c>
      <c r="W735">
        <v>20</v>
      </c>
      <c r="X735">
        <v>20</v>
      </c>
      <c r="Y735">
        <v>20</v>
      </c>
      <c r="Z735" t="s">
        <v>1778</v>
      </c>
      <c r="AA735"/>
    </row>
    <row r="736" spans="1:27" ht="15" x14ac:dyDescent="0.25">
      <c r="A736" t="s">
        <v>14</v>
      </c>
      <c r="B736" t="s">
        <v>158</v>
      </c>
      <c r="C736" t="s">
        <v>159</v>
      </c>
      <c r="D736" t="s">
        <v>69</v>
      </c>
      <c r="E736" t="s">
        <v>71</v>
      </c>
      <c r="F736" t="s">
        <v>160</v>
      </c>
      <c r="G736" t="s">
        <v>161</v>
      </c>
      <c r="H736" t="s">
        <v>15</v>
      </c>
      <c r="I736" s="41">
        <v>1.49</v>
      </c>
      <c r="J736" s="40">
        <f>I736*(1-IFERROR(VLOOKUP(H736,Rabat!$D$10:$E$41,2,FALSE),0))</f>
        <v>1.49</v>
      </c>
      <c r="K736">
        <v>0</v>
      </c>
      <c r="L736" t="s">
        <v>1789</v>
      </c>
      <c r="M736" t="s">
        <v>2551</v>
      </c>
      <c r="N736" t="s">
        <v>2548</v>
      </c>
      <c r="O736" t="s">
        <v>1776</v>
      </c>
      <c r="P736">
        <v>280</v>
      </c>
      <c r="Q736">
        <v>10080</v>
      </c>
      <c r="R736" t="s">
        <v>1777</v>
      </c>
      <c r="S736" s="42" t="str">
        <f>HYPERLINK("https://sklep.kobi.pl/produkt/oprawka-porcelanowa-z-blaszka-k003-e27")</f>
        <v>https://sklep.kobi.pl/produkt/oprawka-porcelanowa-z-blaszka-k003-e27</v>
      </c>
      <c r="T736" t="s">
        <v>71</v>
      </c>
      <c r="U736">
        <v>0.06</v>
      </c>
      <c r="V736">
        <v>0.06</v>
      </c>
      <c r="W736">
        <v>48</v>
      </c>
      <c r="X736">
        <v>37</v>
      </c>
      <c r="Y736">
        <v>50</v>
      </c>
      <c r="Z736" t="s">
        <v>1778</v>
      </c>
      <c r="AA736"/>
    </row>
    <row r="737" spans="1:27" ht="15" x14ac:dyDescent="0.25">
      <c r="A737" t="s">
        <v>14</v>
      </c>
      <c r="B737" t="s">
        <v>147</v>
      </c>
      <c r="C737"/>
      <c r="D737" t="s">
        <v>69</v>
      </c>
      <c r="E737" t="s">
        <v>71</v>
      </c>
      <c r="F737" t="s">
        <v>853</v>
      </c>
      <c r="G737" t="s">
        <v>854</v>
      </c>
      <c r="H737" t="s">
        <v>6</v>
      </c>
      <c r="I737" s="41">
        <v>30.04</v>
      </c>
      <c r="J737" s="40">
        <f>I737*(1-IFERROR(VLOOKUP(H737,Rabat!$D$10:$E$41,2,FALSE),0))</f>
        <v>30.04</v>
      </c>
      <c r="K737">
        <v>0</v>
      </c>
      <c r="L737" t="s">
        <v>1789</v>
      </c>
      <c r="M737" t="s">
        <v>2552</v>
      </c>
      <c r="N737" t="s">
        <v>1982</v>
      </c>
      <c r="O737" t="s">
        <v>1776</v>
      </c>
      <c r="P737">
        <v>1</v>
      </c>
      <c r="Q737">
        <v>0</v>
      </c>
      <c r="R737" t="s">
        <v>1995</v>
      </c>
      <c r="S737" s="42" t="str">
        <f>HYPERLINK("https://sklep.kobi.pl/produkt/bateria-do-solar-led-mhc-5w")</f>
        <v>https://sklep.kobi.pl/produkt/bateria-do-solar-led-mhc-5w</v>
      </c>
      <c r="T737" t="s">
        <v>71</v>
      </c>
      <c r="U737">
        <v>0.09</v>
      </c>
      <c r="V737">
        <v>0.1</v>
      </c>
      <c r="W737">
        <v>130</v>
      </c>
      <c r="X737">
        <v>15</v>
      </c>
      <c r="Y737">
        <v>15</v>
      </c>
      <c r="Z737" t="s">
        <v>1983</v>
      </c>
      <c r="AA737"/>
    </row>
    <row r="738" spans="1:27" ht="15" x14ac:dyDescent="0.25">
      <c r="A738" t="s">
        <v>14</v>
      </c>
      <c r="B738" t="s">
        <v>147</v>
      </c>
      <c r="C738"/>
      <c r="D738" t="s">
        <v>69</v>
      </c>
      <c r="E738" t="s">
        <v>71</v>
      </c>
      <c r="F738" t="s">
        <v>851</v>
      </c>
      <c r="G738" t="s">
        <v>852</v>
      </c>
      <c r="H738" t="s">
        <v>6</v>
      </c>
      <c r="I738" s="41">
        <v>74.63</v>
      </c>
      <c r="J738" s="40">
        <f>I738*(1-IFERROR(VLOOKUP(H738,Rabat!$D$10:$E$41,2,FALSE),0))</f>
        <v>74.63</v>
      </c>
      <c r="K738">
        <v>0</v>
      </c>
      <c r="L738" t="s">
        <v>1789</v>
      </c>
      <c r="M738" t="s">
        <v>2553</v>
      </c>
      <c r="N738" t="s">
        <v>1982</v>
      </c>
      <c r="O738" t="s">
        <v>1776</v>
      </c>
      <c r="P738">
        <v>1</v>
      </c>
      <c r="Q738">
        <v>0</v>
      </c>
      <c r="R738" t="s">
        <v>1995</v>
      </c>
      <c r="S738" s="42" t="str">
        <f>HYPERLINK("https://sklep.kobi.pl/produkt/bateria-do-solar-led-mhc-mhcs-10w")</f>
        <v>https://sklep.kobi.pl/produkt/bateria-do-solar-led-mhc-mhcs-10w</v>
      </c>
      <c r="T738" t="s">
        <v>71</v>
      </c>
      <c r="U738">
        <v>0.19</v>
      </c>
      <c r="V738">
        <v>0.2</v>
      </c>
      <c r="W738">
        <v>130</v>
      </c>
      <c r="X738">
        <v>20</v>
      </c>
      <c r="Y738">
        <v>35</v>
      </c>
      <c r="Z738" t="s">
        <v>1983</v>
      </c>
      <c r="AA738"/>
    </row>
    <row r="739" spans="1:27" ht="15" x14ac:dyDescent="0.25">
      <c r="A739" t="s">
        <v>14</v>
      </c>
      <c r="B739" t="s">
        <v>147</v>
      </c>
      <c r="C739"/>
      <c r="D739" t="s">
        <v>69</v>
      </c>
      <c r="E739" t="s">
        <v>71</v>
      </c>
      <c r="F739" t="s">
        <v>855</v>
      </c>
      <c r="G739" t="s">
        <v>856</v>
      </c>
      <c r="H739" t="s">
        <v>6</v>
      </c>
      <c r="I739" s="41">
        <v>111.93</v>
      </c>
      <c r="J739" s="40">
        <f>I739*(1-IFERROR(VLOOKUP(H739,Rabat!$D$10:$E$41,2,FALSE),0))</f>
        <v>111.93</v>
      </c>
      <c r="K739">
        <v>0</v>
      </c>
      <c r="L739" t="s">
        <v>1789</v>
      </c>
      <c r="M739" t="s">
        <v>2554</v>
      </c>
      <c r="N739" t="s">
        <v>1982</v>
      </c>
      <c r="O739" t="s">
        <v>1776</v>
      </c>
      <c r="P739">
        <v>1</v>
      </c>
      <c r="Q739">
        <v>0</v>
      </c>
      <c r="R739" t="s">
        <v>1995</v>
      </c>
      <c r="S739" s="42" t="str">
        <f>HYPERLINK("https://sklep.kobi.pl/produkt/bateria-do-solar-led-street-15w")</f>
        <v>https://sklep.kobi.pl/produkt/bateria-do-solar-led-street-15w</v>
      </c>
      <c r="T739" t="s">
        <v>71</v>
      </c>
      <c r="U739">
        <v>0.28000000000000003</v>
      </c>
      <c r="V739">
        <v>0.28000000000000003</v>
      </c>
      <c r="W739">
        <v>110</v>
      </c>
      <c r="X739">
        <v>65</v>
      </c>
      <c r="Y739">
        <v>20</v>
      </c>
      <c r="Z739" t="s">
        <v>1983</v>
      </c>
      <c r="AA739"/>
    </row>
    <row r="740" spans="1:27" ht="15" x14ac:dyDescent="0.25">
      <c r="A740" t="s">
        <v>14</v>
      </c>
      <c r="B740" t="s">
        <v>147</v>
      </c>
      <c r="C740"/>
      <c r="D740" t="s">
        <v>69</v>
      </c>
      <c r="E740" t="s">
        <v>149</v>
      </c>
      <c r="F740" t="s">
        <v>931</v>
      </c>
      <c r="G740" t="s">
        <v>932</v>
      </c>
      <c r="H740" t="s">
        <v>15</v>
      </c>
      <c r="I740" s="41">
        <v>64.58</v>
      </c>
      <c r="J740" s="40">
        <f>I740*(1-IFERROR(VLOOKUP(H740,Rabat!$D$10:$E$41,2,FALSE),0))</f>
        <v>64.58</v>
      </c>
      <c r="K740">
        <v>0</v>
      </c>
      <c r="L740" t="s">
        <v>1789</v>
      </c>
      <c r="M740" t="s">
        <v>2555</v>
      </c>
      <c r="N740" t="s">
        <v>2099</v>
      </c>
      <c r="O740" t="s">
        <v>1776</v>
      </c>
      <c r="P740">
        <v>20</v>
      </c>
      <c r="Q740">
        <v>960</v>
      </c>
      <c r="R740" t="s">
        <v>1777</v>
      </c>
      <c r="S740" s="42" t="str">
        <f>HYPERLINK("https://sklep.kobi.pl/produkt/uchwyt-do-rio-hb-100w-150w-200w")</f>
        <v>https://sklep.kobi.pl/produkt/uchwyt-do-rio-hb-100w-150w-200w</v>
      </c>
      <c r="T740" t="s">
        <v>71</v>
      </c>
      <c r="U740">
        <v>0.75</v>
      </c>
      <c r="V740">
        <v>0.76</v>
      </c>
      <c r="W740">
        <v>230</v>
      </c>
      <c r="X740">
        <v>150</v>
      </c>
      <c r="Y740">
        <v>80</v>
      </c>
      <c r="Z740" t="s">
        <v>1778</v>
      </c>
      <c r="AA740"/>
    </row>
    <row r="741" spans="1:27" ht="15" x14ac:dyDescent="0.25">
      <c r="A741" t="s">
        <v>14</v>
      </c>
      <c r="B741" t="s">
        <v>147</v>
      </c>
      <c r="C741"/>
      <c r="D741" t="s">
        <v>424</v>
      </c>
      <c r="E741" t="s">
        <v>1289</v>
      </c>
      <c r="F741" t="s">
        <v>1436</v>
      </c>
      <c r="G741" t="s">
        <v>1437</v>
      </c>
      <c r="H741" t="s">
        <v>6</v>
      </c>
      <c r="I741" s="41">
        <v>51</v>
      </c>
      <c r="J741" s="40">
        <f>I741*(1-IFERROR(VLOOKUP(H741,Rabat!$D$10:$E$41,2,FALSE),0))</f>
        <v>51</v>
      </c>
      <c r="K741">
        <v>0</v>
      </c>
      <c r="L741" t="s">
        <v>1789</v>
      </c>
      <c r="M741" t="s">
        <v>2556</v>
      </c>
      <c r="N741" t="s">
        <v>2099</v>
      </c>
      <c r="O741" t="s">
        <v>1776</v>
      </c>
      <c r="P741">
        <v>54</v>
      </c>
      <c r="Q741">
        <v>0</v>
      </c>
      <c r="R741" t="s">
        <v>1777</v>
      </c>
      <c r="S741" s="42" t="str">
        <f>HYPERLINK("https://sklep.kobi.pl/produkt/uchwyt-do-rio-pro-100w")</f>
        <v>https://sklep.kobi.pl/produkt/uchwyt-do-rio-pro-100w</v>
      </c>
      <c r="T741" t="s">
        <v>71</v>
      </c>
      <c r="U741">
        <v>0.22</v>
      </c>
      <c r="V741">
        <v>0</v>
      </c>
      <c r="W741">
        <v>0</v>
      </c>
      <c r="X741">
        <v>0</v>
      </c>
      <c r="Y741">
        <v>0</v>
      </c>
      <c r="Z741" t="s">
        <v>1778</v>
      </c>
      <c r="AA741"/>
    </row>
    <row r="742" spans="1:27" ht="15" x14ac:dyDescent="0.25">
      <c r="A742" t="s">
        <v>14</v>
      </c>
      <c r="B742" t="s">
        <v>147</v>
      </c>
      <c r="C742" t="s">
        <v>148</v>
      </c>
      <c r="D742" t="s">
        <v>69</v>
      </c>
      <c r="E742" t="s">
        <v>149</v>
      </c>
      <c r="F742" t="s">
        <v>150</v>
      </c>
      <c r="G742" t="s">
        <v>151</v>
      </c>
      <c r="H742" t="s">
        <v>16</v>
      </c>
      <c r="I742" s="41">
        <v>66.2</v>
      </c>
      <c r="J742" s="40">
        <f>I742*(1-IFERROR(VLOOKUP(H742,Rabat!$D$10:$E$41,2,FALSE),0))</f>
        <v>66.2</v>
      </c>
      <c r="K742">
        <v>0.01</v>
      </c>
      <c r="L742" t="s">
        <v>1789</v>
      </c>
      <c r="M742" t="s">
        <v>2557</v>
      </c>
      <c r="N742" t="s">
        <v>2558</v>
      </c>
      <c r="O742" t="s">
        <v>1776</v>
      </c>
      <c r="P742">
        <v>10</v>
      </c>
      <c r="Q742">
        <v>0</v>
      </c>
      <c r="R742" t="s">
        <v>1777</v>
      </c>
      <c r="S742" s="42" t="str">
        <f>HYPERLINK("https://sklep.kobi.pl/produkt/sterownik-ledst06fp-5-24v-12a-z-pilotem")</f>
        <v>https://sklep.kobi.pl/produkt/sterownik-ledst06fp-5-24v-12a-z-pilotem</v>
      </c>
      <c r="T742" t="s">
        <v>71</v>
      </c>
      <c r="U742">
        <v>2.7E-2</v>
      </c>
      <c r="V742">
        <v>3.4000000000000002E-2</v>
      </c>
      <c r="W742">
        <v>10</v>
      </c>
      <c r="X742">
        <v>130</v>
      </c>
      <c r="Y742">
        <v>10</v>
      </c>
      <c r="Z742" t="s">
        <v>1778</v>
      </c>
      <c r="AA742"/>
    </row>
    <row r="743" spans="1:27" ht="15" x14ac:dyDescent="0.25">
      <c r="A743" t="s">
        <v>14</v>
      </c>
      <c r="B743" t="s">
        <v>147</v>
      </c>
      <c r="C743" t="s">
        <v>152</v>
      </c>
      <c r="D743" t="s">
        <v>69</v>
      </c>
      <c r="E743" t="s">
        <v>149</v>
      </c>
      <c r="F743" t="s">
        <v>153</v>
      </c>
      <c r="G743" t="s">
        <v>154</v>
      </c>
      <c r="H743" t="s">
        <v>16</v>
      </c>
      <c r="I743" s="41">
        <v>44.5</v>
      </c>
      <c r="J743" s="40">
        <f>I743*(1-IFERROR(VLOOKUP(H743,Rabat!$D$10:$E$41,2,FALSE),0))</f>
        <v>44.5</v>
      </c>
      <c r="K743">
        <v>0.01</v>
      </c>
      <c r="L743" t="s">
        <v>1789</v>
      </c>
      <c r="M743" t="s">
        <v>2559</v>
      </c>
      <c r="N743" t="s">
        <v>2558</v>
      </c>
      <c r="O743" t="s">
        <v>1776</v>
      </c>
      <c r="P743">
        <v>12</v>
      </c>
      <c r="Q743">
        <v>0</v>
      </c>
      <c r="R743" t="s">
        <v>1777</v>
      </c>
      <c r="S743" s="42" t="str">
        <f>HYPERLINK("https://sklep.kobi.pl/produkt/wzmacniacz-ledst07f-5-24v-12a")</f>
        <v>https://sklep.kobi.pl/produkt/wzmacniacz-ledst07f-5-24v-12a</v>
      </c>
      <c r="T743" t="s">
        <v>71</v>
      </c>
      <c r="U743">
        <v>7.0000000000000001E-3</v>
      </c>
      <c r="V743">
        <v>1.4999999999999999E-2</v>
      </c>
      <c r="W743">
        <v>125</v>
      </c>
      <c r="X743">
        <v>96</v>
      </c>
      <c r="Y743">
        <v>6</v>
      </c>
      <c r="Z743" t="s">
        <v>1778</v>
      </c>
      <c r="AA743"/>
    </row>
    <row r="744" spans="1:27" ht="15" x14ac:dyDescent="0.25">
      <c r="A744" t="s">
        <v>14</v>
      </c>
      <c r="B744" t="s">
        <v>147</v>
      </c>
      <c r="C744" t="s">
        <v>155</v>
      </c>
      <c r="D744" t="s">
        <v>69</v>
      </c>
      <c r="E744" t="s">
        <v>71</v>
      </c>
      <c r="F744" t="s">
        <v>156</v>
      </c>
      <c r="G744" t="s">
        <v>157</v>
      </c>
      <c r="H744" t="s">
        <v>16</v>
      </c>
      <c r="I744" s="41">
        <v>40</v>
      </c>
      <c r="J744" s="40">
        <f>I744*(1-IFERROR(VLOOKUP(H744,Rabat!$D$10:$E$41,2,FALSE),0))</f>
        <v>40</v>
      </c>
      <c r="K744">
        <v>0.01</v>
      </c>
      <c r="L744" t="s">
        <v>1789</v>
      </c>
      <c r="M744" t="s">
        <v>2560</v>
      </c>
      <c r="N744" t="s">
        <v>2542</v>
      </c>
      <c r="O744" t="s">
        <v>1776</v>
      </c>
      <c r="P744">
        <v>10</v>
      </c>
      <c r="Q744">
        <v>0</v>
      </c>
      <c r="R744" t="s">
        <v>1777</v>
      </c>
      <c r="S744" s="42" t="str">
        <f>HYPERLINK("https://sklep.kobi.pl/produkt/sciemniacz-ledsc02dp-5-24v-12a-z-pilotem")</f>
        <v>https://sklep.kobi.pl/produkt/sciemniacz-ledsc02dp-5-24v-12a-z-pilotem</v>
      </c>
      <c r="T744" t="s">
        <v>71</v>
      </c>
      <c r="U744">
        <v>2.7E-2</v>
      </c>
      <c r="V744">
        <v>0.34</v>
      </c>
      <c r="W744">
        <v>126</v>
      </c>
      <c r="X744">
        <v>86</v>
      </c>
      <c r="Y744">
        <v>6</v>
      </c>
      <c r="Z744" t="s">
        <v>1778</v>
      </c>
      <c r="AA744"/>
    </row>
    <row r="745" spans="1:27" ht="15" x14ac:dyDescent="0.25">
      <c r="A745" t="s">
        <v>14</v>
      </c>
      <c r="B745" t="s">
        <v>147</v>
      </c>
      <c r="C745"/>
      <c r="D745" t="s">
        <v>424</v>
      </c>
      <c r="E745" t="s">
        <v>1289</v>
      </c>
      <c r="F745" t="s">
        <v>1438</v>
      </c>
      <c r="G745" t="s">
        <v>1439</v>
      </c>
      <c r="H745" t="s">
        <v>6</v>
      </c>
      <c r="I745" s="41">
        <v>61</v>
      </c>
      <c r="J745" s="40">
        <f>I745*(1-IFERROR(VLOOKUP(H745,Rabat!$D$10:$E$41,2,FALSE),0))</f>
        <v>61</v>
      </c>
      <c r="K745">
        <v>0</v>
      </c>
      <c r="L745" t="s">
        <v>1789</v>
      </c>
      <c r="M745" t="s">
        <v>2561</v>
      </c>
      <c r="N745" t="s">
        <v>2099</v>
      </c>
      <c r="O745" t="s">
        <v>1776</v>
      </c>
      <c r="P745">
        <v>54</v>
      </c>
      <c r="Q745">
        <v>0</v>
      </c>
      <c r="R745" t="s">
        <v>1777</v>
      </c>
      <c r="S745" s="42" t="str">
        <f>HYPERLINK("https://sklep.kobi.pl/produkt/uchwyt-do-rio-pro-150w")</f>
        <v>https://sklep.kobi.pl/produkt/uchwyt-do-rio-pro-150w</v>
      </c>
      <c r="T745" t="s">
        <v>71</v>
      </c>
      <c r="U745">
        <v>0.24</v>
      </c>
      <c r="V745">
        <v>0</v>
      </c>
      <c r="W745">
        <v>0</v>
      </c>
      <c r="X745">
        <v>0</v>
      </c>
      <c r="Y745">
        <v>0</v>
      </c>
      <c r="Z745" t="s">
        <v>1778</v>
      </c>
      <c r="AA745"/>
    </row>
    <row r="746" spans="1:27" ht="15" x14ac:dyDescent="0.25">
      <c r="A746" t="s">
        <v>14</v>
      </c>
      <c r="B746" t="s">
        <v>147</v>
      </c>
      <c r="C746"/>
      <c r="D746" t="s">
        <v>424</v>
      </c>
      <c r="E746" t="s">
        <v>1289</v>
      </c>
      <c r="F746" t="s">
        <v>1335</v>
      </c>
      <c r="G746" t="s">
        <v>1336</v>
      </c>
      <c r="H746" t="s">
        <v>6</v>
      </c>
      <c r="I746" s="41">
        <v>71</v>
      </c>
      <c r="J746" s="40">
        <f>I746*(1-IFERROR(VLOOKUP(H746,Rabat!$D$10:$E$41,2,FALSE),0))</f>
        <v>71</v>
      </c>
      <c r="K746">
        <v>0</v>
      </c>
      <c r="L746" t="s">
        <v>1789</v>
      </c>
      <c r="M746" t="s">
        <v>2562</v>
      </c>
      <c r="N746" t="s">
        <v>2099</v>
      </c>
      <c r="O746" t="s">
        <v>1776</v>
      </c>
      <c r="P746">
        <v>36</v>
      </c>
      <c r="Q746">
        <v>0</v>
      </c>
      <c r="R746" t="s">
        <v>1777</v>
      </c>
      <c r="S746" s="42" t="str">
        <f>HYPERLINK("https://sklep.kobi.pl/produkt/uchwyt-do-rio-pro-200w")</f>
        <v>https://sklep.kobi.pl/produkt/uchwyt-do-rio-pro-200w</v>
      </c>
      <c r="T746" t="s">
        <v>71</v>
      </c>
      <c r="U746">
        <v>0.25</v>
      </c>
      <c r="V746">
        <v>0</v>
      </c>
      <c r="W746">
        <v>0</v>
      </c>
      <c r="X746">
        <v>0</v>
      </c>
      <c r="Y746">
        <v>0</v>
      </c>
      <c r="Z746" t="s">
        <v>1778</v>
      </c>
      <c r="AA746"/>
    </row>
    <row r="747" spans="1:27" ht="15" x14ac:dyDescent="0.25">
      <c r="A747" t="s">
        <v>14</v>
      </c>
      <c r="B747" t="s">
        <v>189</v>
      </c>
      <c r="C747"/>
      <c r="D747" t="s">
        <v>69</v>
      </c>
      <c r="E747" t="s">
        <v>149</v>
      </c>
      <c r="F747" t="s">
        <v>190</v>
      </c>
      <c r="G747" t="s">
        <v>191</v>
      </c>
      <c r="H747" t="s">
        <v>58</v>
      </c>
      <c r="I747" s="41">
        <v>46.5</v>
      </c>
      <c r="J747" s="40">
        <f>I747*(1-IFERROR(VLOOKUP(H747,Rabat!$D$10:$E$41,2,FALSE),0))</f>
        <v>46.5</v>
      </c>
      <c r="K747">
        <v>0.06</v>
      </c>
      <c r="L747" t="s">
        <v>1789</v>
      </c>
      <c r="M747" t="s">
        <v>2563</v>
      </c>
      <c r="N747" t="s">
        <v>2564</v>
      </c>
      <c r="O747" t="s">
        <v>1776</v>
      </c>
      <c r="P747">
        <v>12</v>
      </c>
      <c r="Q747">
        <v>0</v>
      </c>
      <c r="R747" t="s">
        <v>1777</v>
      </c>
      <c r="S747" s="42" t="str">
        <f>HYPERLINK("https://sklep.kobi.pl/produkt/programator-dobowy-pc24")</f>
        <v>https://sklep.kobi.pl/produkt/programator-dobowy-pc24</v>
      </c>
      <c r="T747" t="s">
        <v>71</v>
      </c>
      <c r="U747">
        <v>0.13500000000000001</v>
      </c>
      <c r="V747">
        <v>0.16300000000000001</v>
      </c>
      <c r="W747">
        <v>190</v>
      </c>
      <c r="X747">
        <v>110</v>
      </c>
      <c r="Y747">
        <v>60</v>
      </c>
      <c r="Z747" t="s">
        <v>1778</v>
      </c>
      <c r="AA747"/>
    </row>
    <row r="748" spans="1:27" ht="15" x14ac:dyDescent="0.25">
      <c r="A748" t="s">
        <v>14</v>
      </c>
      <c r="B748" t="s">
        <v>1082</v>
      </c>
      <c r="C748"/>
      <c r="D748" t="s">
        <v>69</v>
      </c>
      <c r="E748" t="s">
        <v>71</v>
      </c>
      <c r="F748" t="s">
        <v>1083</v>
      </c>
      <c r="G748" t="s">
        <v>1084</v>
      </c>
      <c r="H748" t="s">
        <v>15</v>
      </c>
      <c r="I748" s="41">
        <v>25</v>
      </c>
      <c r="J748" s="40">
        <f>I748*(1-IFERROR(VLOOKUP(H748,Rabat!$D$10:$E$41,2,FALSE),0))</f>
        <v>25</v>
      </c>
      <c r="K748">
        <v>0.11</v>
      </c>
      <c r="L748" t="s">
        <v>1789</v>
      </c>
      <c r="M748" t="s">
        <v>2565</v>
      </c>
      <c r="N748" t="s">
        <v>2566</v>
      </c>
      <c r="O748" t="s">
        <v>1776</v>
      </c>
      <c r="P748">
        <v>40</v>
      </c>
      <c r="Q748">
        <v>0</v>
      </c>
      <c r="R748" t="s">
        <v>1777</v>
      </c>
      <c r="S748" s="42" t="str">
        <f>HYPERLINK("https://sklep.kobi.pl/produkt/przedluzacz-kobi-linea-3gn-15m-zu")</f>
        <v>https://sklep.kobi.pl/produkt/przedluzacz-kobi-linea-3gn-15m-zu</v>
      </c>
      <c r="T748" t="s">
        <v>71</v>
      </c>
      <c r="U748">
        <v>0.25</v>
      </c>
      <c r="V748">
        <v>0</v>
      </c>
      <c r="W748">
        <v>0</v>
      </c>
      <c r="X748">
        <v>0</v>
      </c>
      <c r="Y748">
        <v>0</v>
      </c>
      <c r="Z748" t="s">
        <v>1778</v>
      </c>
      <c r="AA748"/>
    </row>
    <row r="749" spans="1:27" ht="15" x14ac:dyDescent="0.25">
      <c r="A749" t="s">
        <v>14</v>
      </c>
      <c r="B749" t="s">
        <v>1082</v>
      </c>
      <c r="C749"/>
      <c r="D749" t="s">
        <v>69</v>
      </c>
      <c r="E749" t="s">
        <v>71</v>
      </c>
      <c r="F749" t="s">
        <v>1085</v>
      </c>
      <c r="G749" t="s">
        <v>1086</v>
      </c>
      <c r="H749" t="s">
        <v>15</v>
      </c>
      <c r="I749" s="41">
        <v>34.5</v>
      </c>
      <c r="J749" s="40">
        <f>I749*(1-IFERROR(VLOOKUP(H749,Rabat!$D$10:$E$41,2,FALSE),0))</f>
        <v>34.5</v>
      </c>
      <c r="K749">
        <v>0.16</v>
      </c>
      <c r="L749" t="s">
        <v>1789</v>
      </c>
      <c r="M749" t="s">
        <v>2567</v>
      </c>
      <c r="N749" t="s">
        <v>2566</v>
      </c>
      <c r="O749" t="s">
        <v>1776</v>
      </c>
      <c r="P749">
        <v>30</v>
      </c>
      <c r="Q749">
        <v>0</v>
      </c>
      <c r="R749" t="s">
        <v>1777</v>
      </c>
      <c r="S749" s="42" t="str">
        <f>HYPERLINK("https://sklep.kobi.pl/produkt/przedluzacz-kobi-linea-3gn-3m-zu")</f>
        <v>https://sklep.kobi.pl/produkt/przedluzacz-kobi-linea-3gn-3m-zu</v>
      </c>
      <c r="T749" t="s">
        <v>71</v>
      </c>
      <c r="U749">
        <v>0.36</v>
      </c>
      <c r="V749">
        <v>0</v>
      </c>
      <c r="W749">
        <v>240</v>
      </c>
      <c r="X749">
        <v>110</v>
      </c>
      <c r="Y749">
        <v>90</v>
      </c>
      <c r="Z749" t="s">
        <v>1778</v>
      </c>
      <c r="AA749"/>
    </row>
    <row r="750" spans="1:27" ht="15" x14ac:dyDescent="0.25">
      <c r="A750" t="s">
        <v>14</v>
      </c>
      <c r="B750" t="s">
        <v>1082</v>
      </c>
      <c r="C750"/>
      <c r="D750" t="s">
        <v>69</v>
      </c>
      <c r="E750" t="s">
        <v>71</v>
      </c>
      <c r="F750" t="s">
        <v>1167</v>
      </c>
      <c r="G750" t="s">
        <v>1168</v>
      </c>
      <c r="H750" t="s">
        <v>15</v>
      </c>
      <c r="I750" s="41">
        <v>40.9</v>
      </c>
      <c r="J750" s="40">
        <f>I750*(1-IFERROR(VLOOKUP(H750,Rabat!$D$10:$E$41,2,FALSE),0))</f>
        <v>40.9</v>
      </c>
      <c r="K750">
        <v>0.18</v>
      </c>
      <c r="L750" t="s">
        <v>1789</v>
      </c>
      <c r="M750" t="s">
        <v>2568</v>
      </c>
      <c r="N750" t="s">
        <v>2566</v>
      </c>
      <c r="O750" t="s">
        <v>1776</v>
      </c>
      <c r="P750">
        <v>30</v>
      </c>
      <c r="Q750">
        <v>0</v>
      </c>
      <c r="R750" t="s">
        <v>1777</v>
      </c>
      <c r="S750" s="42" t="str">
        <f>HYPERLINK("https://sklep.kobi.pl/produkt/przedluzacz-kobi-linea-3gn-3m-zu-w")</f>
        <v>https://sklep.kobi.pl/produkt/przedluzacz-kobi-linea-3gn-3m-zu-w</v>
      </c>
      <c r="T750" t="s">
        <v>71</v>
      </c>
      <c r="U750">
        <v>0.39</v>
      </c>
      <c r="V750">
        <v>0</v>
      </c>
      <c r="W750">
        <v>0</v>
      </c>
      <c r="X750">
        <v>0</v>
      </c>
      <c r="Y750">
        <v>0</v>
      </c>
      <c r="Z750" t="s">
        <v>1778</v>
      </c>
      <c r="AA750"/>
    </row>
    <row r="751" spans="1:27" ht="15" x14ac:dyDescent="0.25">
      <c r="A751" t="s">
        <v>14</v>
      </c>
      <c r="B751" t="s">
        <v>1082</v>
      </c>
      <c r="C751"/>
      <c r="D751" t="s">
        <v>69</v>
      </c>
      <c r="E751" t="s">
        <v>71</v>
      </c>
      <c r="F751" t="s">
        <v>1087</v>
      </c>
      <c r="G751" t="s">
        <v>1088</v>
      </c>
      <c r="H751" t="s">
        <v>15</v>
      </c>
      <c r="I751" s="41">
        <v>46.7</v>
      </c>
      <c r="J751" s="40">
        <f>I751*(1-IFERROR(VLOOKUP(H751,Rabat!$D$10:$E$41,2,FALSE),0))</f>
        <v>46.7</v>
      </c>
      <c r="K751">
        <v>0.24</v>
      </c>
      <c r="L751" t="s">
        <v>1789</v>
      </c>
      <c r="M751" t="s">
        <v>2569</v>
      </c>
      <c r="N751" t="s">
        <v>2566</v>
      </c>
      <c r="O751" t="s">
        <v>1776</v>
      </c>
      <c r="P751">
        <v>30</v>
      </c>
      <c r="Q751">
        <v>0</v>
      </c>
      <c r="R751" t="s">
        <v>1777</v>
      </c>
      <c r="S751" s="42" t="str">
        <f>HYPERLINK("https://sklep.kobi.pl/produkt/przedluzacz-kobi-linea-3gn-5m-zu")</f>
        <v>https://sklep.kobi.pl/produkt/przedluzacz-kobi-linea-3gn-5m-zu</v>
      </c>
      <c r="T751" t="s">
        <v>71</v>
      </c>
      <c r="U751">
        <v>0.52</v>
      </c>
      <c r="V751">
        <v>0</v>
      </c>
      <c r="W751">
        <v>260</v>
      </c>
      <c r="X751">
        <v>110</v>
      </c>
      <c r="Y751">
        <v>90</v>
      </c>
      <c r="Z751" t="s">
        <v>1778</v>
      </c>
      <c r="AA751"/>
    </row>
    <row r="752" spans="1:27" ht="15" x14ac:dyDescent="0.25">
      <c r="A752" t="s">
        <v>14</v>
      </c>
      <c r="B752" t="s">
        <v>1082</v>
      </c>
      <c r="C752"/>
      <c r="D752" t="s">
        <v>69</v>
      </c>
      <c r="E752" t="s">
        <v>71</v>
      </c>
      <c r="F752" t="s">
        <v>1169</v>
      </c>
      <c r="G752" t="s">
        <v>1170</v>
      </c>
      <c r="H752" t="s">
        <v>15</v>
      </c>
      <c r="I752" s="41">
        <v>53.9</v>
      </c>
      <c r="J752" s="40">
        <f>I752*(1-IFERROR(VLOOKUP(H752,Rabat!$D$10:$E$41,2,FALSE),0))</f>
        <v>53.9</v>
      </c>
      <c r="K752">
        <v>0.25</v>
      </c>
      <c r="L752" t="s">
        <v>1789</v>
      </c>
      <c r="M752" t="s">
        <v>2570</v>
      </c>
      <c r="N752" t="s">
        <v>2566</v>
      </c>
      <c r="O752" t="s">
        <v>1776</v>
      </c>
      <c r="P752">
        <v>30</v>
      </c>
      <c r="Q752">
        <v>0</v>
      </c>
      <c r="R752" t="s">
        <v>1777</v>
      </c>
      <c r="S752" s="42" t="str">
        <f>HYPERLINK("https://sklep.kobi.pl/produkt/przedluzacz-kobi-linea-3gn-5m-zu-w")</f>
        <v>https://sklep.kobi.pl/produkt/przedluzacz-kobi-linea-3gn-5m-zu-w</v>
      </c>
      <c r="T752" t="s">
        <v>71</v>
      </c>
      <c r="U752">
        <v>0.54</v>
      </c>
      <c r="V752">
        <v>0</v>
      </c>
      <c r="W752">
        <v>0</v>
      </c>
      <c r="X752">
        <v>0</v>
      </c>
      <c r="Y752">
        <v>0</v>
      </c>
      <c r="Z752" t="s">
        <v>1778</v>
      </c>
      <c r="AA752"/>
    </row>
    <row r="753" spans="1:27" ht="15" x14ac:dyDescent="0.25">
      <c r="A753" t="s">
        <v>14</v>
      </c>
      <c r="B753" t="s">
        <v>1082</v>
      </c>
      <c r="C753"/>
      <c r="D753" t="s">
        <v>69</v>
      </c>
      <c r="E753" t="s">
        <v>71</v>
      </c>
      <c r="F753" t="s">
        <v>1089</v>
      </c>
      <c r="G753" t="s">
        <v>1090</v>
      </c>
      <c r="H753" t="s">
        <v>15</v>
      </c>
      <c r="I753" s="41">
        <v>27.5</v>
      </c>
      <c r="J753" s="40">
        <f>I753*(1-IFERROR(VLOOKUP(H753,Rabat!$D$10:$E$41,2,FALSE),0))</f>
        <v>27.5</v>
      </c>
      <c r="K753">
        <v>0.13</v>
      </c>
      <c r="L753" t="s">
        <v>1789</v>
      </c>
      <c r="M753" t="s">
        <v>2571</v>
      </c>
      <c r="N753" t="s">
        <v>2566</v>
      </c>
      <c r="O753" t="s">
        <v>1776</v>
      </c>
      <c r="P753">
        <v>40</v>
      </c>
      <c r="Q753">
        <v>0</v>
      </c>
      <c r="R753" t="s">
        <v>1777</v>
      </c>
      <c r="S753" s="42" t="str">
        <f>HYPERLINK("https://sklep.kobi.pl/produkt/przedluzacz-kobi-linea-4gn-15m-zu")</f>
        <v>https://sklep.kobi.pl/produkt/przedluzacz-kobi-linea-4gn-15m-zu</v>
      </c>
      <c r="T753" t="s">
        <v>71</v>
      </c>
      <c r="U753">
        <v>0.28000000000000003</v>
      </c>
      <c r="V753">
        <v>0</v>
      </c>
      <c r="W753">
        <v>0</v>
      </c>
      <c r="X753">
        <v>0</v>
      </c>
      <c r="Y753">
        <v>0</v>
      </c>
      <c r="Z753" t="s">
        <v>1778</v>
      </c>
      <c r="AA753"/>
    </row>
    <row r="754" spans="1:27" ht="15" x14ac:dyDescent="0.25">
      <c r="A754" t="s">
        <v>14</v>
      </c>
      <c r="B754" t="s">
        <v>1082</v>
      </c>
      <c r="C754"/>
      <c r="D754" t="s">
        <v>69</v>
      </c>
      <c r="E754" t="s">
        <v>71</v>
      </c>
      <c r="F754" t="s">
        <v>1159</v>
      </c>
      <c r="G754" t="s">
        <v>1160</v>
      </c>
      <c r="H754" t="s">
        <v>15</v>
      </c>
      <c r="I754" s="41">
        <v>35.5</v>
      </c>
      <c r="J754" s="40">
        <f>I754*(1-IFERROR(VLOOKUP(H754,Rabat!$D$10:$E$41,2,FALSE),0))</f>
        <v>35.5</v>
      </c>
      <c r="K754">
        <v>0.18</v>
      </c>
      <c r="L754" t="s">
        <v>1789</v>
      </c>
      <c r="M754" t="s">
        <v>2572</v>
      </c>
      <c r="N754" t="s">
        <v>2566</v>
      </c>
      <c r="O754" t="s">
        <v>1776</v>
      </c>
      <c r="P754">
        <v>30</v>
      </c>
      <c r="Q754">
        <v>0</v>
      </c>
      <c r="R754" t="s">
        <v>1777</v>
      </c>
      <c r="S754" s="42" t="str">
        <f>HYPERLINK("https://sklep.kobi.pl/produkt/przedluzacz-kobi-linea-4gn-3m-zu")</f>
        <v>https://sklep.kobi.pl/produkt/przedluzacz-kobi-linea-4gn-3m-zu</v>
      </c>
      <c r="T754" t="s">
        <v>71</v>
      </c>
      <c r="U754">
        <v>0.39</v>
      </c>
      <c r="V754">
        <v>0</v>
      </c>
      <c r="W754">
        <v>0</v>
      </c>
      <c r="X754">
        <v>0</v>
      </c>
      <c r="Y754">
        <v>0</v>
      </c>
      <c r="Z754" t="s">
        <v>1778</v>
      </c>
      <c r="AA754"/>
    </row>
    <row r="755" spans="1:27" ht="15" x14ac:dyDescent="0.25">
      <c r="A755" t="s">
        <v>14</v>
      </c>
      <c r="B755" t="s">
        <v>1082</v>
      </c>
      <c r="C755"/>
      <c r="D755" t="s">
        <v>69</v>
      </c>
      <c r="E755" t="s">
        <v>71</v>
      </c>
      <c r="F755" t="s">
        <v>1161</v>
      </c>
      <c r="G755" t="s">
        <v>1162</v>
      </c>
      <c r="H755" t="s">
        <v>15</v>
      </c>
      <c r="I755" s="41">
        <v>47.5</v>
      </c>
      <c r="J755" s="40">
        <f>I755*(1-IFERROR(VLOOKUP(H755,Rabat!$D$10:$E$41,2,FALSE),0))</f>
        <v>47.5</v>
      </c>
      <c r="K755">
        <v>0.25</v>
      </c>
      <c r="L755" t="s">
        <v>1789</v>
      </c>
      <c r="M755" t="s">
        <v>2573</v>
      </c>
      <c r="N755" t="s">
        <v>2566</v>
      </c>
      <c r="O755" t="s">
        <v>1776</v>
      </c>
      <c r="P755">
        <v>30</v>
      </c>
      <c r="Q755">
        <v>0</v>
      </c>
      <c r="R755" t="s">
        <v>1777</v>
      </c>
      <c r="S755" s="42" t="str">
        <f>HYPERLINK("https://sklep.kobi.pl/produkt/przedluzacz-kobi-linea-4gn-5m-zu")</f>
        <v>https://sklep.kobi.pl/produkt/przedluzacz-kobi-linea-4gn-5m-zu</v>
      </c>
      <c r="T755" t="s">
        <v>71</v>
      </c>
      <c r="U755">
        <v>0.54</v>
      </c>
      <c r="V755">
        <v>0</v>
      </c>
      <c r="W755">
        <v>0</v>
      </c>
      <c r="X755">
        <v>0</v>
      </c>
      <c r="Y755">
        <v>0</v>
      </c>
      <c r="Z755" t="s">
        <v>1778</v>
      </c>
      <c r="AA755"/>
    </row>
    <row r="756" spans="1:27" ht="15" x14ac:dyDescent="0.25">
      <c r="A756" t="s">
        <v>14</v>
      </c>
      <c r="B756" t="s">
        <v>1082</v>
      </c>
      <c r="C756"/>
      <c r="D756" t="s">
        <v>69</v>
      </c>
      <c r="E756" t="s">
        <v>71</v>
      </c>
      <c r="F756" t="s">
        <v>1163</v>
      </c>
      <c r="G756" t="s">
        <v>1164</v>
      </c>
      <c r="H756" t="s">
        <v>15</v>
      </c>
      <c r="I756" s="41">
        <v>30.5</v>
      </c>
      <c r="J756" s="40">
        <f>I756*(1-IFERROR(VLOOKUP(H756,Rabat!$D$10:$E$41,2,FALSE),0))</f>
        <v>30.5</v>
      </c>
      <c r="K756">
        <v>0.17</v>
      </c>
      <c r="L756" t="s">
        <v>1789</v>
      </c>
      <c r="M756" t="s">
        <v>2574</v>
      </c>
      <c r="N756" t="s">
        <v>2566</v>
      </c>
      <c r="O756" t="s">
        <v>1776</v>
      </c>
      <c r="P756">
        <v>40</v>
      </c>
      <c r="Q756">
        <v>0</v>
      </c>
      <c r="R756" t="s">
        <v>1777</v>
      </c>
      <c r="S756" s="42" t="str">
        <f>HYPERLINK("https://sklep.kobi.pl/produkt/przedluzacz-kobi-linea-5gn-15m-zu")</f>
        <v>https://sklep.kobi.pl/produkt/przedluzacz-kobi-linea-5gn-15m-zu</v>
      </c>
      <c r="T756" t="s">
        <v>71</v>
      </c>
      <c r="U756">
        <v>0.37</v>
      </c>
      <c r="V756">
        <v>0</v>
      </c>
      <c r="W756">
        <v>0</v>
      </c>
      <c r="X756">
        <v>0</v>
      </c>
      <c r="Y756">
        <v>0</v>
      </c>
      <c r="Z756" t="s">
        <v>1778</v>
      </c>
      <c r="AA756"/>
    </row>
    <row r="757" spans="1:27" ht="15" x14ac:dyDescent="0.25">
      <c r="A757" t="s">
        <v>14</v>
      </c>
      <c r="B757" t="s">
        <v>1082</v>
      </c>
      <c r="C757"/>
      <c r="D757" t="s">
        <v>69</v>
      </c>
      <c r="E757" t="s">
        <v>71</v>
      </c>
      <c r="F757" t="s">
        <v>1091</v>
      </c>
      <c r="G757" t="s">
        <v>1092</v>
      </c>
      <c r="H757" t="s">
        <v>15</v>
      </c>
      <c r="I757" s="41">
        <v>39.700000000000003</v>
      </c>
      <c r="J757" s="40">
        <f>I757*(1-IFERROR(VLOOKUP(H757,Rabat!$D$10:$E$41,2,FALSE),0))</f>
        <v>39.700000000000003</v>
      </c>
      <c r="K757">
        <v>0.23</v>
      </c>
      <c r="L757" t="s">
        <v>1789</v>
      </c>
      <c r="M757" t="s">
        <v>2575</v>
      </c>
      <c r="N757" t="s">
        <v>2566</v>
      </c>
      <c r="O757" t="s">
        <v>1776</v>
      </c>
      <c r="P757">
        <v>30</v>
      </c>
      <c r="Q757">
        <v>0</v>
      </c>
      <c r="R757" t="s">
        <v>1777</v>
      </c>
      <c r="S757" s="42" t="str">
        <f>HYPERLINK("https://sklep.kobi.pl/produkt/przedluzacz-kobi-linea-5gn-3m-zu")</f>
        <v>https://sklep.kobi.pl/produkt/przedluzacz-kobi-linea-5gn-3m-zu</v>
      </c>
      <c r="T757" t="s">
        <v>71</v>
      </c>
      <c r="U757">
        <v>0.51</v>
      </c>
      <c r="V757">
        <v>0</v>
      </c>
      <c r="W757">
        <v>250</v>
      </c>
      <c r="X757">
        <v>90</v>
      </c>
      <c r="Y757">
        <v>60</v>
      </c>
      <c r="Z757" t="s">
        <v>1778</v>
      </c>
      <c r="AA757"/>
    </row>
    <row r="758" spans="1:27" ht="15" x14ac:dyDescent="0.25">
      <c r="A758" t="s">
        <v>14</v>
      </c>
      <c r="B758" t="s">
        <v>1082</v>
      </c>
      <c r="C758"/>
      <c r="D758" t="s">
        <v>69</v>
      </c>
      <c r="E758" t="s">
        <v>71</v>
      </c>
      <c r="F758" t="s">
        <v>1093</v>
      </c>
      <c r="G758" t="s">
        <v>1094</v>
      </c>
      <c r="H758" t="s">
        <v>15</v>
      </c>
      <c r="I758" s="41">
        <v>46.9</v>
      </c>
      <c r="J758" s="40">
        <f>I758*(1-IFERROR(VLOOKUP(H758,Rabat!$D$10:$E$41,2,FALSE),0))</f>
        <v>46.9</v>
      </c>
      <c r="K758">
        <v>0.24</v>
      </c>
      <c r="L758" t="s">
        <v>1789</v>
      </c>
      <c r="M758" t="s">
        <v>2576</v>
      </c>
      <c r="N758" t="s">
        <v>2566</v>
      </c>
      <c r="O758" t="s">
        <v>1776</v>
      </c>
      <c r="P758">
        <v>30</v>
      </c>
      <c r="Q758">
        <v>0</v>
      </c>
      <c r="R758" t="s">
        <v>1777</v>
      </c>
      <c r="S758" s="42" t="str">
        <f>HYPERLINK("https://sklep.kobi.pl/produkt/przedluzacz-kobi-linea-5gn-3m-zu-w")</f>
        <v>https://sklep.kobi.pl/produkt/przedluzacz-kobi-linea-5gn-3m-zu-w</v>
      </c>
      <c r="T758" t="s">
        <v>71</v>
      </c>
      <c r="U758">
        <v>0.53</v>
      </c>
      <c r="V758">
        <v>0</v>
      </c>
      <c r="W758">
        <v>0</v>
      </c>
      <c r="X758">
        <v>0</v>
      </c>
      <c r="Y758">
        <v>0</v>
      </c>
      <c r="Z758" t="s">
        <v>1778</v>
      </c>
      <c r="AA758"/>
    </row>
    <row r="759" spans="1:27" ht="15" x14ac:dyDescent="0.25">
      <c r="A759" t="s">
        <v>14</v>
      </c>
      <c r="B759" t="s">
        <v>1082</v>
      </c>
      <c r="C759"/>
      <c r="D759" t="s">
        <v>69</v>
      </c>
      <c r="E759" t="s">
        <v>71</v>
      </c>
      <c r="F759" t="s">
        <v>1165</v>
      </c>
      <c r="G759" t="s">
        <v>1166</v>
      </c>
      <c r="H759" t="s">
        <v>15</v>
      </c>
      <c r="I759" s="41">
        <v>52</v>
      </c>
      <c r="J759" s="40">
        <f>I759*(1-IFERROR(VLOOKUP(H759,Rabat!$D$10:$E$41,2,FALSE),0))</f>
        <v>52</v>
      </c>
      <c r="K759">
        <v>0.33</v>
      </c>
      <c r="L759" t="s">
        <v>1789</v>
      </c>
      <c r="M759" t="s">
        <v>2577</v>
      </c>
      <c r="N759" t="s">
        <v>2566</v>
      </c>
      <c r="O759" t="s">
        <v>1776</v>
      </c>
      <c r="P759">
        <v>30</v>
      </c>
      <c r="Q759">
        <v>0</v>
      </c>
      <c r="R759" t="s">
        <v>1777</v>
      </c>
      <c r="S759" s="42" t="str">
        <f>HYPERLINK("https://sklep.kobi.pl/produkt/przedluzacz-kobi-linea-5gn-5m-zu")</f>
        <v>https://sklep.kobi.pl/produkt/przedluzacz-kobi-linea-5gn-5m-zu</v>
      </c>
      <c r="T759" t="s">
        <v>71</v>
      </c>
      <c r="U759">
        <v>0.73</v>
      </c>
      <c r="V759">
        <v>0</v>
      </c>
      <c r="W759">
        <v>0</v>
      </c>
      <c r="X759">
        <v>0</v>
      </c>
      <c r="Y759">
        <v>0</v>
      </c>
      <c r="Z759" t="s">
        <v>1778</v>
      </c>
      <c r="AA759"/>
    </row>
    <row r="760" spans="1:27" ht="15" x14ac:dyDescent="0.25">
      <c r="A760" t="s">
        <v>14</v>
      </c>
      <c r="B760" t="s">
        <v>1082</v>
      </c>
      <c r="C760"/>
      <c r="D760" t="s">
        <v>69</v>
      </c>
      <c r="E760" t="s">
        <v>71</v>
      </c>
      <c r="F760" t="s">
        <v>1095</v>
      </c>
      <c r="G760" t="s">
        <v>1096</v>
      </c>
      <c r="H760" t="s">
        <v>15</v>
      </c>
      <c r="I760" s="41">
        <v>56.9</v>
      </c>
      <c r="J760" s="40">
        <f>I760*(1-IFERROR(VLOOKUP(H760,Rabat!$D$10:$E$41,2,FALSE),0))</f>
        <v>56.9</v>
      </c>
      <c r="K760">
        <v>0.34</v>
      </c>
      <c r="L760" t="s">
        <v>1789</v>
      </c>
      <c r="M760" t="s">
        <v>2578</v>
      </c>
      <c r="N760" t="s">
        <v>2566</v>
      </c>
      <c r="O760" t="s">
        <v>1776</v>
      </c>
      <c r="P760">
        <v>30</v>
      </c>
      <c r="Q760">
        <v>0</v>
      </c>
      <c r="R760" t="s">
        <v>1777</v>
      </c>
      <c r="S760" s="42" t="str">
        <f>HYPERLINK("https://sklep.kobi.pl/produkt/przedluzacz-kobi-linea-5gn-5m-zu-w")</f>
        <v>https://sklep.kobi.pl/produkt/przedluzacz-kobi-linea-5gn-5m-zu-w</v>
      </c>
      <c r="T760" t="s">
        <v>71</v>
      </c>
      <c r="U760">
        <v>0.75</v>
      </c>
      <c r="V760">
        <v>0</v>
      </c>
      <c r="W760">
        <v>0</v>
      </c>
      <c r="X760">
        <v>0</v>
      </c>
      <c r="Y760">
        <v>0</v>
      </c>
      <c r="Z760" t="s">
        <v>1778</v>
      </c>
      <c r="AA760"/>
    </row>
    <row r="761" spans="1:27" ht="15" x14ac:dyDescent="0.25">
      <c r="A761" t="s">
        <v>14</v>
      </c>
      <c r="B761" t="s">
        <v>1082</v>
      </c>
      <c r="C761"/>
      <c r="D761" t="s">
        <v>69</v>
      </c>
      <c r="E761" t="s">
        <v>1289</v>
      </c>
      <c r="F761" t="s">
        <v>2626</v>
      </c>
      <c r="G761" t="s">
        <v>2627</v>
      </c>
      <c r="H761" t="s">
        <v>15</v>
      </c>
      <c r="I761" s="41">
        <v>67.25</v>
      </c>
      <c r="J761" s="40">
        <f>I761*(1-IFERROR(VLOOKUP(H761,Rabat!$D$10:$E$41,2,FALSE),0))</f>
        <v>67.25</v>
      </c>
      <c r="K761">
        <v>0.18</v>
      </c>
      <c r="L761" t="s">
        <v>1789</v>
      </c>
      <c r="M761" t="s">
        <v>2646</v>
      </c>
      <c r="N761" t="s">
        <v>2566</v>
      </c>
      <c r="O761" t="s">
        <v>1776</v>
      </c>
      <c r="P761">
        <v>20</v>
      </c>
      <c r="Q761">
        <v>0</v>
      </c>
      <c r="R761" t="s">
        <v>1777</v>
      </c>
      <c r="S761" s="42" t="str">
        <f>HYPERLINK("https://sklep.kobi.pl/produkt/kobi-connecto-black-4gn-usb-15m-zu-w")</f>
        <v>https://sklep.kobi.pl/produkt/kobi-connecto-black-4gn-usb-15m-zu-w</v>
      </c>
      <c r="T761" t="s">
        <v>71</v>
      </c>
      <c r="U761">
        <v>0.39</v>
      </c>
      <c r="V761">
        <v>0</v>
      </c>
      <c r="W761">
        <v>0</v>
      </c>
      <c r="X761">
        <v>0</v>
      </c>
      <c r="Y761">
        <v>0</v>
      </c>
      <c r="Z761" t="s">
        <v>1778</v>
      </c>
      <c r="AA761"/>
    </row>
    <row r="762" spans="1:27" ht="15" x14ac:dyDescent="0.25">
      <c r="A762" t="s">
        <v>14</v>
      </c>
      <c r="B762" t="s">
        <v>1082</v>
      </c>
      <c r="C762"/>
      <c r="D762" t="s">
        <v>69</v>
      </c>
      <c r="E762" t="s">
        <v>1289</v>
      </c>
      <c r="F762" t="s">
        <v>2628</v>
      </c>
      <c r="G762" t="s">
        <v>2629</v>
      </c>
      <c r="H762" t="s">
        <v>15</v>
      </c>
      <c r="I762" s="41">
        <v>67.25</v>
      </c>
      <c r="J762" s="40">
        <f>I762*(1-IFERROR(VLOOKUP(H762,Rabat!$D$10:$E$41,2,FALSE),0))</f>
        <v>67.25</v>
      </c>
      <c r="K762">
        <v>0.18</v>
      </c>
      <c r="L762" t="s">
        <v>1789</v>
      </c>
      <c r="M762" t="s">
        <v>2647</v>
      </c>
      <c r="N762" t="s">
        <v>2566</v>
      </c>
      <c r="O762" t="s">
        <v>1776</v>
      </c>
      <c r="P762">
        <v>20</v>
      </c>
      <c r="Q762">
        <v>0</v>
      </c>
      <c r="R762" t="s">
        <v>1777</v>
      </c>
      <c r="S762" s="42" t="str">
        <f>HYPERLINK("https://sklep.kobi.pl/produkt/kobi-connecto-white-4gn-usb-15m-zu-w")</f>
        <v>https://sklep.kobi.pl/produkt/kobi-connecto-white-4gn-usb-15m-zu-w</v>
      </c>
      <c r="T762" t="s">
        <v>71</v>
      </c>
      <c r="U762">
        <v>0.39</v>
      </c>
      <c r="V762">
        <v>0</v>
      </c>
      <c r="W762">
        <v>0</v>
      </c>
      <c r="X762">
        <v>0</v>
      </c>
      <c r="Y762">
        <v>0</v>
      </c>
      <c r="Z762" t="s">
        <v>1778</v>
      </c>
      <c r="AA762"/>
    </row>
    <row r="763" spans="1:27" ht="15" x14ac:dyDescent="0.25">
      <c r="A763" t="s">
        <v>14</v>
      </c>
      <c r="B763" t="s">
        <v>1082</v>
      </c>
      <c r="C763"/>
      <c r="D763" t="s">
        <v>69</v>
      </c>
      <c r="E763" t="s">
        <v>1289</v>
      </c>
      <c r="F763" t="s">
        <v>2630</v>
      </c>
      <c r="G763" t="s">
        <v>2631</v>
      </c>
      <c r="H763" t="s">
        <v>15</v>
      </c>
      <c r="I763" s="41">
        <v>87.25</v>
      </c>
      <c r="J763" s="40">
        <f>I763*(1-IFERROR(VLOOKUP(H763,Rabat!$D$10:$E$41,2,FALSE),0))</f>
        <v>87.25</v>
      </c>
      <c r="K763">
        <v>0.25</v>
      </c>
      <c r="L763" t="s">
        <v>1789</v>
      </c>
      <c r="M763" t="s">
        <v>2648</v>
      </c>
      <c r="N763" t="s">
        <v>2566</v>
      </c>
      <c r="O763" t="s">
        <v>1776</v>
      </c>
      <c r="P763">
        <v>20</v>
      </c>
      <c r="Q763">
        <v>0</v>
      </c>
      <c r="R763" t="s">
        <v>1777</v>
      </c>
      <c r="S763" s="42" t="str">
        <f>HYPERLINK("https://sklep.kobi.pl/produkt/kobi-connecto-black-4gn-usb-3m-zu-w")</f>
        <v>https://sklep.kobi.pl/produkt/kobi-connecto-black-4gn-usb-3m-zu-w</v>
      </c>
      <c r="T763" t="s">
        <v>71</v>
      </c>
      <c r="U763">
        <v>0.55000000000000004</v>
      </c>
      <c r="V763">
        <v>0</v>
      </c>
      <c r="W763">
        <v>0</v>
      </c>
      <c r="X763">
        <v>0</v>
      </c>
      <c r="Y763">
        <v>0</v>
      </c>
      <c r="Z763" t="s">
        <v>1778</v>
      </c>
      <c r="AA763"/>
    </row>
    <row r="764" spans="1:27" ht="15" x14ac:dyDescent="0.25">
      <c r="A764" t="s">
        <v>14</v>
      </c>
      <c r="B764" t="s">
        <v>1082</v>
      </c>
      <c r="C764"/>
      <c r="D764" t="s">
        <v>69</v>
      </c>
      <c r="E764" t="s">
        <v>1289</v>
      </c>
      <c r="F764" t="s">
        <v>2632</v>
      </c>
      <c r="G764" t="s">
        <v>2633</v>
      </c>
      <c r="H764" t="s">
        <v>15</v>
      </c>
      <c r="I764" s="41">
        <v>87.25</v>
      </c>
      <c r="J764" s="40">
        <f>I764*(1-IFERROR(VLOOKUP(H764,Rabat!$D$10:$E$41,2,FALSE),0))</f>
        <v>87.25</v>
      </c>
      <c r="K764">
        <v>0.25</v>
      </c>
      <c r="L764" t="s">
        <v>1789</v>
      </c>
      <c r="M764" t="s">
        <v>2649</v>
      </c>
      <c r="N764" t="s">
        <v>2566</v>
      </c>
      <c r="O764" t="s">
        <v>1776</v>
      </c>
      <c r="P764">
        <v>1</v>
      </c>
      <c r="Q764">
        <v>0</v>
      </c>
      <c r="R764" t="s">
        <v>1777</v>
      </c>
      <c r="S764" s="42" t="str">
        <f>HYPERLINK("https://sklep.kobi.pl/produkt/kobi-connecto-white-4gn-usb-3m-zu-w")</f>
        <v>https://sklep.kobi.pl/produkt/kobi-connecto-white-4gn-usb-3m-zu-w</v>
      </c>
      <c r="T764" t="s">
        <v>71</v>
      </c>
      <c r="U764">
        <v>0.55000000000000004</v>
      </c>
      <c r="V764">
        <v>0</v>
      </c>
      <c r="W764">
        <v>0</v>
      </c>
      <c r="X764">
        <v>0</v>
      </c>
      <c r="Y764">
        <v>0</v>
      </c>
      <c r="Z764" t="s">
        <v>1778</v>
      </c>
      <c r="AA764"/>
    </row>
    <row r="765" spans="1:27" ht="15" x14ac:dyDescent="0.25">
      <c r="A765" t="s">
        <v>14</v>
      </c>
      <c r="B765" t="s">
        <v>1082</v>
      </c>
      <c r="C765"/>
      <c r="D765" t="s">
        <v>69</v>
      </c>
      <c r="E765" t="s">
        <v>1289</v>
      </c>
      <c r="F765" t="s">
        <v>2634</v>
      </c>
      <c r="G765" t="s">
        <v>2635</v>
      </c>
      <c r="H765" t="s">
        <v>15</v>
      </c>
      <c r="I765" s="41">
        <v>112.25</v>
      </c>
      <c r="J765" s="40">
        <f>I765*(1-IFERROR(VLOOKUP(H765,Rabat!$D$10:$E$41,2,FALSE),0))</f>
        <v>112.25</v>
      </c>
      <c r="K765">
        <v>0.35</v>
      </c>
      <c r="L765" t="s">
        <v>1789</v>
      </c>
      <c r="M765" t="s">
        <v>2650</v>
      </c>
      <c r="N765" t="s">
        <v>2566</v>
      </c>
      <c r="O765" t="s">
        <v>1776</v>
      </c>
      <c r="P765">
        <v>20</v>
      </c>
      <c r="Q765">
        <v>0</v>
      </c>
      <c r="R765" t="s">
        <v>1777</v>
      </c>
      <c r="S765" s="42" t="str">
        <f>HYPERLINK("https://sklep.kobi.pl/produkt/kobi-connecto-black-4gn-usb-5m-zu-w")</f>
        <v>https://sklep.kobi.pl/produkt/kobi-connecto-black-4gn-usb-5m-zu-w</v>
      </c>
      <c r="T765" t="s">
        <v>71</v>
      </c>
      <c r="U765">
        <v>0.76</v>
      </c>
      <c r="V765">
        <v>0</v>
      </c>
      <c r="W765">
        <v>0</v>
      </c>
      <c r="X765">
        <v>0</v>
      </c>
      <c r="Y765">
        <v>0</v>
      </c>
      <c r="Z765" t="s">
        <v>1778</v>
      </c>
      <c r="AA765"/>
    </row>
    <row r="766" spans="1:27" ht="15" x14ac:dyDescent="0.25">
      <c r="A766" t="s">
        <v>14</v>
      </c>
      <c r="B766" t="s">
        <v>1082</v>
      </c>
      <c r="C766"/>
      <c r="D766" t="s">
        <v>69</v>
      </c>
      <c r="E766" t="s">
        <v>1289</v>
      </c>
      <c r="F766" t="s">
        <v>2636</v>
      </c>
      <c r="G766" t="s">
        <v>2637</v>
      </c>
      <c r="H766" t="s">
        <v>15</v>
      </c>
      <c r="I766" s="41">
        <v>112.25</v>
      </c>
      <c r="J766" s="40">
        <f>I766*(1-IFERROR(VLOOKUP(H766,Rabat!$D$10:$E$41,2,FALSE),0))</f>
        <v>112.25</v>
      </c>
      <c r="K766">
        <v>0.35</v>
      </c>
      <c r="L766" t="s">
        <v>1789</v>
      </c>
      <c r="M766" t="s">
        <v>2651</v>
      </c>
      <c r="N766" t="s">
        <v>2566</v>
      </c>
      <c r="O766" t="s">
        <v>1776</v>
      </c>
      <c r="P766">
        <v>20</v>
      </c>
      <c r="Q766">
        <v>0</v>
      </c>
      <c r="R766" t="s">
        <v>1777</v>
      </c>
      <c r="S766" s="42" t="str">
        <f>HYPERLINK("https://sklep.kobi.pl/produkt/kobi-connecto-white-4gn-usb-5m-zu-w")</f>
        <v>https://sklep.kobi.pl/produkt/kobi-connecto-white-4gn-usb-5m-zu-w</v>
      </c>
      <c r="T766" t="s">
        <v>71</v>
      </c>
      <c r="U766">
        <v>0.76</v>
      </c>
      <c r="V766">
        <v>0</v>
      </c>
      <c r="W766">
        <v>0</v>
      </c>
      <c r="X766">
        <v>0</v>
      </c>
      <c r="Y766">
        <v>0</v>
      </c>
      <c r="Z766" t="s">
        <v>1778</v>
      </c>
      <c r="AA766"/>
    </row>
    <row r="767" spans="1:27" ht="15" x14ac:dyDescent="0.25">
      <c r="A767" t="s">
        <v>14</v>
      </c>
      <c r="B767" t="s">
        <v>147</v>
      </c>
      <c r="C767" t="s">
        <v>826</v>
      </c>
      <c r="D767" t="s">
        <v>69</v>
      </c>
      <c r="E767" t="s">
        <v>71</v>
      </c>
      <c r="F767" t="s">
        <v>827</v>
      </c>
      <c r="G767" t="s">
        <v>828</v>
      </c>
      <c r="H767" t="s">
        <v>16</v>
      </c>
      <c r="I767" s="41">
        <v>2.2200000000000002</v>
      </c>
      <c r="J767" s="40">
        <f>I767*(1-IFERROR(VLOOKUP(H767,Rabat!$D$10:$E$41,2,FALSE),0))</f>
        <v>2.2200000000000002</v>
      </c>
      <c r="K767">
        <v>0</v>
      </c>
      <c r="L767" t="s">
        <v>1789</v>
      </c>
      <c r="M767" t="s">
        <v>2579</v>
      </c>
      <c r="N767" t="s">
        <v>2580</v>
      </c>
      <c r="O767" t="s">
        <v>1776</v>
      </c>
      <c r="P767">
        <v>25</v>
      </c>
      <c r="Q767">
        <v>0</v>
      </c>
      <c r="R767" t="s">
        <v>1777</v>
      </c>
      <c r="S767" s="42" t="str">
        <f>HYPERLINK("https://sklep.kobi.pl/produkt/starter-do-led-t8")</f>
        <v>https://sklep.kobi.pl/produkt/starter-do-led-t8</v>
      </c>
      <c r="T767" t="s">
        <v>71</v>
      </c>
      <c r="U767">
        <v>3.0000000000000001E-3</v>
      </c>
      <c r="V767">
        <v>2E-3</v>
      </c>
      <c r="W767">
        <v>20</v>
      </c>
      <c r="X767">
        <v>20</v>
      </c>
      <c r="Y767">
        <v>40</v>
      </c>
      <c r="Z767" t="s">
        <v>1778</v>
      </c>
      <c r="AA767"/>
    </row>
    <row r="768" spans="1:27" ht="15" x14ac:dyDescent="0.25">
      <c r="A768" t="s">
        <v>14</v>
      </c>
      <c r="B768" t="s">
        <v>96</v>
      </c>
      <c r="C768" t="s">
        <v>97</v>
      </c>
      <c r="D768" t="s">
        <v>69</v>
      </c>
      <c r="E768" t="s">
        <v>71</v>
      </c>
      <c r="F768" t="s">
        <v>999</v>
      </c>
      <c r="G768" t="s">
        <v>1000</v>
      </c>
      <c r="H768" t="s">
        <v>16</v>
      </c>
      <c r="I768" s="41">
        <v>52</v>
      </c>
      <c r="J768" s="40">
        <f>I768*(1-IFERROR(VLOOKUP(H768,Rabat!$D$10:$E$41,2,FALSE),0))</f>
        <v>52</v>
      </c>
      <c r="K768">
        <v>0</v>
      </c>
      <c r="L768" t="s">
        <v>1789</v>
      </c>
      <c r="M768" t="s">
        <v>2581</v>
      </c>
      <c r="N768" t="s">
        <v>2582</v>
      </c>
      <c r="O768" t="s">
        <v>1776</v>
      </c>
      <c r="P768">
        <v>1</v>
      </c>
      <c r="Q768">
        <v>0</v>
      </c>
      <c r="R768" t="s">
        <v>1777</v>
      </c>
      <c r="S768" s="42" t="str">
        <f>HYPERLINK("https://sklep.kobi.pl/produkt/zasilacz-desktop-12v-24w-20a-")</f>
        <v>https://sklep.kobi.pl/produkt/zasilacz-desktop-12v-24w-20a-</v>
      </c>
      <c r="T768" t="s">
        <v>71</v>
      </c>
      <c r="U768">
        <v>0.18</v>
      </c>
      <c r="V768">
        <v>0.25</v>
      </c>
      <c r="W768"/>
      <c r="X768"/>
      <c r="Y768"/>
      <c r="Z768" t="s">
        <v>1778</v>
      </c>
      <c r="AA768"/>
    </row>
    <row r="769" spans="1:27" ht="15" x14ac:dyDescent="0.25">
      <c r="A769" t="s">
        <v>14</v>
      </c>
      <c r="B769" t="s">
        <v>96</v>
      </c>
      <c r="C769" t="s">
        <v>97</v>
      </c>
      <c r="D769" t="s">
        <v>69</v>
      </c>
      <c r="E769" t="s">
        <v>71</v>
      </c>
      <c r="F769" t="s">
        <v>918</v>
      </c>
      <c r="G769" t="s">
        <v>919</v>
      </c>
      <c r="H769" t="s">
        <v>16</v>
      </c>
      <c r="I769" s="41">
        <v>57</v>
      </c>
      <c r="J769" s="40">
        <f>I769*(1-IFERROR(VLOOKUP(H769,Rabat!$D$10:$E$41,2,FALSE),0))</f>
        <v>57</v>
      </c>
      <c r="K769">
        <v>0</v>
      </c>
      <c r="L769" t="s">
        <v>1789</v>
      </c>
      <c r="M769" t="s">
        <v>2583</v>
      </c>
      <c r="N769" t="s">
        <v>2582</v>
      </c>
      <c r="O769" t="s">
        <v>1776</v>
      </c>
      <c r="P769">
        <v>1</v>
      </c>
      <c r="Q769">
        <v>0</v>
      </c>
      <c r="R769" t="s">
        <v>1777</v>
      </c>
      <c r="S769" s="42" t="str">
        <f>HYPERLINK("https://sklep.kobi.pl/produkt/zasilacz-desktop-12v-30w-25a")</f>
        <v>https://sklep.kobi.pl/produkt/zasilacz-desktop-12v-30w-25a</v>
      </c>
      <c r="T769" t="s">
        <v>71</v>
      </c>
      <c r="U769">
        <v>0.18</v>
      </c>
      <c r="V769">
        <v>0.19600000000000001</v>
      </c>
      <c r="W769">
        <v>110</v>
      </c>
      <c r="X769">
        <v>60</v>
      </c>
      <c r="Y769">
        <v>60</v>
      </c>
      <c r="Z769" t="s">
        <v>1778</v>
      </c>
      <c r="AA769"/>
    </row>
    <row r="770" spans="1:27" ht="15" x14ac:dyDescent="0.25">
      <c r="A770" t="s">
        <v>14</v>
      </c>
      <c r="B770" t="s">
        <v>96</v>
      </c>
      <c r="C770" t="s">
        <v>97</v>
      </c>
      <c r="D770" t="s">
        <v>69</v>
      </c>
      <c r="E770" t="s">
        <v>71</v>
      </c>
      <c r="F770" t="s">
        <v>920</v>
      </c>
      <c r="G770" t="s">
        <v>921</v>
      </c>
      <c r="H770" t="s">
        <v>16</v>
      </c>
      <c r="I770" s="41">
        <v>59.5</v>
      </c>
      <c r="J770" s="40">
        <f>I770*(1-IFERROR(VLOOKUP(H770,Rabat!$D$10:$E$41,2,FALSE),0))</f>
        <v>59.5</v>
      </c>
      <c r="K770">
        <v>0</v>
      </c>
      <c r="L770" t="s">
        <v>1789</v>
      </c>
      <c r="M770" t="s">
        <v>2584</v>
      </c>
      <c r="N770" t="s">
        <v>2582</v>
      </c>
      <c r="O770" t="s">
        <v>1776</v>
      </c>
      <c r="P770">
        <v>1</v>
      </c>
      <c r="Q770">
        <v>0</v>
      </c>
      <c r="R770" t="s">
        <v>1777</v>
      </c>
      <c r="S770" s="42" t="str">
        <f>HYPERLINK("https://sklep.kobi.pl/produkt/zasilacz-desktop-12v-36w-30a")</f>
        <v>https://sklep.kobi.pl/produkt/zasilacz-desktop-12v-36w-30a</v>
      </c>
      <c r="T770" t="s">
        <v>71</v>
      </c>
      <c r="U770">
        <v>0.25</v>
      </c>
      <c r="V770">
        <v>0.27600000000000002</v>
      </c>
      <c r="W770">
        <v>160</v>
      </c>
      <c r="X770">
        <v>100</v>
      </c>
      <c r="Y770">
        <v>40</v>
      </c>
      <c r="Z770" t="s">
        <v>1778</v>
      </c>
      <c r="AA770"/>
    </row>
    <row r="771" spans="1:27" ht="15" x14ac:dyDescent="0.25">
      <c r="A771" t="s">
        <v>14</v>
      </c>
      <c r="B771" t="s">
        <v>96</v>
      </c>
      <c r="C771" t="s">
        <v>97</v>
      </c>
      <c r="D771" t="s">
        <v>69</v>
      </c>
      <c r="E771" t="s">
        <v>71</v>
      </c>
      <c r="F771" t="s">
        <v>941</v>
      </c>
      <c r="G771" t="s">
        <v>942</v>
      </c>
      <c r="H771" t="s">
        <v>16</v>
      </c>
      <c r="I771" s="41">
        <v>62.5</v>
      </c>
      <c r="J771" s="40">
        <f>I771*(1-IFERROR(VLOOKUP(H771,Rabat!$D$10:$E$41,2,FALSE),0))</f>
        <v>62.5</v>
      </c>
      <c r="K771">
        <v>0</v>
      </c>
      <c r="L771" t="s">
        <v>1789</v>
      </c>
      <c r="M771" t="s">
        <v>2585</v>
      </c>
      <c r="N771" t="s">
        <v>2582</v>
      </c>
      <c r="O771" t="s">
        <v>1776</v>
      </c>
      <c r="P771">
        <v>1</v>
      </c>
      <c r="Q771">
        <v>0</v>
      </c>
      <c r="R771" t="s">
        <v>1777</v>
      </c>
      <c r="S771" s="42" t="str">
        <f>HYPERLINK("https://sklep.kobi.pl/produkt/zasilacz-desktop-12v-42w-35a-")</f>
        <v>https://sklep.kobi.pl/produkt/zasilacz-desktop-12v-42w-35a-</v>
      </c>
      <c r="T771" t="s">
        <v>71</v>
      </c>
      <c r="U771">
        <v>0.25</v>
      </c>
      <c r="V771">
        <v>0.3</v>
      </c>
      <c r="W771"/>
      <c r="X771"/>
      <c r="Y771"/>
      <c r="Z771" t="s">
        <v>1778</v>
      </c>
      <c r="AA771"/>
    </row>
    <row r="772" spans="1:27" ht="15" x14ac:dyDescent="0.25">
      <c r="A772" t="s">
        <v>14</v>
      </c>
      <c r="B772" t="s">
        <v>96</v>
      </c>
      <c r="C772" t="s">
        <v>97</v>
      </c>
      <c r="D772" t="s">
        <v>69</v>
      </c>
      <c r="E772" t="s">
        <v>71</v>
      </c>
      <c r="F772" t="s">
        <v>939</v>
      </c>
      <c r="G772" t="s">
        <v>940</v>
      </c>
      <c r="H772" t="s">
        <v>16</v>
      </c>
      <c r="I772" s="41">
        <v>77.5</v>
      </c>
      <c r="J772" s="40">
        <f>I772*(1-IFERROR(VLOOKUP(H772,Rabat!$D$10:$E$41,2,FALSE),0))</f>
        <v>77.5</v>
      </c>
      <c r="K772">
        <v>0</v>
      </c>
      <c r="L772" t="s">
        <v>1789</v>
      </c>
      <c r="M772" t="s">
        <v>2586</v>
      </c>
      <c r="N772" t="s">
        <v>2582</v>
      </c>
      <c r="O772" t="s">
        <v>1776</v>
      </c>
      <c r="P772">
        <v>1</v>
      </c>
      <c r="Q772">
        <v>0</v>
      </c>
      <c r="R772" t="s">
        <v>1777</v>
      </c>
      <c r="S772" s="42" t="str">
        <f>HYPERLINK("https://sklep.kobi.pl/produkt/zasilacz-desktop-12v-60w-50a-")</f>
        <v>https://sklep.kobi.pl/produkt/zasilacz-desktop-12v-60w-50a-</v>
      </c>
      <c r="T772" t="s">
        <v>71</v>
      </c>
      <c r="U772">
        <v>0.3</v>
      </c>
      <c r="V772">
        <v>0.32900000000000001</v>
      </c>
      <c r="W772">
        <v>160</v>
      </c>
      <c r="X772">
        <v>100</v>
      </c>
      <c r="Y772">
        <v>40</v>
      </c>
      <c r="Z772" t="s">
        <v>1778</v>
      </c>
      <c r="AA772"/>
    </row>
    <row r="773" spans="1:27" ht="15" x14ac:dyDescent="0.25">
      <c r="A773" t="s">
        <v>14</v>
      </c>
      <c r="B773" t="s">
        <v>96</v>
      </c>
      <c r="C773" t="s">
        <v>97</v>
      </c>
      <c r="D773" t="s">
        <v>69</v>
      </c>
      <c r="E773" t="s">
        <v>71</v>
      </c>
      <c r="F773" t="s">
        <v>98</v>
      </c>
      <c r="G773" t="s">
        <v>99</v>
      </c>
      <c r="H773" t="s">
        <v>16</v>
      </c>
      <c r="I773" s="41">
        <v>97</v>
      </c>
      <c r="J773" s="40">
        <f>I773*(1-IFERROR(VLOOKUP(H773,Rabat!$D$10:$E$41,2,FALSE),0))</f>
        <v>97</v>
      </c>
      <c r="K773">
        <v>0</v>
      </c>
      <c r="L773" t="s">
        <v>1789</v>
      </c>
      <c r="M773" t="s">
        <v>2587</v>
      </c>
      <c r="N773" t="s">
        <v>2582</v>
      </c>
      <c r="O773" t="s">
        <v>1776</v>
      </c>
      <c r="P773">
        <v>1</v>
      </c>
      <c r="Q773">
        <v>0</v>
      </c>
      <c r="R773" t="s">
        <v>1777</v>
      </c>
      <c r="S773" s="42" t="str">
        <f>HYPERLINK("https://sklep.kobi.pl/produkt/zasilacz-led-72w-6a-12v-cp1206000")</f>
        <v>https://sklep.kobi.pl/produkt/zasilacz-led-72w-6a-12v-cp1206000</v>
      </c>
      <c r="T773" t="s">
        <v>71</v>
      </c>
      <c r="U773">
        <v>0.44</v>
      </c>
      <c r="V773">
        <v>0.55000000000000004</v>
      </c>
      <c r="W773">
        <v>40</v>
      </c>
      <c r="X773">
        <v>120</v>
      </c>
      <c r="Y773">
        <v>200</v>
      </c>
      <c r="Z773" t="s">
        <v>1778</v>
      </c>
      <c r="AA773"/>
    </row>
    <row r="774" spans="1:27" ht="15" x14ac:dyDescent="0.25">
      <c r="A774" t="s">
        <v>14</v>
      </c>
      <c r="B774" t="s">
        <v>96</v>
      </c>
      <c r="C774" t="s">
        <v>97</v>
      </c>
      <c r="D774" t="s">
        <v>69</v>
      </c>
      <c r="E774" t="s">
        <v>71</v>
      </c>
      <c r="F774" t="s">
        <v>283</v>
      </c>
      <c r="G774" t="s">
        <v>284</v>
      </c>
      <c r="H774" t="s">
        <v>16</v>
      </c>
      <c r="I774" s="41">
        <v>179</v>
      </c>
      <c r="J774" s="40">
        <f>I774*(1-IFERROR(VLOOKUP(H774,Rabat!$D$10:$E$41,2,FALSE),0))</f>
        <v>179</v>
      </c>
      <c r="K774">
        <v>0</v>
      </c>
      <c r="L774" t="s">
        <v>1789</v>
      </c>
      <c r="M774" t="s">
        <v>2588</v>
      </c>
      <c r="N774" t="s">
        <v>2582</v>
      </c>
      <c r="O774" t="s">
        <v>1776</v>
      </c>
      <c r="P774">
        <v>1</v>
      </c>
      <c r="Q774">
        <v>0</v>
      </c>
      <c r="R774" t="s">
        <v>1777</v>
      </c>
      <c r="S774" s="42" t="str">
        <f>HYPERLINK("https://sklep.kobi.pl/produkt/zasilacz-led-90w-75a-12v-desktop")</f>
        <v>https://sklep.kobi.pl/produkt/zasilacz-led-90w-75a-12v-desktop</v>
      </c>
      <c r="T774" t="s">
        <v>71</v>
      </c>
      <c r="U774">
        <v>0.44</v>
      </c>
      <c r="V774">
        <v>0.55000000000000004</v>
      </c>
      <c r="W774">
        <v>120</v>
      </c>
      <c r="X774">
        <v>200</v>
      </c>
      <c r="Y774">
        <v>40</v>
      </c>
      <c r="Z774" t="s">
        <v>1778</v>
      </c>
      <c r="AA774"/>
    </row>
    <row r="775" spans="1:27" ht="15" x14ac:dyDescent="0.25">
      <c r="A775" t="s">
        <v>14</v>
      </c>
      <c r="B775" t="s">
        <v>96</v>
      </c>
      <c r="C775" t="s">
        <v>97</v>
      </c>
      <c r="D775" t="s">
        <v>69</v>
      </c>
      <c r="E775" t="s">
        <v>71</v>
      </c>
      <c r="F775" t="s">
        <v>398</v>
      </c>
      <c r="G775" t="s">
        <v>399</v>
      </c>
      <c r="H775" t="s">
        <v>16</v>
      </c>
      <c r="I775" s="41">
        <v>212</v>
      </c>
      <c r="J775" s="40">
        <f>I775*(1-IFERROR(VLOOKUP(H775,Rabat!$D$10:$E$41,2,FALSE),0))</f>
        <v>212</v>
      </c>
      <c r="K775">
        <v>0</v>
      </c>
      <c r="L775" t="s">
        <v>1789</v>
      </c>
      <c r="M775" t="s">
        <v>2589</v>
      </c>
      <c r="N775" t="s">
        <v>2582</v>
      </c>
      <c r="O775" t="s">
        <v>1776</v>
      </c>
      <c r="P775">
        <v>1</v>
      </c>
      <c r="Q775">
        <v>0</v>
      </c>
      <c r="R775" t="s">
        <v>1777</v>
      </c>
      <c r="S775" s="42" t="str">
        <f>HYPERLINK("https://sklep.kobi.pl/produkt/zasilacz-desktop-12v-120w-100a")</f>
        <v>https://sklep.kobi.pl/produkt/zasilacz-desktop-12v-120w-100a</v>
      </c>
      <c r="T775" t="s">
        <v>71</v>
      </c>
      <c r="U775">
        <v>0.52</v>
      </c>
      <c r="V775">
        <v>0.55000000000000004</v>
      </c>
      <c r="W775">
        <v>115</v>
      </c>
      <c r="X775">
        <v>205</v>
      </c>
      <c r="Y775">
        <v>55</v>
      </c>
      <c r="Z775" t="s">
        <v>1778</v>
      </c>
      <c r="AA775"/>
    </row>
    <row r="776" spans="1:27" ht="15" x14ac:dyDescent="0.25">
      <c r="A776" t="s">
        <v>14</v>
      </c>
      <c r="B776" t="s">
        <v>96</v>
      </c>
      <c r="C776" t="s">
        <v>136</v>
      </c>
      <c r="D776" t="s">
        <v>69</v>
      </c>
      <c r="E776" t="s">
        <v>71</v>
      </c>
      <c r="F776" t="s">
        <v>1053</v>
      </c>
      <c r="G776" t="s">
        <v>1054</v>
      </c>
      <c r="H776" t="s">
        <v>16</v>
      </c>
      <c r="I776" s="41">
        <v>58.5</v>
      </c>
      <c r="J776" s="40">
        <f>I776*(1-IFERROR(VLOOKUP(H776,Rabat!$D$10:$E$41,2,FALSE),0))</f>
        <v>58.5</v>
      </c>
      <c r="K776">
        <v>0</v>
      </c>
      <c r="L776" t="s">
        <v>1789</v>
      </c>
      <c r="M776" t="s">
        <v>2590</v>
      </c>
      <c r="N776" t="s">
        <v>2582</v>
      </c>
      <c r="O776" t="s">
        <v>1776</v>
      </c>
      <c r="P776">
        <v>1</v>
      </c>
      <c r="Q776">
        <v>0</v>
      </c>
      <c r="R776" t="s">
        <v>1777</v>
      </c>
      <c r="S776" s="42" t="str">
        <f>HYPERLINK("https://sklep.kobi.pl/produkt/zasilacz-instalacyjny-12v-10w-083a-ip67")</f>
        <v>https://sklep.kobi.pl/produkt/zasilacz-instalacyjny-12v-10w-083a-ip67</v>
      </c>
      <c r="T776" t="s">
        <v>71</v>
      </c>
      <c r="U776">
        <v>0.11</v>
      </c>
      <c r="V776">
        <v>0.12</v>
      </c>
      <c r="W776">
        <v>77</v>
      </c>
      <c r="X776">
        <v>77</v>
      </c>
      <c r="Y776">
        <v>27</v>
      </c>
      <c r="Z776" t="s">
        <v>1778</v>
      </c>
      <c r="AA776"/>
    </row>
    <row r="777" spans="1:27" ht="15" x14ac:dyDescent="0.25">
      <c r="A777" t="s">
        <v>14</v>
      </c>
      <c r="B777" t="s">
        <v>96</v>
      </c>
      <c r="C777" t="s">
        <v>136</v>
      </c>
      <c r="D777" t="s">
        <v>69</v>
      </c>
      <c r="E777" t="s">
        <v>71</v>
      </c>
      <c r="F777" t="s">
        <v>145</v>
      </c>
      <c r="G777" t="s">
        <v>146</v>
      </c>
      <c r="H777" t="s">
        <v>16</v>
      </c>
      <c r="I777" s="41">
        <v>63</v>
      </c>
      <c r="J777" s="40">
        <f>I777*(1-IFERROR(VLOOKUP(H777,Rabat!$D$10:$E$41,2,FALSE),0))</f>
        <v>63</v>
      </c>
      <c r="K777">
        <v>0</v>
      </c>
      <c r="L777" t="s">
        <v>1789</v>
      </c>
      <c r="M777" t="s">
        <v>2591</v>
      </c>
      <c r="N777" t="s">
        <v>2582</v>
      </c>
      <c r="O777" t="s">
        <v>1776</v>
      </c>
      <c r="P777">
        <v>1</v>
      </c>
      <c r="Q777">
        <v>0</v>
      </c>
      <c r="R777" t="s">
        <v>1777</v>
      </c>
      <c r="S777" s="42" t="str">
        <f>HYPERLINK("https://sklep.kobi.pl/produkt/zasilacz-led-20w-167a-12v-ip67-pro")</f>
        <v>https://sklep.kobi.pl/produkt/zasilacz-led-20w-167a-12v-ip67-pro</v>
      </c>
      <c r="T777" t="s">
        <v>71</v>
      </c>
      <c r="U777">
        <v>0.12</v>
      </c>
      <c r="V777">
        <v>0.20499999999999999</v>
      </c>
      <c r="W777">
        <v>35</v>
      </c>
      <c r="X777">
        <v>240</v>
      </c>
      <c r="Y777">
        <v>35</v>
      </c>
      <c r="Z777" t="s">
        <v>1778</v>
      </c>
      <c r="AA777"/>
    </row>
    <row r="778" spans="1:27" ht="15" x14ac:dyDescent="0.25">
      <c r="A778" t="s">
        <v>14</v>
      </c>
      <c r="B778" t="s">
        <v>96</v>
      </c>
      <c r="C778" t="s">
        <v>136</v>
      </c>
      <c r="D778" t="s">
        <v>69</v>
      </c>
      <c r="E778" t="s">
        <v>71</v>
      </c>
      <c r="F778" t="s">
        <v>143</v>
      </c>
      <c r="G778" t="s">
        <v>144</v>
      </c>
      <c r="H778" t="s">
        <v>16</v>
      </c>
      <c r="I778" s="41">
        <v>77</v>
      </c>
      <c r="J778" s="40">
        <f>I778*(1-IFERROR(VLOOKUP(H778,Rabat!$D$10:$E$41,2,FALSE),0))</f>
        <v>77</v>
      </c>
      <c r="K778">
        <v>0</v>
      </c>
      <c r="L778" t="s">
        <v>1789</v>
      </c>
      <c r="M778" t="s">
        <v>2592</v>
      </c>
      <c r="N778" t="s">
        <v>2582</v>
      </c>
      <c r="O778" t="s">
        <v>1776</v>
      </c>
      <c r="P778">
        <v>1</v>
      </c>
      <c r="Q778">
        <v>0</v>
      </c>
      <c r="R778" t="s">
        <v>1777</v>
      </c>
      <c r="S778" s="42" t="str">
        <f>HYPERLINK("https://sklep.kobi.pl/produkt/zasilacz-led-30w-25a-12v-ip67-pro")</f>
        <v>https://sklep.kobi.pl/produkt/zasilacz-led-30w-25a-12v-ip67-pro</v>
      </c>
      <c r="T778" t="s">
        <v>71</v>
      </c>
      <c r="U778">
        <v>0.14000000000000001</v>
      </c>
      <c r="V778">
        <v>0.14699999999999999</v>
      </c>
      <c r="W778">
        <v>40</v>
      </c>
      <c r="X778">
        <v>35</v>
      </c>
      <c r="Y778">
        <v>240</v>
      </c>
      <c r="Z778" t="s">
        <v>1778</v>
      </c>
      <c r="AA778"/>
    </row>
    <row r="779" spans="1:27" ht="15" x14ac:dyDescent="0.25">
      <c r="A779" t="s">
        <v>14</v>
      </c>
      <c r="B779" t="s">
        <v>96</v>
      </c>
      <c r="C779" t="s">
        <v>136</v>
      </c>
      <c r="D779" t="s">
        <v>69</v>
      </c>
      <c r="E779" t="s">
        <v>71</v>
      </c>
      <c r="F779" t="s">
        <v>263</v>
      </c>
      <c r="G779" t="s">
        <v>264</v>
      </c>
      <c r="H779" t="s">
        <v>16</v>
      </c>
      <c r="I779" s="41">
        <v>110.5</v>
      </c>
      <c r="J779" s="40">
        <f>I779*(1-IFERROR(VLOOKUP(H779,Rabat!$D$10:$E$41,2,FALSE),0))</f>
        <v>110.5</v>
      </c>
      <c r="K779">
        <v>0</v>
      </c>
      <c r="L779" t="s">
        <v>1789</v>
      </c>
      <c r="M779" t="s">
        <v>2593</v>
      </c>
      <c r="N779" t="s">
        <v>2582</v>
      </c>
      <c r="O779" t="s">
        <v>1776</v>
      </c>
      <c r="P779">
        <v>1</v>
      </c>
      <c r="Q779">
        <v>0</v>
      </c>
      <c r="R779" t="s">
        <v>1777</v>
      </c>
      <c r="S779" s="42" t="str">
        <f>HYPERLINK("https://sklep.kobi.pl/produkt/zasilacz-led-50w-4-16a-12v-ip67")</f>
        <v>https://sklep.kobi.pl/produkt/zasilacz-led-50w-4-16a-12v-ip67</v>
      </c>
      <c r="T779" t="s">
        <v>71</v>
      </c>
      <c r="U779">
        <v>0.26</v>
      </c>
      <c r="V779">
        <v>0.27700000000000002</v>
      </c>
      <c r="W779">
        <v>40</v>
      </c>
      <c r="X779">
        <v>240</v>
      </c>
      <c r="Y779">
        <v>30</v>
      </c>
      <c r="Z779" t="s">
        <v>1778</v>
      </c>
      <c r="AA779"/>
    </row>
    <row r="780" spans="1:27" ht="15" x14ac:dyDescent="0.25">
      <c r="A780" t="s">
        <v>14</v>
      </c>
      <c r="B780" t="s">
        <v>96</v>
      </c>
      <c r="C780" t="s">
        <v>136</v>
      </c>
      <c r="D780" t="s">
        <v>69</v>
      </c>
      <c r="E780" t="s">
        <v>71</v>
      </c>
      <c r="F780" t="s">
        <v>1055</v>
      </c>
      <c r="G780" t="s">
        <v>1056</v>
      </c>
      <c r="H780" t="s">
        <v>16</v>
      </c>
      <c r="I780" s="41">
        <v>137</v>
      </c>
      <c r="J780" s="40">
        <f>I780*(1-IFERROR(VLOOKUP(H780,Rabat!$D$10:$E$41,2,FALSE),0))</f>
        <v>137</v>
      </c>
      <c r="K780">
        <v>0</v>
      </c>
      <c r="L780" t="s">
        <v>1789</v>
      </c>
      <c r="M780" t="s">
        <v>2594</v>
      </c>
      <c r="N780" t="s">
        <v>2582</v>
      </c>
      <c r="O780" t="s">
        <v>1776</v>
      </c>
      <c r="P780">
        <v>1</v>
      </c>
      <c r="Q780">
        <v>0</v>
      </c>
      <c r="R780" t="s">
        <v>1777</v>
      </c>
      <c r="S780" s="42" t="str">
        <f>HYPERLINK("https://sklep.kobi.pl/produkt/zasilacz-instalacyjny-12v-60w-50a-ip67")</f>
        <v>https://sklep.kobi.pl/produkt/zasilacz-instalacyjny-12v-60w-50a-ip67</v>
      </c>
      <c r="T780" t="s">
        <v>71</v>
      </c>
      <c r="U780">
        <v>0.25</v>
      </c>
      <c r="V780">
        <v>0.27</v>
      </c>
      <c r="W780">
        <v>70</v>
      </c>
      <c r="X780">
        <v>200</v>
      </c>
      <c r="Y780">
        <v>50</v>
      </c>
      <c r="Z780" t="s">
        <v>1778</v>
      </c>
      <c r="AA780"/>
    </row>
    <row r="781" spans="1:27" ht="15" x14ac:dyDescent="0.25">
      <c r="A781" t="s">
        <v>14</v>
      </c>
      <c r="B781" t="s">
        <v>96</v>
      </c>
      <c r="C781" t="s">
        <v>136</v>
      </c>
      <c r="D781" t="s">
        <v>69</v>
      </c>
      <c r="E781" t="s">
        <v>71</v>
      </c>
      <c r="F781" t="s">
        <v>137</v>
      </c>
      <c r="G781" t="s">
        <v>138</v>
      </c>
      <c r="H781" t="s">
        <v>16</v>
      </c>
      <c r="I781" s="41">
        <v>184.5</v>
      </c>
      <c r="J781" s="40">
        <f>I781*(1-IFERROR(VLOOKUP(H781,Rabat!$D$10:$E$41,2,FALSE),0))</f>
        <v>184.5</v>
      </c>
      <c r="K781">
        <v>0</v>
      </c>
      <c r="L781" t="s">
        <v>1789</v>
      </c>
      <c r="M781" t="s">
        <v>2595</v>
      </c>
      <c r="N781" t="s">
        <v>2582</v>
      </c>
      <c r="O781" t="s">
        <v>1776</v>
      </c>
      <c r="P781">
        <v>1</v>
      </c>
      <c r="Q781">
        <v>0</v>
      </c>
      <c r="R781" t="s">
        <v>1777</v>
      </c>
      <c r="S781" s="42" t="str">
        <f>HYPERLINK("https://sklep.kobi.pl/produkt/zasilacz-led-80w-667a-12v-ip67")</f>
        <v>https://sklep.kobi.pl/produkt/zasilacz-led-80w-667a-12v-ip67</v>
      </c>
      <c r="T781" t="s">
        <v>71</v>
      </c>
      <c r="U781">
        <v>0.81</v>
      </c>
      <c r="V781">
        <v>0.85</v>
      </c>
      <c r="W781">
        <v>45</v>
      </c>
      <c r="X781">
        <v>200</v>
      </c>
      <c r="Y781">
        <v>75</v>
      </c>
      <c r="Z781" t="s">
        <v>1778</v>
      </c>
      <c r="AA781"/>
    </row>
    <row r="782" spans="1:27" ht="15" x14ac:dyDescent="0.25">
      <c r="A782" t="s">
        <v>14</v>
      </c>
      <c r="B782" t="s">
        <v>96</v>
      </c>
      <c r="C782" t="s">
        <v>136</v>
      </c>
      <c r="D782" t="s">
        <v>69</v>
      </c>
      <c r="E782" t="s">
        <v>71</v>
      </c>
      <c r="F782" t="s">
        <v>287</v>
      </c>
      <c r="G782" t="s">
        <v>288</v>
      </c>
      <c r="H782" t="s">
        <v>16</v>
      </c>
      <c r="I782" s="41">
        <v>211</v>
      </c>
      <c r="J782" s="40">
        <f>I782*(1-IFERROR(VLOOKUP(H782,Rabat!$D$10:$E$41,2,FALSE),0))</f>
        <v>211</v>
      </c>
      <c r="K782">
        <v>0</v>
      </c>
      <c r="L782" t="s">
        <v>1789</v>
      </c>
      <c r="M782" t="s">
        <v>2596</v>
      </c>
      <c r="N782" t="s">
        <v>2582</v>
      </c>
      <c r="O782" t="s">
        <v>1776</v>
      </c>
      <c r="P782">
        <v>1</v>
      </c>
      <c r="Q782">
        <v>0</v>
      </c>
      <c r="R782" t="s">
        <v>1777</v>
      </c>
      <c r="S782" s="42" t="str">
        <f>HYPERLINK("https://sklep.kobi.pl/produkt/zasilacz-led-100w-83a-12v-sdk6510-ip65")</f>
        <v>https://sklep.kobi.pl/produkt/zasilacz-led-100w-83a-12v-sdk6510-ip65</v>
      </c>
      <c r="T782" t="s">
        <v>71</v>
      </c>
      <c r="U782">
        <v>0.36199999999999999</v>
      </c>
      <c r="V782">
        <v>0.89</v>
      </c>
      <c r="W782">
        <v>205</v>
      </c>
      <c r="X782">
        <v>79</v>
      </c>
      <c r="Y782">
        <v>26</v>
      </c>
      <c r="Z782" t="s">
        <v>1778</v>
      </c>
      <c r="AA782"/>
    </row>
    <row r="783" spans="1:27" ht="15" x14ac:dyDescent="0.25">
      <c r="A783" t="s">
        <v>14</v>
      </c>
      <c r="B783" t="s">
        <v>96</v>
      </c>
      <c r="C783" t="s">
        <v>136</v>
      </c>
      <c r="D783" t="s">
        <v>69</v>
      </c>
      <c r="E783" t="s">
        <v>71</v>
      </c>
      <c r="F783" t="s">
        <v>139</v>
      </c>
      <c r="G783" t="s">
        <v>140</v>
      </c>
      <c r="H783" t="s">
        <v>16</v>
      </c>
      <c r="I783" s="41">
        <v>270</v>
      </c>
      <c r="J783" s="40">
        <f>I783*(1-IFERROR(VLOOKUP(H783,Rabat!$D$10:$E$41,2,FALSE),0))</f>
        <v>270</v>
      </c>
      <c r="K783">
        <v>0</v>
      </c>
      <c r="L783" t="s">
        <v>1789</v>
      </c>
      <c r="M783" t="s">
        <v>2597</v>
      </c>
      <c r="N783" t="s">
        <v>2582</v>
      </c>
      <c r="O783" t="s">
        <v>1776</v>
      </c>
      <c r="P783">
        <v>1</v>
      </c>
      <c r="Q783">
        <v>0</v>
      </c>
      <c r="R783" t="s">
        <v>1777</v>
      </c>
      <c r="S783" s="42" t="str">
        <f>HYPERLINK("https://sklep.kobi.pl/produkt/zasilacz-led-120w-10a-12v-ip67")</f>
        <v>https://sklep.kobi.pl/produkt/zasilacz-led-120w-10a-12v-ip67</v>
      </c>
      <c r="T783" t="s">
        <v>71</v>
      </c>
      <c r="U783">
        <v>0.83399999999999996</v>
      </c>
      <c r="V783">
        <v>1.2170000000000001</v>
      </c>
      <c r="W783">
        <v>60</v>
      </c>
      <c r="X783">
        <v>250</v>
      </c>
      <c r="Y783">
        <v>80</v>
      </c>
      <c r="Z783" t="s">
        <v>1778</v>
      </c>
      <c r="AA783"/>
    </row>
    <row r="784" spans="1:27" ht="15" x14ac:dyDescent="0.25">
      <c r="A784" t="s">
        <v>14</v>
      </c>
      <c r="B784" t="s">
        <v>96</v>
      </c>
      <c r="C784" t="s">
        <v>136</v>
      </c>
      <c r="D784" t="s">
        <v>69</v>
      </c>
      <c r="E784" t="s">
        <v>71</v>
      </c>
      <c r="F784" t="s">
        <v>141</v>
      </c>
      <c r="G784" t="s">
        <v>142</v>
      </c>
      <c r="H784" t="s">
        <v>16</v>
      </c>
      <c r="I784" s="41">
        <v>338</v>
      </c>
      <c r="J784" s="40">
        <f>I784*(1-IFERROR(VLOOKUP(H784,Rabat!$D$10:$E$41,2,FALSE),0))</f>
        <v>338</v>
      </c>
      <c r="K784">
        <v>0</v>
      </c>
      <c r="L784" t="s">
        <v>1789</v>
      </c>
      <c r="M784" t="s">
        <v>2598</v>
      </c>
      <c r="N784" t="s">
        <v>2582</v>
      </c>
      <c r="O784" t="s">
        <v>1776</v>
      </c>
      <c r="P784">
        <v>1</v>
      </c>
      <c r="Q784">
        <v>0</v>
      </c>
      <c r="R784" t="s">
        <v>1777</v>
      </c>
      <c r="S784" s="42" t="str">
        <f>HYPERLINK("https://sklep.kobi.pl/produkt/zasilacz-led-150w-125a-12v-ip67-pro")</f>
        <v>https://sklep.kobi.pl/produkt/zasilacz-led-150w-125a-12v-ip67-pro</v>
      </c>
      <c r="T784" t="s">
        <v>71</v>
      </c>
      <c r="U784">
        <v>0.63</v>
      </c>
      <c r="V784">
        <v>0.751</v>
      </c>
      <c r="W784">
        <v>40</v>
      </c>
      <c r="X784">
        <v>35</v>
      </c>
      <c r="Y784">
        <v>270</v>
      </c>
      <c r="Z784" t="s">
        <v>1778</v>
      </c>
      <c r="AA784"/>
    </row>
    <row r="785" spans="1:27" ht="15" x14ac:dyDescent="0.25">
      <c r="A785" t="s">
        <v>14</v>
      </c>
      <c r="B785" t="s">
        <v>96</v>
      </c>
      <c r="C785" t="s">
        <v>136</v>
      </c>
      <c r="D785" t="s">
        <v>69</v>
      </c>
      <c r="E785" t="s">
        <v>71</v>
      </c>
      <c r="F785" t="s">
        <v>318</v>
      </c>
      <c r="G785" t="s">
        <v>319</v>
      </c>
      <c r="H785" t="s">
        <v>16</v>
      </c>
      <c r="I785" s="41">
        <v>399</v>
      </c>
      <c r="J785" s="40">
        <f>I785*(1-IFERROR(VLOOKUP(H785,Rabat!$D$10:$E$41,2,FALSE),0))</f>
        <v>399</v>
      </c>
      <c r="K785">
        <v>0</v>
      </c>
      <c r="L785" t="s">
        <v>1789</v>
      </c>
      <c r="M785" t="s">
        <v>2599</v>
      </c>
      <c r="N785" t="s">
        <v>2582</v>
      </c>
      <c r="O785" t="s">
        <v>1776</v>
      </c>
      <c r="P785">
        <v>1</v>
      </c>
      <c r="Q785">
        <v>0</v>
      </c>
      <c r="R785" t="s">
        <v>1777</v>
      </c>
      <c r="S785" s="42" t="str">
        <f>HYPERLINK("https://sklep.kobi.pl/produkt/zasilacz-instalacyjn-12v-200w-167a-ip67")</f>
        <v>https://sklep.kobi.pl/produkt/zasilacz-instalacyjn-12v-200w-167a-ip67</v>
      </c>
      <c r="T785" t="s">
        <v>71</v>
      </c>
      <c r="U785">
        <v>0.69</v>
      </c>
      <c r="V785">
        <v>0.73299999999999998</v>
      </c>
      <c r="W785">
        <v>270</v>
      </c>
      <c r="X785">
        <v>80</v>
      </c>
      <c r="Y785">
        <v>30</v>
      </c>
      <c r="Z785" t="s">
        <v>1778</v>
      </c>
      <c r="AA785"/>
    </row>
    <row r="786" spans="1:27" ht="15" x14ac:dyDescent="0.25">
      <c r="A786" t="s">
        <v>14</v>
      </c>
      <c r="B786" t="s">
        <v>96</v>
      </c>
      <c r="C786" t="s">
        <v>158</v>
      </c>
      <c r="D786" t="s">
        <v>69</v>
      </c>
      <c r="E786" t="s">
        <v>71</v>
      </c>
      <c r="F786" t="s">
        <v>249</v>
      </c>
      <c r="G786" t="s">
        <v>250</v>
      </c>
      <c r="H786" t="s">
        <v>16</v>
      </c>
      <c r="I786" s="41">
        <v>44.5</v>
      </c>
      <c r="J786" s="40">
        <f>I786*(1-IFERROR(VLOOKUP(H786,Rabat!$D$10:$E$41,2,FALSE),0))</f>
        <v>44.5</v>
      </c>
      <c r="K786">
        <v>0</v>
      </c>
      <c r="L786" t="s">
        <v>1789</v>
      </c>
      <c r="M786" t="s">
        <v>2600</v>
      </c>
      <c r="N786" t="s">
        <v>2582</v>
      </c>
      <c r="O786" t="s">
        <v>1776</v>
      </c>
      <c r="P786">
        <v>1</v>
      </c>
      <c r="Q786">
        <v>0</v>
      </c>
      <c r="R786" t="s">
        <v>1777</v>
      </c>
      <c r="S786" s="42" t="str">
        <f>HYPERLINK("https://sklep.kobi.pl/produkt/zasilacz-led-6w-05a-12v-sdk1107-mini")</f>
        <v>https://sklep.kobi.pl/produkt/zasilacz-led-6w-05a-12v-sdk1107-mini</v>
      </c>
      <c r="T786" t="s">
        <v>71</v>
      </c>
      <c r="U786">
        <v>0.03</v>
      </c>
      <c r="V786">
        <v>3.4000000000000002E-2</v>
      </c>
      <c r="W786">
        <v>23</v>
      </c>
      <c r="X786">
        <v>45</v>
      </c>
      <c r="Y786">
        <v>45</v>
      </c>
      <c r="Z786" t="s">
        <v>1778</v>
      </c>
      <c r="AA786"/>
    </row>
    <row r="787" spans="1:27" ht="15" x14ac:dyDescent="0.25">
      <c r="A787" t="s">
        <v>14</v>
      </c>
      <c r="B787" t="s">
        <v>96</v>
      </c>
      <c r="C787" t="s">
        <v>158</v>
      </c>
      <c r="D787" t="s">
        <v>69</v>
      </c>
      <c r="E787" t="s">
        <v>71</v>
      </c>
      <c r="F787" t="s">
        <v>382</v>
      </c>
      <c r="G787" t="s">
        <v>383</v>
      </c>
      <c r="H787" t="s">
        <v>16</v>
      </c>
      <c r="I787" s="41">
        <v>54</v>
      </c>
      <c r="J787" s="40">
        <f>I787*(1-IFERROR(VLOOKUP(H787,Rabat!$D$10:$E$41,2,FALSE),0))</f>
        <v>54</v>
      </c>
      <c r="K787">
        <v>0</v>
      </c>
      <c r="L787" t="s">
        <v>1789</v>
      </c>
      <c r="M787" t="s">
        <v>2601</v>
      </c>
      <c r="N787" t="s">
        <v>2582</v>
      </c>
      <c r="O787" t="s">
        <v>1776</v>
      </c>
      <c r="P787">
        <v>1</v>
      </c>
      <c r="Q787">
        <v>0</v>
      </c>
      <c r="R787" t="s">
        <v>1777</v>
      </c>
      <c r="S787" s="42" t="str">
        <f>HYPERLINK("https://sklep.kobi.pl/produkt/zasilacz-montazowy-12v-25w-21a")</f>
        <v>https://sklep.kobi.pl/produkt/zasilacz-montazowy-12v-25w-21a</v>
      </c>
      <c r="T787" t="s">
        <v>71</v>
      </c>
      <c r="U787">
        <v>0.1</v>
      </c>
      <c r="V787">
        <v>0.12</v>
      </c>
      <c r="W787">
        <v>94</v>
      </c>
      <c r="X787">
        <v>64</v>
      </c>
      <c r="Y787">
        <v>40</v>
      </c>
      <c r="Z787" t="s">
        <v>1778</v>
      </c>
      <c r="AA787"/>
    </row>
    <row r="788" spans="1:27" ht="15" x14ac:dyDescent="0.25">
      <c r="A788" t="s">
        <v>14</v>
      </c>
      <c r="B788" t="s">
        <v>96</v>
      </c>
      <c r="C788" t="s">
        <v>158</v>
      </c>
      <c r="D788" t="s">
        <v>69</v>
      </c>
      <c r="E788" t="s">
        <v>71</v>
      </c>
      <c r="F788" t="s">
        <v>384</v>
      </c>
      <c r="G788" t="s">
        <v>385</v>
      </c>
      <c r="H788" t="s">
        <v>16</v>
      </c>
      <c r="I788" s="41">
        <v>57</v>
      </c>
      <c r="J788" s="40">
        <f>I788*(1-IFERROR(VLOOKUP(H788,Rabat!$D$10:$E$41,2,FALSE),0))</f>
        <v>57</v>
      </c>
      <c r="K788">
        <v>0</v>
      </c>
      <c r="L788" t="s">
        <v>1789</v>
      </c>
      <c r="M788" t="s">
        <v>2602</v>
      </c>
      <c r="N788" t="s">
        <v>2582</v>
      </c>
      <c r="O788" t="s">
        <v>1776</v>
      </c>
      <c r="P788">
        <v>1</v>
      </c>
      <c r="Q788">
        <v>0</v>
      </c>
      <c r="R788" t="s">
        <v>1777</v>
      </c>
      <c r="S788" s="42" t="str">
        <f>HYPERLINK("https://sklep.kobi.pl/produkt/zasilacz-montazowy-12v-35w-29a")</f>
        <v>https://sklep.kobi.pl/produkt/zasilacz-montazowy-12v-35w-29a</v>
      </c>
      <c r="T788" t="s">
        <v>71</v>
      </c>
      <c r="U788">
        <v>0.104</v>
      </c>
      <c r="V788">
        <v>0.11899999999999999</v>
      </c>
      <c r="W788">
        <v>64</v>
      </c>
      <c r="X788">
        <v>94</v>
      </c>
      <c r="Y788">
        <v>40</v>
      </c>
      <c r="Z788" t="s">
        <v>1778</v>
      </c>
      <c r="AA788"/>
    </row>
    <row r="789" spans="1:27" ht="15" x14ac:dyDescent="0.25">
      <c r="A789" t="s">
        <v>14</v>
      </c>
      <c r="B789" t="s">
        <v>96</v>
      </c>
      <c r="C789" t="s">
        <v>158</v>
      </c>
      <c r="D789" t="s">
        <v>69</v>
      </c>
      <c r="E789" t="s">
        <v>71</v>
      </c>
      <c r="F789" t="s">
        <v>386</v>
      </c>
      <c r="G789" t="s">
        <v>387</v>
      </c>
      <c r="H789" t="s">
        <v>16</v>
      </c>
      <c r="I789" s="41">
        <v>68</v>
      </c>
      <c r="J789" s="40">
        <f>I789*(1-IFERROR(VLOOKUP(H789,Rabat!$D$10:$E$41,2,FALSE),0))</f>
        <v>68</v>
      </c>
      <c r="K789">
        <v>0</v>
      </c>
      <c r="L789" t="s">
        <v>1789</v>
      </c>
      <c r="M789" t="s">
        <v>2603</v>
      </c>
      <c r="N789" t="s">
        <v>2582</v>
      </c>
      <c r="O789" t="s">
        <v>1776</v>
      </c>
      <c r="P789">
        <v>1</v>
      </c>
      <c r="Q789">
        <v>0</v>
      </c>
      <c r="R789" t="s">
        <v>1777</v>
      </c>
      <c r="S789" s="42" t="str">
        <f>HYPERLINK("https://sklep.kobi.pl/produkt/zasilacz-montazowy-12v-60w-50a")</f>
        <v>https://sklep.kobi.pl/produkt/zasilacz-montazowy-12v-60w-50a</v>
      </c>
      <c r="T789" t="s">
        <v>71</v>
      </c>
      <c r="U789">
        <v>0.12</v>
      </c>
      <c r="V789">
        <v>0.14299999999999999</v>
      </c>
      <c r="W789">
        <v>90</v>
      </c>
      <c r="X789">
        <v>40</v>
      </c>
      <c r="Y789">
        <v>60</v>
      </c>
      <c r="Z789" t="s">
        <v>1778</v>
      </c>
      <c r="AA789"/>
    </row>
    <row r="790" spans="1:27" ht="15" x14ac:dyDescent="0.25">
      <c r="A790" t="s">
        <v>14</v>
      </c>
      <c r="B790" t="s">
        <v>96</v>
      </c>
      <c r="C790" t="s">
        <v>158</v>
      </c>
      <c r="D790" t="s">
        <v>69</v>
      </c>
      <c r="E790" t="s">
        <v>71</v>
      </c>
      <c r="F790" t="s">
        <v>243</v>
      </c>
      <c r="G790" t="s">
        <v>244</v>
      </c>
      <c r="H790" t="s">
        <v>16</v>
      </c>
      <c r="I790" s="41">
        <v>125</v>
      </c>
      <c r="J790" s="40">
        <f>I790*(1-IFERROR(VLOOKUP(H790,Rabat!$D$10:$E$41,2,FALSE),0))</f>
        <v>125</v>
      </c>
      <c r="K790">
        <v>0</v>
      </c>
      <c r="L790" t="s">
        <v>1789</v>
      </c>
      <c r="M790" t="s">
        <v>2604</v>
      </c>
      <c r="N790" t="s">
        <v>2582</v>
      </c>
      <c r="O790" t="s">
        <v>1776</v>
      </c>
      <c r="P790">
        <v>1</v>
      </c>
      <c r="Q790">
        <v>0</v>
      </c>
      <c r="R790" t="s">
        <v>1777</v>
      </c>
      <c r="S790" s="42" t="str">
        <f>HYPERLINK("https://sklep.kobi.pl/produkt/zasilacz-led-100w-83a-12v-modul-2")</f>
        <v>https://sklep.kobi.pl/produkt/zasilacz-led-100w-83a-12v-modul-2</v>
      </c>
      <c r="T790" t="s">
        <v>71</v>
      </c>
      <c r="U790">
        <v>0.182</v>
      </c>
      <c r="V790">
        <v>0.20399999999999999</v>
      </c>
      <c r="W790">
        <v>42</v>
      </c>
      <c r="X790">
        <v>121</v>
      </c>
      <c r="Y790">
        <v>81</v>
      </c>
      <c r="Z790" t="s">
        <v>1778</v>
      </c>
      <c r="AA790"/>
    </row>
    <row r="791" spans="1:27" ht="15" x14ac:dyDescent="0.25">
      <c r="A791" t="s">
        <v>14</v>
      </c>
      <c r="B791" t="s">
        <v>96</v>
      </c>
      <c r="C791" t="s">
        <v>158</v>
      </c>
      <c r="D791" t="s">
        <v>69</v>
      </c>
      <c r="E791" t="s">
        <v>71</v>
      </c>
      <c r="F791" t="s">
        <v>245</v>
      </c>
      <c r="G791" t="s">
        <v>246</v>
      </c>
      <c r="H791" t="s">
        <v>16</v>
      </c>
      <c r="I791" s="41">
        <v>155</v>
      </c>
      <c r="J791" s="40">
        <f>I791*(1-IFERROR(VLOOKUP(H791,Rabat!$D$10:$E$41,2,FALSE),0))</f>
        <v>155</v>
      </c>
      <c r="K791">
        <v>0</v>
      </c>
      <c r="L791" t="s">
        <v>1789</v>
      </c>
      <c r="M791" t="s">
        <v>2605</v>
      </c>
      <c r="N791" t="s">
        <v>2582</v>
      </c>
      <c r="O791" t="s">
        <v>1776</v>
      </c>
      <c r="P791">
        <v>1</v>
      </c>
      <c r="Q791">
        <v>0</v>
      </c>
      <c r="R791" t="s">
        <v>1777</v>
      </c>
      <c r="S791" s="42" t="str">
        <f>HYPERLINK("https://sklep.kobi.pl/produkt/zasilacz-led-150w-125a-12v-montazowy")</f>
        <v>https://sklep.kobi.pl/produkt/zasilacz-led-150w-125a-12v-montazowy</v>
      </c>
      <c r="T791" t="s">
        <v>71</v>
      </c>
      <c r="U791">
        <v>0.30199999999999999</v>
      </c>
      <c r="V791">
        <v>0.33100000000000002</v>
      </c>
      <c r="W791">
        <v>139</v>
      </c>
      <c r="X791">
        <v>104</v>
      </c>
      <c r="Y791">
        <v>44</v>
      </c>
      <c r="Z791" t="s">
        <v>1778</v>
      </c>
      <c r="AA791"/>
    </row>
    <row r="792" spans="1:27" ht="15" x14ac:dyDescent="0.25">
      <c r="A792" t="s">
        <v>14</v>
      </c>
      <c r="B792" t="s">
        <v>96</v>
      </c>
      <c r="C792" t="s">
        <v>158</v>
      </c>
      <c r="D792" t="s">
        <v>69</v>
      </c>
      <c r="E792" t="s">
        <v>71</v>
      </c>
      <c r="F792" t="s">
        <v>265</v>
      </c>
      <c r="G792" t="s">
        <v>266</v>
      </c>
      <c r="H792" t="s">
        <v>16</v>
      </c>
      <c r="I792" s="41">
        <v>179</v>
      </c>
      <c r="J792" s="40">
        <f>I792*(1-IFERROR(VLOOKUP(H792,Rabat!$D$10:$E$41,2,FALSE),0))</f>
        <v>179</v>
      </c>
      <c r="K792">
        <v>0</v>
      </c>
      <c r="L792" t="s">
        <v>1789</v>
      </c>
      <c r="M792" t="s">
        <v>2606</v>
      </c>
      <c r="N792" t="s">
        <v>2582</v>
      </c>
      <c r="O792" t="s">
        <v>1776</v>
      </c>
      <c r="P792">
        <v>1</v>
      </c>
      <c r="Q792">
        <v>0</v>
      </c>
      <c r="R792" t="s">
        <v>1777</v>
      </c>
      <c r="S792" s="42" t="str">
        <f>HYPERLINK("https://sklep.kobi.pl/produkt/zasilacz-montazowy-12v-200w-166a")</f>
        <v>https://sklep.kobi.pl/produkt/zasilacz-montazowy-12v-200w-166a</v>
      </c>
      <c r="T792" t="s">
        <v>71</v>
      </c>
      <c r="U792">
        <v>0.46</v>
      </c>
      <c r="V792">
        <v>0.5</v>
      </c>
      <c r="W792">
        <v>50</v>
      </c>
      <c r="X792">
        <v>85</v>
      </c>
      <c r="Y792">
        <v>150</v>
      </c>
      <c r="Z792" t="s">
        <v>1778</v>
      </c>
      <c r="AA792"/>
    </row>
    <row r="793" spans="1:27" ht="15" x14ac:dyDescent="0.25">
      <c r="A793" t="s">
        <v>14</v>
      </c>
      <c r="B793" t="s">
        <v>96</v>
      </c>
      <c r="C793" t="s">
        <v>158</v>
      </c>
      <c r="D793" t="s">
        <v>69</v>
      </c>
      <c r="E793" t="s">
        <v>71</v>
      </c>
      <c r="F793" t="s">
        <v>247</v>
      </c>
      <c r="G793" t="s">
        <v>248</v>
      </c>
      <c r="H793" t="s">
        <v>16</v>
      </c>
      <c r="I793" s="41">
        <v>210</v>
      </c>
      <c r="J793" s="40">
        <f>I793*(1-IFERROR(VLOOKUP(H793,Rabat!$D$10:$E$41,2,FALSE),0))</f>
        <v>210</v>
      </c>
      <c r="K793">
        <v>0</v>
      </c>
      <c r="L793" t="s">
        <v>1789</v>
      </c>
      <c r="M793" t="s">
        <v>2607</v>
      </c>
      <c r="N793" t="s">
        <v>2582</v>
      </c>
      <c r="O793" t="s">
        <v>1776</v>
      </c>
      <c r="P793">
        <v>1</v>
      </c>
      <c r="Q793">
        <v>0</v>
      </c>
      <c r="R793" t="s">
        <v>1777</v>
      </c>
      <c r="S793" s="42" t="str">
        <f>HYPERLINK("https://sklep.kobi.pl/produkt/zasilacz-led-250w-208a-12v-mont-cp12250")</f>
        <v>https://sklep.kobi.pl/produkt/zasilacz-led-250w-208a-12v-mont-cp12250</v>
      </c>
      <c r="T793" t="s">
        <v>71</v>
      </c>
      <c r="U793">
        <v>0.46</v>
      </c>
      <c r="V793">
        <v>0.51</v>
      </c>
      <c r="W793">
        <v>167</v>
      </c>
      <c r="X793">
        <v>104</v>
      </c>
      <c r="Y793">
        <v>54</v>
      </c>
      <c r="Z793" t="s">
        <v>1778</v>
      </c>
      <c r="AA793"/>
    </row>
    <row r="794" spans="1:27" ht="15" x14ac:dyDescent="0.25">
      <c r="A794" t="s">
        <v>14</v>
      </c>
      <c r="B794" t="s">
        <v>96</v>
      </c>
      <c r="C794" t="s">
        <v>158</v>
      </c>
      <c r="D794" t="s">
        <v>69</v>
      </c>
      <c r="E794" t="s">
        <v>71</v>
      </c>
      <c r="F794" t="s">
        <v>285</v>
      </c>
      <c r="G794" t="s">
        <v>286</v>
      </c>
      <c r="H794" t="s">
        <v>16</v>
      </c>
      <c r="I794" s="41">
        <v>224</v>
      </c>
      <c r="J794" s="40">
        <f>I794*(1-IFERROR(VLOOKUP(H794,Rabat!$D$10:$E$41,2,FALSE),0))</f>
        <v>224</v>
      </c>
      <c r="K794">
        <v>0</v>
      </c>
      <c r="L794" t="s">
        <v>1789</v>
      </c>
      <c r="M794" t="s">
        <v>2608</v>
      </c>
      <c r="N794" t="s">
        <v>2582</v>
      </c>
      <c r="O794" t="s">
        <v>1776</v>
      </c>
      <c r="P794">
        <v>1</v>
      </c>
      <c r="Q794">
        <v>0</v>
      </c>
      <c r="R794" t="s">
        <v>1777</v>
      </c>
      <c r="S794" s="42" t="str">
        <f>HYPERLINK("https://sklep.kobi.pl/produkt/zasilacz-led-350w-29a-12v-montazowy")</f>
        <v>https://sklep.kobi.pl/produkt/zasilacz-led-350w-29a-12v-montazowy</v>
      </c>
      <c r="T794" t="s">
        <v>71</v>
      </c>
      <c r="U794">
        <v>0.63</v>
      </c>
      <c r="V794">
        <v>0.68200000000000005</v>
      </c>
      <c r="W794">
        <v>150</v>
      </c>
      <c r="X794">
        <v>205</v>
      </c>
      <c r="Y794">
        <v>60</v>
      </c>
      <c r="Z794" t="s">
        <v>1778</v>
      </c>
      <c r="AA794"/>
    </row>
    <row r="795" spans="1:27" ht="15" x14ac:dyDescent="0.25">
      <c r="A795" t="s">
        <v>9</v>
      </c>
      <c r="B795" t="s">
        <v>212</v>
      </c>
      <c r="C795" t="s">
        <v>748</v>
      </c>
      <c r="D795" t="s">
        <v>69</v>
      </c>
      <c r="E795" t="s">
        <v>1289</v>
      </c>
      <c r="F795" t="s">
        <v>1545</v>
      </c>
      <c r="G795" t="s">
        <v>1546</v>
      </c>
      <c r="H795" t="s">
        <v>13</v>
      </c>
      <c r="I795" s="41">
        <v>130.19</v>
      </c>
      <c r="J795" s="40">
        <f>I795*(1-IFERROR(VLOOKUP(H795,Rabat!$D$10:$E$41,2,FALSE),0))</f>
        <v>130.19</v>
      </c>
      <c r="K795">
        <v>0.38</v>
      </c>
      <c r="L795" t="s">
        <v>1789</v>
      </c>
      <c r="M795" t="s">
        <v>2609</v>
      </c>
      <c r="N795" t="s">
        <v>2092</v>
      </c>
      <c r="O795" t="s">
        <v>1776</v>
      </c>
      <c r="P795">
        <v>4</v>
      </c>
      <c r="Q795">
        <v>0</v>
      </c>
      <c r="R795" t="s">
        <v>1777</v>
      </c>
      <c r="S795" s="42" t="str">
        <f>HYPERLINK("https://sklep.kobi.pl/produkt/kobi-crete-5m-5xe27")</f>
        <v>https://sklep.kobi.pl/produkt/kobi-crete-5m-5xe27</v>
      </c>
      <c r="T795" t="s">
        <v>71</v>
      </c>
      <c r="U795">
        <v>0.83</v>
      </c>
      <c r="V795">
        <v>1.2</v>
      </c>
      <c r="W795">
        <v>0</v>
      </c>
      <c r="X795">
        <v>0</v>
      </c>
      <c r="Y795">
        <v>0</v>
      </c>
      <c r="Z795" t="s">
        <v>1778</v>
      </c>
      <c r="AA795"/>
    </row>
    <row r="796" spans="1:27" ht="15" x14ac:dyDescent="0.25">
      <c r="A796" t="s">
        <v>9</v>
      </c>
      <c r="B796" t="s">
        <v>212</v>
      </c>
      <c r="C796" t="s">
        <v>748</v>
      </c>
      <c r="D796" t="s">
        <v>69</v>
      </c>
      <c r="E796" t="s">
        <v>1289</v>
      </c>
      <c r="F796" t="s">
        <v>1551</v>
      </c>
      <c r="G796" t="s">
        <v>1552</v>
      </c>
      <c r="H796" t="s">
        <v>13</v>
      </c>
      <c r="I796" s="41">
        <v>104.87</v>
      </c>
      <c r="J796" s="40">
        <f>I796*(1-IFERROR(VLOOKUP(H796,Rabat!$D$10:$E$41,2,FALSE),0))</f>
        <v>104.87</v>
      </c>
      <c r="K796">
        <v>0</v>
      </c>
      <c r="L796" t="s">
        <v>1789</v>
      </c>
      <c r="M796" t="s">
        <v>2610</v>
      </c>
      <c r="N796" t="s">
        <v>2099</v>
      </c>
      <c r="O796" t="s">
        <v>2109</v>
      </c>
      <c r="P796">
        <v>20</v>
      </c>
      <c r="Q796">
        <v>0</v>
      </c>
      <c r="R796" t="s">
        <v>1777</v>
      </c>
      <c r="S796" s="42" t="str">
        <f>HYPERLINK("https://sklep.kobi.pl/produkt/kobi-crete-ls-d1-black")</f>
        <v>https://sklep.kobi.pl/produkt/kobi-crete-ls-d1-black</v>
      </c>
      <c r="T796" t="s">
        <v>71</v>
      </c>
      <c r="U796">
        <v>0.25</v>
      </c>
      <c r="V796">
        <v>0</v>
      </c>
      <c r="W796">
        <v>0</v>
      </c>
      <c r="X796">
        <v>0</v>
      </c>
      <c r="Y796">
        <v>0</v>
      </c>
      <c r="Z796" t="s">
        <v>1778</v>
      </c>
      <c r="AA796"/>
    </row>
    <row r="797" spans="1:27" ht="15" x14ac:dyDescent="0.25">
      <c r="A797" t="s">
        <v>9</v>
      </c>
      <c r="B797" t="s">
        <v>212</v>
      </c>
      <c r="C797" t="s">
        <v>748</v>
      </c>
      <c r="D797" t="s">
        <v>69</v>
      </c>
      <c r="E797" t="s">
        <v>1289</v>
      </c>
      <c r="F797" t="s">
        <v>1553</v>
      </c>
      <c r="G797" t="s">
        <v>1554</v>
      </c>
      <c r="H797" t="s">
        <v>13</v>
      </c>
      <c r="I797" s="41">
        <v>300.79000000000002</v>
      </c>
      <c r="J797" s="40">
        <f>I797*(1-IFERROR(VLOOKUP(H797,Rabat!$D$10:$E$41,2,FALSE),0))</f>
        <v>300.79000000000002</v>
      </c>
      <c r="K797">
        <v>0</v>
      </c>
      <c r="L797" t="s">
        <v>1789</v>
      </c>
      <c r="M797" t="s">
        <v>2611</v>
      </c>
      <c r="N797" t="s">
        <v>2099</v>
      </c>
      <c r="O797" t="s">
        <v>2109</v>
      </c>
      <c r="P797">
        <v>4</v>
      </c>
      <c r="Q797">
        <v>0</v>
      </c>
      <c r="R797" t="s">
        <v>1777</v>
      </c>
      <c r="S797" s="42" t="str">
        <f>HYPERLINK("https://sklep.kobi.pl/produkt/kobi-crete-ls-r1-wood")</f>
        <v>https://sklep.kobi.pl/produkt/kobi-crete-ls-r1-wood</v>
      </c>
      <c r="T797" t="s">
        <v>71</v>
      </c>
      <c r="U797">
        <v>1.08</v>
      </c>
      <c r="V797">
        <v>0</v>
      </c>
      <c r="W797">
        <v>0</v>
      </c>
      <c r="X797">
        <v>0</v>
      </c>
      <c r="Y797">
        <v>0</v>
      </c>
      <c r="Z797" t="s">
        <v>1778</v>
      </c>
      <c r="AA797"/>
    </row>
    <row r="798" spans="1:27" ht="15" x14ac:dyDescent="0.25">
      <c r="A798" t="s">
        <v>9</v>
      </c>
      <c r="B798" t="s">
        <v>212</v>
      </c>
      <c r="C798" t="s">
        <v>748</v>
      </c>
      <c r="D798" t="s">
        <v>69</v>
      </c>
      <c r="E798" t="s">
        <v>1289</v>
      </c>
      <c r="F798" t="s">
        <v>1555</v>
      </c>
      <c r="G798" t="s">
        <v>1556</v>
      </c>
      <c r="H798" t="s">
        <v>13</v>
      </c>
      <c r="I798" s="41">
        <v>300.79000000000002</v>
      </c>
      <c r="J798" s="40">
        <f>I798*(1-IFERROR(VLOOKUP(H798,Rabat!$D$10:$E$41,2,FALSE),0))</f>
        <v>300.79000000000002</v>
      </c>
      <c r="K798">
        <v>0</v>
      </c>
      <c r="L798" t="s">
        <v>1789</v>
      </c>
      <c r="M798" t="s">
        <v>2612</v>
      </c>
      <c r="N798" t="s">
        <v>2099</v>
      </c>
      <c r="O798" t="s">
        <v>2109</v>
      </c>
      <c r="P798">
        <v>4</v>
      </c>
      <c r="Q798">
        <v>0</v>
      </c>
      <c r="R798" t="s">
        <v>1777</v>
      </c>
      <c r="S798" s="42" t="str">
        <f>HYPERLINK("https://sklep.kobi.pl/produkt/kobi-crete-ls-r2-black")</f>
        <v>https://sklep.kobi.pl/produkt/kobi-crete-ls-r2-black</v>
      </c>
      <c r="T798" t="s">
        <v>71</v>
      </c>
      <c r="U798">
        <v>1.04</v>
      </c>
      <c r="V798">
        <v>0</v>
      </c>
      <c r="W798">
        <v>0</v>
      </c>
      <c r="X798">
        <v>0</v>
      </c>
      <c r="Y798">
        <v>0</v>
      </c>
      <c r="Z798" t="s">
        <v>1778</v>
      </c>
      <c r="AA798"/>
    </row>
    <row r="799" spans="1:27" ht="15" x14ac:dyDescent="0.25">
      <c r="A799" t="s">
        <v>9</v>
      </c>
      <c r="B799" t="s">
        <v>212</v>
      </c>
      <c r="C799" t="s">
        <v>748</v>
      </c>
      <c r="D799" t="s">
        <v>69</v>
      </c>
      <c r="E799" t="s">
        <v>1289</v>
      </c>
      <c r="F799" t="s">
        <v>1547</v>
      </c>
      <c r="G799" t="s">
        <v>1548</v>
      </c>
      <c r="H799" t="s">
        <v>13</v>
      </c>
      <c r="I799" s="41">
        <v>97.32</v>
      </c>
      <c r="J799" s="40">
        <f>I799*(1-IFERROR(VLOOKUP(H799,Rabat!$D$10:$E$41,2,FALSE),0))</f>
        <v>97.32</v>
      </c>
      <c r="K799">
        <v>0</v>
      </c>
      <c r="L799" t="s">
        <v>1789</v>
      </c>
      <c r="M799" t="s">
        <v>2613</v>
      </c>
      <c r="N799" t="s">
        <v>2099</v>
      </c>
      <c r="O799" t="s">
        <v>2109</v>
      </c>
      <c r="P799">
        <v>20</v>
      </c>
      <c r="Q799">
        <v>0</v>
      </c>
      <c r="R799" t="s">
        <v>1777</v>
      </c>
      <c r="S799" s="42" t="str">
        <f>HYPERLINK("https://sklep.kobi.pl/produkt/kobi-crete-ls-m1-black")</f>
        <v>https://sklep.kobi.pl/produkt/kobi-crete-ls-m1-black</v>
      </c>
      <c r="T799" t="s">
        <v>71</v>
      </c>
      <c r="U799">
        <v>0.72</v>
      </c>
      <c r="V799">
        <v>0.93</v>
      </c>
      <c r="W799">
        <v>0</v>
      </c>
      <c r="X799">
        <v>0</v>
      </c>
      <c r="Y799">
        <v>0</v>
      </c>
      <c r="Z799" t="s">
        <v>1778</v>
      </c>
      <c r="AA799"/>
    </row>
    <row r="800" spans="1:27" ht="15" x14ac:dyDescent="0.25">
      <c r="A800" t="s">
        <v>9</v>
      </c>
      <c r="B800" t="s">
        <v>212</v>
      </c>
      <c r="C800" t="s">
        <v>748</v>
      </c>
      <c r="D800" t="s">
        <v>69</v>
      </c>
      <c r="E800" t="s">
        <v>1289</v>
      </c>
      <c r="F800" t="s">
        <v>1549</v>
      </c>
      <c r="G800" t="s">
        <v>1550</v>
      </c>
      <c r="H800" t="s">
        <v>13</v>
      </c>
      <c r="I800" s="41">
        <v>89.1</v>
      </c>
      <c r="J800" s="40">
        <f>I800*(1-IFERROR(VLOOKUP(H800,Rabat!$D$10:$E$41,2,FALSE),0))</f>
        <v>89.1</v>
      </c>
      <c r="K800">
        <v>0</v>
      </c>
      <c r="L800" t="s">
        <v>1789</v>
      </c>
      <c r="M800" t="s">
        <v>2614</v>
      </c>
      <c r="N800" t="s">
        <v>2099</v>
      </c>
      <c r="O800" t="s">
        <v>2109</v>
      </c>
      <c r="P800">
        <v>20</v>
      </c>
      <c r="Q800">
        <v>0</v>
      </c>
      <c r="R800" t="s">
        <v>1777</v>
      </c>
      <c r="S800" s="42" t="str">
        <f>HYPERLINK("https://sklep.kobi.pl/produkt/kobi-crete-ls-m2-black")</f>
        <v>https://sklep.kobi.pl/produkt/kobi-crete-ls-m2-black</v>
      </c>
      <c r="T800" t="s">
        <v>71</v>
      </c>
      <c r="U800">
        <v>0.72</v>
      </c>
      <c r="V800">
        <v>0</v>
      </c>
      <c r="W800">
        <v>0</v>
      </c>
      <c r="X800">
        <v>0</v>
      </c>
      <c r="Y800">
        <v>0</v>
      </c>
      <c r="Z800" t="s">
        <v>1778</v>
      </c>
      <c r="AA800"/>
    </row>
    <row r="801" spans="1:27" ht="15" x14ac:dyDescent="0.25">
      <c r="A801" t="s">
        <v>9</v>
      </c>
      <c r="B801" t="s">
        <v>212</v>
      </c>
      <c r="C801" t="s">
        <v>748</v>
      </c>
      <c r="D801" t="s">
        <v>69</v>
      </c>
      <c r="E801" t="s">
        <v>1289</v>
      </c>
      <c r="F801" t="s">
        <v>1543</v>
      </c>
      <c r="G801" t="s">
        <v>1544</v>
      </c>
      <c r="H801" t="s">
        <v>13</v>
      </c>
      <c r="I801" s="41">
        <v>98.82</v>
      </c>
      <c r="J801" s="40">
        <f>I801*(1-IFERROR(VLOOKUP(H801,Rabat!$D$10:$E$41,2,FALSE),0))</f>
        <v>98.82</v>
      </c>
      <c r="K801">
        <v>0.36</v>
      </c>
      <c r="L801" t="s">
        <v>1789</v>
      </c>
      <c r="M801" t="s">
        <v>2615</v>
      </c>
      <c r="N801" t="s">
        <v>2566</v>
      </c>
      <c r="O801" t="s">
        <v>1776</v>
      </c>
      <c r="P801">
        <v>20</v>
      </c>
      <c r="Q801">
        <v>0</v>
      </c>
      <c r="R801" t="s">
        <v>1777</v>
      </c>
      <c r="S801" s="42" t="str">
        <f>HYPERLINK("https://sklep.kobi.pl/produkt/kobi-crete-pc-10m")</f>
        <v>https://sklep.kobi.pl/produkt/kobi-crete-pc-10m</v>
      </c>
      <c r="T801" t="s">
        <v>71</v>
      </c>
      <c r="U801">
        <v>0.78</v>
      </c>
      <c r="V801">
        <v>1.02</v>
      </c>
      <c r="W801">
        <v>0</v>
      </c>
      <c r="X801">
        <v>0</v>
      </c>
      <c r="Y801">
        <v>0</v>
      </c>
      <c r="Z801" t="s">
        <v>1778</v>
      </c>
      <c r="AA801"/>
    </row>
    <row r="802" spans="1:27" ht="15" x14ac:dyDescent="0.25">
      <c r="A802" t="s">
        <v>9</v>
      </c>
      <c r="B802" t="s">
        <v>212</v>
      </c>
      <c r="C802" t="s">
        <v>748</v>
      </c>
      <c r="D802" t="s">
        <v>69</v>
      </c>
      <c r="E802" t="s">
        <v>1289</v>
      </c>
      <c r="F802" t="s">
        <v>1541</v>
      </c>
      <c r="G802" t="s">
        <v>1542</v>
      </c>
      <c r="H802" t="s">
        <v>13</v>
      </c>
      <c r="I802" s="41">
        <v>54.75</v>
      </c>
      <c r="J802" s="40">
        <f>I802*(1-IFERROR(VLOOKUP(H802,Rabat!$D$10:$E$41,2,FALSE),0))</f>
        <v>54.75</v>
      </c>
      <c r="K802">
        <v>0.2</v>
      </c>
      <c r="L802" t="s">
        <v>1789</v>
      </c>
      <c r="M802" t="s">
        <v>2616</v>
      </c>
      <c r="N802" t="s">
        <v>2566</v>
      </c>
      <c r="O802" t="s">
        <v>1776</v>
      </c>
      <c r="P802">
        <v>40</v>
      </c>
      <c r="Q802">
        <v>0</v>
      </c>
      <c r="R802" t="s">
        <v>1777</v>
      </c>
      <c r="S802" s="42" t="str">
        <f>HYPERLINK("https://sklep.kobi.pl/produkt/kobi-crete-pc-5m")</f>
        <v>https://sklep.kobi.pl/produkt/kobi-crete-pc-5m</v>
      </c>
      <c r="T802" t="s">
        <v>71</v>
      </c>
      <c r="U802">
        <v>0.44</v>
      </c>
      <c r="V802">
        <v>0</v>
      </c>
      <c r="W802">
        <v>0</v>
      </c>
      <c r="X802">
        <v>0</v>
      </c>
      <c r="Y802">
        <v>0</v>
      </c>
      <c r="Z802" t="s">
        <v>1778</v>
      </c>
      <c r="AA802"/>
    </row>
    <row r="803" spans="1:27" ht="15" x14ac:dyDescent="0.25">
      <c r="A803" t="s">
        <v>17</v>
      </c>
      <c r="B803" t="s">
        <v>933</v>
      </c>
      <c r="C803"/>
      <c r="D803" t="s">
        <v>69</v>
      </c>
      <c r="E803" t="s">
        <v>1289</v>
      </c>
      <c r="F803" t="s">
        <v>1510</v>
      </c>
      <c r="G803" t="s">
        <v>1511</v>
      </c>
      <c r="H803" t="s">
        <v>51</v>
      </c>
      <c r="I803" s="41">
        <v>211</v>
      </c>
      <c r="J803" s="40">
        <f>I803*(1-IFERROR(VLOOKUP(H803,Rabat!$D$10:$E$41,2,FALSE),0))</f>
        <v>211</v>
      </c>
      <c r="K803">
        <v>0.96</v>
      </c>
      <c r="L803" t="s">
        <v>1789</v>
      </c>
      <c r="M803" t="s">
        <v>2617</v>
      </c>
      <c r="N803" t="s">
        <v>1994</v>
      </c>
      <c r="O803" t="s">
        <v>1776</v>
      </c>
      <c r="P803">
        <v>1</v>
      </c>
      <c r="Q803">
        <v>63</v>
      </c>
      <c r="R803" t="s">
        <v>1777</v>
      </c>
      <c r="S803" s="42" t="str">
        <f>HYPERLINK("https://sklep.kobi.pl/produkt/tower-fan-kobi-hoorn-45w-black")</f>
        <v>https://sklep.kobi.pl/produkt/tower-fan-kobi-hoorn-45w-black</v>
      </c>
      <c r="T803" t="s">
        <v>71</v>
      </c>
      <c r="U803">
        <v>2.1</v>
      </c>
      <c r="V803">
        <v>0</v>
      </c>
      <c r="W803">
        <v>0</v>
      </c>
      <c r="X803">
        <v>0</v>
      </c>
      <c r="Y803">
        <v>0</v>
      </c>
      <c r="Z803" t="s">
        <v>1778</v>
      </c>
      <c r="AA803"/>
    </row>
    <row r="804" spans="1:27" ht="15" x14ac:dyDescent="0.25">
      <c r="A804" t="s">
        <v>17</v>
      </c>
      <c r="B804" t="s">
        <v>933</v>
      </c>
      <c r="C804"/>
      <c r="D804" t="s">
        <v>69</v>
      </c>
      <c r="E804" t="s">
        <v>1289</v>
      </c>
      <c r="F804" t="s">
        <v>1508</v>
      </c>
      <c r="G804" t="s">
        <v>1509</v>
      </c>
      <c r="H804" t="s">
        <v>51</v>
      </c>
      <c r="I804" s="41">
        <v>335.69</v>
      </c>
      <c r="J804" s="40">
        <f>I804*(1-IFERROR(VLOOKUP(H804,Rabat!$D$10:$E$41,2,FALSE),0))</f>
        <v>335.69</v>
      </c>
      <c r="K804">
        <v>1.71</v>
      </c>
      <c r="L804" t="s">
        <v>1789</v>
      </c>
      <c r="M804" t="s">
        <v>2618</v>
      </c>
      <c r="N804" t="s">
        <v>1994</v>
      </c>
      <c r="O804" t="s">
        <v>1776</v>
      </c>
      <c r="P804">
        <v>1</v>
      </c>
      <c r="Q804">
        <v>32</v>
      </c>
      <c r="R804" t="s">
        <v>1777</v>
      </c>
      <c r="S804" s="42" t="str">
        <f>HYPERLINK("https://sklep.kobi.pl/produkt/tower-fan-kobi-lisse-55w-black")</f>
        <v>https://sklep.kobi.pl/produkt/tower-fan-kobi-lisse-55w-black</v>
      </c>
      <c r="T804" t="s">
        <v>71</v>
      </c>
      <c r="U804">
        <v>3.75</v>
      </c>
      <c r="V804">
        <v>0</v>
      </c>
      <c r="W804">
        <v>0</v>
      </c>
      <c r="X804">
        <v>0</v>
      </c>
      <c r="Y804">
        <v>0</v>
      </c>
      <c r="Z804" t="s">
        <v>1778</v>
      </c>
      <c r="AA804"/>
    </row>
    <row r="805" spans="1:27" ht="15" x14ac:dyDescent="0.25">
      <c r="A805" t="s">
        <v>17</v>
      </c>
      <c r="B805" t="s">
        <v>933</v>
      </c>
      <c r="C805"/>
      <c r="D805" t="s">
        <v>69</v>
      </c>
      <c r="E805" t="s">
        <v>1289</v>
      </c>
      <c r="F805" t="s">
        <v>1512</v>
      </c>
      <c r="G805" t="s">
        <v>1513</v>
      </c>
      <c r="H805" t="s">
        <v>51</v>
      </c>
      <c r="I805" s="41">
        <v>149.12</v>
      </c>
      <c r="J805" s="40">
        <f>I805*(1-IFERROR(VLOOKUP(H805,Rabat!$D$10:$E$41,2,FALSE),0))</f>
        <v>149.12</v>
      </c>
      <c r="K805">
        <v>0.82</v>
      </c>
      <c r="L805" t="s">
        <v>1789</v>
      </c>
      <c r="M805" t="s">
        <v>2619</v>
      </c>
      <c r="N805" t="s">
        <v>1994</v>
      </c>
      <c r="O805" t="s">
        <v>1776</v>
      </c>
      <c r="P805">
        <v>1</v>
      </c>
      <c r="Q805">
        <v>63</v>
      </c>
      <c r="R805" t="s">
        <v>1777</v>
      </c>
      <c r="S805" s="42" t="str">
        <f>HYPERLINK("https://sklep.kobi.pl/produkt/tower-fan-kobi-venlo-45w-black")</f>
        <v>https://sklep.kobi.pl/produkt/tower-fan-kobi-venlo-45w-black</v>
      </c>
      <c r="T805" t="s">
        <v>71</v>
      </c>
      <c r="U805">
        <v>1.8</v>
      </c>
      <c r="V805">
        <v>0</v>
      </c>
      <c r="W805">
        <v>0</v>
      </c>
      <c r="X805">
        <v>0</v>
      </c>
      <c r="Y805">
        <v>0</v>
      </c>
      <c r="Z805" t="s">
        <v>1778</v>
      </c>
      <c r="AA805"/>
    </row>
    <row r="806" spans="1:27" ht="15" x14ac:dyDescent="0.25">
      <c r="A806" t="s">
        <v>44</v>
      </c>
      <c r="B806" t="s">
        <v>294</v>
      </c>
      <c r="C806"/>
      <c r="D806" t="s">
        <v>69</v>
      </c>
      <c r="E806" t="s">
        <v>1289</v>
      </c>
      <c r="F806" t="s">
        <v>1765</v>
      </c>
      <c r="G806" t="s">
        <v>1766</v>
      </c>
      <c r="H806" t="s">
        <v>4</v>
      </c>
      <c r="I806" s="41">
        <v>141.44999999999999</v>
      </c>
      <c r="J806" s="40">
        <f>I806*(1-IFERROR(VLOOKUP(H806,Rabat!$D$10:$E$41,2,FALSE),0))</f>
        <v>141.44999999999999</v>
      </c>
      <c r="K806">
        <v>0.19</v>
      </c>
      <c r="L806" t="s">
        <v>1789</v>
      </c>
      <c r="M806" t="s">
        <v>2620</v>
      </c>
      <c r="N806" t="s">
        <v>1954</v>
      </c>
      <c r="O806" t="s">
        <v>1776</v>
      </c>
      <c r="P806">
        <v>20</v>
      </c>
      <c r="Q806">
        <v>0</v>
      </c>
      <c r="R806" t="s">
        <v>1777</v>
      </c>
      <c r="S806" s="42" t="str">
        <f>HYPERLINK("https://sklep.kobi.pl/produkt/led-play-set-10m")</f>
        <v>https://sklep.kobi.pl/produkt/led-play-set-10m</v>
      </c>
      <c r="T806" t="s">
        <v>71</v>
      </c>
      <c r="U806">
        <v>0.22</v>
      </c>
      <c r="V806">
        <v>0</v>
      </c>
      <c r="W806">
        <v>0</v>
      </c>
      <c r="X806">
        <v>0</v>
      </c>
      <c r="Y806">
        <v>0</v>
      </c>
      <c r="Z806" t="s">
        <v>1778</v>
      </c>
      <c r="AA806"/>
    </row>
    <row r="807" spans="1:27" ht="15" x14ac:dyDescent="0.25">
      <c r="A807" t="s">
        <v>44</v>
      </c>
      <c r="B807" t="s">
        <v>294</v>
      </c>
      <c r="C807"/>
      <c r="D807" t="s">
        <v>69</v>
      </c>
      <c r="E807" t="s">
        <v>1289</v>
      </c>
      <c r="F807" t="s">
        <v>1767</v>
      </c>
      <c r="G807" t="s">
        <v>1768</v>
      </c>
      <c r="H807" t="s">
        <v>4</v>
      </c>
      <c r="I807" s="41">
        <v>185.52</v>
      </c>
      <c r="J807" s="40">
        <f>I807*(1-IFERROR(VLOOKUP(H807,Rabat!$D$10:$E$41,2,FALSE),0))</f>
        <v>185.52</v>
      </c>
      <c r="K807">
        <v>0.24</v>
      </c>
      <c r="L807" t="s">
        <v>1789</v>
      </c>
      <c r="M807" t="s">
        <v>2621</v>
      </c>
      <c r="N807" t="s">
        <v>1954</v>
      </c>
      <c r="O807" t="s">
        <v>1776</v>
      </c>
      <c r="P807">
        <v>20</v>
      </c>
      <c r="Q807">
        <v>0</v>
      </c>
      <c r="R807" t="s">
        <v>1777</v>
      </c>
      <c r="S807" s="42" t="str">
        <f>HYPERLINK("https://sklep.kobi.pl/produkt/led-play-set-15m")</f>
        <v>https://sklep.kobi.pl/produkt/led-play-set-15m</v>
      </c>
      <c r="T807" t="s">
        <v>71</v>
      </c>
      <c r="U807">
        <v>0.28000000000000003</v>
      </c>
      <c r="V807">
        <v>0</v>
      </c>
      <c r="W807">
        <v>0</v>
      </c>
      <c r="X807">
        <v>0</v>
      </c>
      <c r="Y807">
        <v>0</v>
      </c>
      <c r="Z807" t="s">
        <v>1778</v>
      </c>
      <c r="AA807"/>
    </row>
    <row r="808" spans="1:27" ht="15" x14ac:dyDescent="0.25">
      <c r="A808" t="s">
        <v>44</v>
      </c>
      <c r="B808" t="s">
        <v>294</v>
      </c>
      <c r="C808"/>
      <c r="D808" t="s">
        <v>69</v>
      </c>
      <c r="E808" t="s">
        <v>1289</v>
      </c>
      <c r="F808" t="s">
        <v>1769</v>
      </c>
      <c r="G808" t="s">
        <v>1770</v>
      </c>
      <c r="H808" t="s">
        <v>4</v>
      </c>
      <c r="I808" s="41">
        <v>218.57</v>
      </c>
      <c r="J808" s="40">
        <f>I808*(1-IFERROR(VLOOKUP(H808,Rabat!$D$10:$E$41,2,FALSE),0))</f>
        <v>218.57</v>
      </c>
      <c r="K808">
        <v>0.26</v>
      </c>
      <c r="L808" t="s">
        <v>1789</v>
      </c>
      <c r="M808" t="s">
        <v>2622</v>
      </c>
      <c r="N808" t="s">
        <v>1954</v>
      </c>
      <c r="O808" t="s">
        <v>1776</v>
      </c>
      <c r="P808">
        <v>20</v>
      </c>
      <c r="Q808">
        <v>0</v>
      </c>
      <c r="R808" t="s">
        <v>1777</v>
      </c>
      <c r="S808" s="42" t="str">
        <f>HYPERLINK("https://sklep.kobi.pl/produkt/led-play-set-20m")</f>
        <v>https://sklep.kobi.pl/produkt/led-play-set-20m</v>
      </c>
      <c r="T808" t="s">
        <v>71</v>
      </c>
      <c r="U808">
        <v>0.31</v>
      </c>
      <c r="V808">
        <v>0</v>
      </c>
      <c r="W808">
        <v>0</v>
      </c>
      <c r="X808">
        <v>0</v>
      </c>
      <c r="Y808">
        <v>0</v>
      </c>
      <c r="Z808" t="s">
        <v>1778</v>
      </c>
      <c r="AA808"/>
    </row>
    <row r="809" spans="1:27" ht="15" x14ac:dyDescent="0.25">
      <c r="A809" t="s">
        <v>44</v>
      </c>
      <c r="B809" t="s">
        <v>294</v>
      </c>
      <c r="C809"/>
      <c r="D809" t="s">
        <v>69</v>
      </c>
      <c r="E809" t="s">
        <v>1289</v>
      </c>
      <c r="F809" t="s">
        <v>1771</v>
      </c>
      <c r="G809" t="s">
        <v>1772</v>
      </c>
      <c r="H809" t="s">
        <v>4</v>
      </c>
      <c r="I809" s="41">
        <v>97.34</v>
      </c>
      <c r="J809" s="40">
        <f>I809*(1-IFERROR(VLOOKUP(H809,Rabat!$D$10:$E$41,2,FALSE),0))</f>
        <v>97.34</v>
      </c>
      <c r="K809">
        <v>0.16</v>
      </c>
      <c r="L809" t="s">
        <v>1789</v>
      </c>
      <c r="M809" t="s">
        <v>2623</v>
      </c>
      <c r="N809" t="s">
        <v>1954</v>
      </c>
      <c r="O809" t="s">
        <v>1776</v>
      </c>
      <c r="P809">
        <v>20</v>
      </c>
      <c r="Q809">
        <v>0</v>
      </c>
      <c r="R809" t="s">
        <v>1777</v>
      </c>
      <c r="S809" s="42" t="str">
        <f>HYPERLINK("https://sklep.kobi.pl/produkt/led-play-set-5m")</f>
        <v>https://sklep.kobi.pl/produkt/led-play-set-5m</v>
      </c>
      <c r="T809" t="s">
        <v>71</v>
      </c>
      <c r="U809">
        <v>0.19</v>
      </c>
      <c r="V809">
        <v>0</v>
      </c>
      <c r="W809">
        <v>0</v>
      </c>
      <c r="X809">
        <v>0</v>
      </c>
      <c r="Y809">
        <v>0</v>
      </c>
      <c r="Z809" t="s">
        <v>1778</v>
      </c>
      <c r="AA809"/>
    </row>
    <row r="810" spans="1:27" ht="15" x14ac:dyDescent="0.25">
      <c r="A810" t="s">
        <v>9</v>
      </c>
      <c r="B810" t="s">
        <v>2638</v>
      </c>
      <c r="C810"/>
      <c r="D810" t="s">
        <v>69</v>
      </c>
      <c r="E810" t="s">
        <v>1289</v>
      </c>
      <c r="F810" t="s">
        <v>2639</v>
      </c>
      <c r="G810" t="s">
        <v>2640</v>
      </c>
      <c r="H810" t="s">
        <v>10</v>
      </c>
      <c r="I810" s="41">
        <v>275.19</v>
      </c>
      <c r="J810" s="40">
        <f>I810*(1-IFERROR(VLOOKUP(H810,Rabat!$D$10:$E$41,2,FALSE),0))</f>
        <v>275.19</v>
      </c>
      <c r="K810">
        <v>1.1299999999999999</v>
      </c>
      <c r="L810" t="s">
        <v>1789</v>
      </c>
      <c r="M810" t="s">
        <v>2652</v>
      </c>
      <c r="N810" t="s">
        <v>2308</v>
      </c>
      <c r="O810" t="s">
        <v>1776</v>
      </c>
      <c r="P810">
        <v>10</v>
      </c>
      <c r="Q810">
        <v>0</v>
      </c>
      <c r="R810" t="s">
        <v>1777</v>
      </c>
      <c r="S810" s="42" t="str">
        <f>HYPERLINK("https://sklep.kobi.pl/produkt/led-bloom-20w")</f>
        <v>https://sklep.kobi.pl/produkt/led-bloom-20w</v>
      </c>
      <c r="T810" t="s">
        <v>71</v>
      </c>
      <c r="U810">
        <v>1.34</v>
      </c>
      <c r="V810">
        <v>0</v>
      </c>
      <c r="W810">
        <v>0</v>
      </c>
      <c r="X810">
        <v>0</v>
      </c>
      <c r="Y810">
        <v>0</v>
      </c>
      <c r="Z810" t="s">
        <v>1778</v>
      </c>
      <c r="AA810"/>
    </row>
    <row r="811" spans="1:27" ht="15" x14ac:dyDescent="0.25">
      <c r="A811" t="s">
        <v>9</v>
      </c>
      <c r="B811" t="s">
        <v>2638</v>
      </c>
      <c r="C811"/>
      <c r="D811" t="s">
        <v>69</v>
      </c>
      <c r="E811" t="s">
        <v>1289</v>
      </c>
      <c r="F811" t="s">
        <v>2641</v>
      </c>
      <c r="G811" t="s">
        <v>2642</v>
      </c>
      <c r="H811" t="s">
        <v>10</v>
      </c>
      <c r="I811" s="41">
        <v>60.58</v>
      </c>
      <c r="J811" s="40">
        <f>I811*(1-IFERROR(VLOOKUP(H811,Rabat!$D$10:$E$41,2,FALSE),0))</f>
        <v>60.58</v>
      </c>
      <c r="K811">
        <v>0.12</v>
      </c>
      <c r="L811" t="s">
        <v>1789</v>
      </c>
      <c r="M811" t="s">
        <v>2653</v>
      </c>
      <c r="N811" t="s">
        <v>2308</v>
      </c>
      <c r="O811" t="s">
        <v>1776</v>
      </c>
      <c r="P811">
        <v>20</v>
      </c>
      <c r="Q811">
        <v>0</v>
      </c>
      <c r="R811" t="s">
        <v>1777</v>
      </c>
      <c r="S811" s="42" t="str">
        <f>HYPERLINK("https://sklep.kobi.pl/produkt/led-verdi-5w")</f>
        <v>https://sklep.kobi.pl/produkt/led-verdi-5w</v>
      </c>
      <c r="T811" t="s">
        <v>71</v>
      </c>
      <c r="U811">
        <v>0.14000000000000001</v>
      </c>
      <c r="V811">
        <v>0</v>
      </c>
      <c r="W811">
        <v>0</v>
      </c>
      <c r="X811">
        <v>0</v>
      </c>
      <c r="Y811">
        <v>0</v>
      </c>
      <c r="Z811" t="s">
        <v>1778</v>
      </c>
      <c r="AA811"/>
    </row>
    <row r="812" spans="1:27" ht="15" x14ac:dyDescent="0.25">
      <c r="A812" t="s">
        <v>9</v>
      </c>
      <c r="B812" t="s">
        <v>2638</v>
      </c>
      <c r="C812"/>
      <c r="D812" t="s">
        <v>69</v>
      </c>
      <c r="E812" t="s">
        <v>1289</v>
      </c>
      <c r="F812" t="s">
        <v>2643</v>
      </c>
      <c r="G812" t="s">
        <v>2644</v>
      </c>
      <c r="H812" t="s">
        <v>10</v>
      </c>
      <c r="I812" s="41">
        <v>82.92</v>
      </c>
      <c r="J812" s="40">
        <f>I812*(1-IFERROR(VLOOKUP(H812,Rabat!$D$10:$E$41,2,FALSE),0))</f>
        <v>82.92</v>
      </c>
      <c r="K812">
        <v>0.14000000000000001</v>
      </c>
      <c r="L812" t="s">
        <v>1789</v>
      </c>
      <c r="M812" t="s">
        <v>2654</v>
      </c>
      <c r="N812" t="s">
        <v>2308</v>
      </c>
      <c r="O812" t="s">
        <v>1776</v>
      </c>
      <c r="P812">
        <v>20</v>
      </c>
      <c r="Q812">
        <v>0</v>
      </c>
      <c r="R812" t="s">
        <v>1777</v>
      </c>
      <c r="S812" s="42" t="str">
        <f>HYPERLINK("https://sklep.kobi.pl/produkt/led-verdi-10w")</f>
        <v>https://sklep.kobi.pl/produkt/led-verdi-10w</v>
      </c>
      <c r="T812" t="s">
        <v>71</v>
      </c>
      <c r="U812">
        <v>0.17</v>
      </c>
      <c r="V812">
        <v>0</v>
      </c>
      <c r="W812">
        <v>0</v>
      </c>
      <c r="X812">
        <v>0</v>
      </c>
      <c r="Y812">
        <v>0</v>
      </c>
      <c r="Z812" t="s">
        <v>1778</v>
      </c>
      <c r="AA812"/>
    </row>
    <row r="813" spans="1:27" ht="15" x14ac:dyDescent="0.25">
      <c r="A813" t="s">
        <v>9</v>
      </c>
      <c r="B813" t="s">
        <v>166</v>
      </c>
      <c r="C813"/>
      <c r="D813" t="s">
        <v>667</v>
      </c>
      <c r="E813" t="s">
        <v>1289</v>
      </c>
      <c r="F813" t="s">
        <v>2655</v>
      </c>
      <c r="G813" t="s">
        <v>2656</v>
      </c>
      <c r="H813" t="s">
        <v>10</v>
      </c>
      <c r="I813" s="41">
        <v>91.88</v>
      </c>
      <c r="J813" s="40">
        <f>I813*(1-IFERROR(VLOOKUP(H813,Rabat!$D$10:$E$41,2,FALSE),0))</f>
        <v>91.88</v>
      </c>
      <c r="K813">
        <v>0.95</v>
      </c>
      <c r="L813" t="s">
        <v>1789</v>
      </c>
      <c r="M813" t="s">
        <v>2702</v>
      </c>
      <c r="N813" t="s">
        <v>2308</v>
      </c>
      <c r="O813" t="s">
        <v>1776</v>
      </c>
      <c r="P813">
        <v>16</v>
      </c>
      <c r="Q813">
        <v>0</v>
      </c>
      <c r="R813" t="s">
        <v>1777</v>
      </c>
      <c r="S813"/>
      <c r="T813" t="s">
        <v>71</v>
      </c>
      <c r="U813">
        <v>1.1299999999999999</v>
      </c>
      <c r="V813">
        <v>0</v>
      </c>
      <c r="W813">
        <v>330</v>
      </c>
      <c r="X813">
        <v>330</v>
      </c>
      <c r="Y813">
        <v>165</v>
      </c>
      <c r="Z813" t="s">
        <v>1778</v>
      </c>
      <c r="AA813"/>
    </row>
    <row r="814" spans="1:27" ht="15" x14ac:dyDescent="0.25">
      <c r="A814" t="s">
        <v>9</v>
      </c>
      <c r="B814" t="s">
        <v>166</v>
      </c>
      <c r="C814"/>
      <c r="D814" t="s">
        <v>667</v>
      </c>
      <c r="E814" t="s">
        <v>1289</v>
      </c>
      <c r="F814" t="s">
        <v>2657</v>
      </c>
      <c r="G814" t="s">
        <v>2658</v>
      </c>
      <c r="H814" t="s">
        <v>10</v>
      </c>
      <c r="I814" s="41">
        <v>138.88</v>
      </c>
      <c r="J814" s="40">
        <f>I814*(1-IFERROR(VLOOKUP(H814,Rabat!$D$10:$E$41,2,FALSE),0))</f>
        <v>138.88</v>
      </c>
      <c r="K814"/>
      <c r="L814" t="s">
        <v>1789</v>
      </c>
      <c r="M814" t="s">
        <v>2703</v>
      </c>
      <c r="N814" t="s">
        <v>2308</v>
      </c>
      <c r="O814" t="s">
        <v>1776</v>
      </c>
      <c r="P814">
        <v>16</v>
      </c>
      <c r="Q814">
        <v>0</v>
      </c>
      <c r="R814" t="s">
        <v>1777</v>
      </c>
      <c r="S814"/>
      <c r="T814" t="s">
        <v>71</v>
      </c>
      <c r="U814">
        <v>0</v>
      </c>
      <c r="V814">
        <v>0</v>
      </c>
      <c r="W814">
        <v>330</v>
      </c>
      <c r="X814">
        <v>330</v>
      </c>
      <c r="Y814">
        <v>165</v>
      </c>
      <c r="Z814" t="s">
        <v>1778</v>
      </c>
      <c r="AA814"/>
    </row>
    <row r="815" spans="1:27" ht="15" x14ac:dyDescent="0.25">
      <c r="A815" t="s">
        <v>9</v>
      </c>
      <c r="B815" t="s">
        <v>166</v>
      </c>
      <c r="C815"/>
      <c r="D815" t="s">
        <v>667</v>
      </c>
      <c r="E815" t="s">
        <v>1289</v>
      </c>
      <c r="F815" t="s">
        <v>2659</v>
      </c>
      <c r="G815" t="s">
        <v>2660</v>
      </c>
      <c r="H815" t="s">
        <v>10</v>
      </c>
      <c r="I815" s="41">
        <v>63.13</v>
      </c>
      <c r="J815" s="40">
        <f>I815*(1-IFERROR(VLOOKUP(H815,Rabat!$D$10:$E$41,2,FALSE),0))</f>
        <v>63.13</v>
      </c>
      <c r="K815">
        <v>0.56999999999999995</v>
      </c>
      <c r="L815" t="s">
        <v>1789</v>
      </c>
      <c r="M815" t="s">
        <v>2704</v>
      </c>
      <c r="N815" t="s">
        <v>2298</v>
      </c>
      <c r="O815" t="s">
        <v>1776</v>
      </c>
      <c r="P815">
        <v>12</v>
      </c>
      <c r="Q815">
        <v>0</v>
      </c>
      <c r="R815" t="s">
        <v>1777</v>
      </c>
      <c r="S815"/>
      <c r="T815" t="s">
        <v>71</v>
      </c>
      <c r="U815">
        <v>1.26</v>
      </c>
      <c r="V815">
        <v>0</v>
      </c>
      <c r="W815">
        <v>330</v>
      </c>
      <c r="X815">
        <v>330</v>
      </c>
      <c r="Y815">
        <v>165</v>
      </c>
      <c r="Z815" t="s">
        <v>1778</v>
      </c>
      <c r="AA815"/>
    </row>
    <row r="816" spans="1:27" ht="15" x14ac:dyDescent="0.25">
      <c r="A816" t="s">
        <v>9</v>
      </c>
      <c r="B816" t="s">
        <v>166</v>
      </c>
      <c r="C816"/>
      <c r="D816" t="s">
        <v>667</v>
      </c>
      <c r="E816" t="s">
        <v>1289</v>
      </c>
      <c r="F816" t="s">
        <v>2661</v>
      </c>
      <c r="G816" t="s">
        <v>2662</v>
      </c>
      <c r="H816" t="s">
        <v>10</v>
      </c>
      <c r="I816" s="41">
        <v>60.13</v>
      </c>
      <c r="J816" s="43">
        <f>I816*(1-IFERROR(VLOOKUP(H816,Rabat!$D$10:$E$41,2,FALSE),0))</f>
        <v>60.13</v>
      </c>
      <c r="K816">
        <v>0.56999999999999995</v>
      </c>
      <c r="L816" t="s">
        <v>1789</v>
      </c>
      <c r="M816" t="s">
        <v>2705</v>
      </c>
      <c r="N816" t="s">
        <v>2298</v>
      </c>
      <c r="O816" t="s">
        <v>1776</v>
      </c>
      <c r="P816">
        <v>12</v>
      </c>
      <c r="Q816">
        <v>0</v>
      </c>
      <c r="R816" t="s">
        <v>1777</v>
      </c>
      <c r="S816"/>
      <c r="T816" t="s">
        <v>71</v>
      </c>
      <c r="U816">
        <v>1.26</v>
      </c>
      <c r="V816">
        <v>0</v>
      </c>
      <c r="W816">
        <v>330</v>
      </c>
      <c r="X816">
        <v>330</v>
      </c>
      <c r="Y816">
        <v>165</v>
      </c>
      <c r="Z816" t="s">
        <v>1778</v>
      </c>
      <c r="AA816"/>
    </row>
    <row r="817" spans="1:27" ht="15" x14ac:dyDescent="0.25">
      <c r="A817" t="s">
        <v>9</v>
      </c>
      <c r="B817" t="s">
        <v>166</v>
      </c>
      <c r="C817"/>
      <c r="D817" t="s">
        <v>667</v>
      </c>
      <c r="E817" t="s">
        <v>1289</v>
      </c>
      <c r="F817" t="s">
        <v>2663</v>
      </c>
      <c r="G817" t="s">
        <v>2664</v>
      </c>
      <c r="H817" t="s">
        <v>10</v>
      </c>
      <c r="I817" s="41">
        <v>104.75</v>
      </c>
      <c r="J817" s="43">
        <f>I817*(1-IFERROR(VLOOKUP(H817,Rabat!$D$10:$E$41,2,FALSE),0))</f>
        <v>104.75</v>
      </c>
      <c r="K817">
        <v>2.12</v>
      </c>
      <c r="L817" t="s">
        <v>1789</v>
      </c>
      <c r="M817" t="s">
        <v>2706</v>
      </c>
      <c r="N817" t="s">
        <v>2298</v>
      </c>
      <c r="O817" t="s">
        <v>1776</v>
      </c>
      <c r="P817">
        <v>5</v>
      </c>
      <c r="Q817">
        <v>0</v>
      </c>
      <c r="R817" t="s">
        <v>1777</v>
      </c>
      <c r="S817"/>
      <c r="T817" t="s">
        <v>71</v>
      </c>
      <c r="U817">
        <v>4.74</v>
      </c>
      <c r="V817">
        <v>0</v>
      </c>
      <c r="W817">
        <v>0</v>
      </c>
      <c r="X817">
        <v>0</v>
      </c>
      <c r="Y817">
        <v>0</v>
      </c>
      <c r="Z817" t="s">
        <v>1778</v>
      </c>
      <c r="AA817"/>
    </row>
    <row r="818" spans="1:27" ht="15" x14ac:dyDescent="0.25">
      <c r="A818" t="s">
        <v>9</v>
      </c>
      <c r="B818" t="s">
        <v>166</v>
      </c>
      <c r="C818"/>
      <c r="D818" t="s">
        <v>667</v>
      </c>
      <c r="E818" t="s">
        <v>1289</v>
      </c>
      <c r="F818" t="s">
        <v>2665</v>
      </c>
      <c r="G818" t="s">
        <v>2666</v>
      </c>
      <c r="H818" t="s">
        <v>10</v>
      </c>
      <c r="I818" s="41">
        <v>198.2</v>
      </c>
      <c r="J818" s="43">
        <f>I818*(1-IFERROR(VLOOKUP(H818,Rabat!$D$10:$E$41,2,FALSE),0))</f>
        <v>198.2</v>
      </c>
      <c r="K818">
        <v>0.5</v>
      </c>
      <c r="L818" t="s">
        <v>1789</v>
      </c>
      <c r="M818" t="s">
        <v>2707</v>
      </c>
      <c r="N818" t="s">
        <v>2308</v>
      </c>
      <c r="O818" t="s">
        <v>1776</v>
      </c>
      <c r="P818">
        <v>18</v>
      </c>
      <c r="Q818">
        <v>0</v>
      </c>
      <c r="R818" t="s">
        <v>1777</v>
      </c>
      <c r="S818"/>
      <c r="T818" t="s">
        <v>71</v>
      </c>
      <c r="U818">
        <v>0.59</v>
      </c>
      <c r="V818">
        <v>0</v>
      </c>
      <c r="W818">
        <v>0</v>
      </c>
      <c r="X818">
        <v>0</v>
      </c>
      <c r="Y818">
        <v>0</v>
      </c>
      <c r="Z818" t="s">
        <v>1778</v>
      </c>
      <c r="AA818"/>
    </row>
    <row r="819" spans="1:27" ht="15" x14ac:dyDescent="0.25">
      <c r="A819" t="s">
        <v>9</v>
      </c>
      <c r="B819" t="s">
        <v>166</v>
      </c>
      <c r="C819"/>
      <c r="D819" t="s">
        <v>667</v>
      </c>
      <c r="E819" t="s">
        <v>1289</v>
      </c>
      <c r="F819" t="s">
        <v>2667</v>
      </c>
      <c r="G819" t="s">
        <v>2668</v>
      </c>
      <c r="H819" t="s">
        <v>10</v>
      </c>
      <c r="I819" s="41">
        <v>198.2</v>
      </c>
      <c r="J819" s="43">
        <f>I819*(1-IFERROR(VLOOKUP(H819,Rabat!$D$10:$E$41,2,FALSE),0))</f>
        <v>198.2</v>
      </c>
      <c r="K819">
        <v>0.5</v>
      </c>
      <c r="L819" t="s">
        <v>1789</v>
      </c>
      <c r="M819" t="s">
        <v>2708</v>
      </c>
      <c r="N819" t="s">
        <v>2308</v>
      </c>
      <c r="O819" t="s">
        <v>1776</v>
      </c>
      <c r="P819">
        <v>18</v>
      </c>
      <c r="Q819">
        <v>0</v>
      </c>
      <c r="R819" t="s">
        <v>1777</v>
      </c>
      <c r="S819"/>
      <c r="T819" t="s">
        <v>71</v>
      </c>
      <c r="U819">
        <v>0.59</v>
      </c>
      <c r="V819">
        <v>0</v>
      </c>
      <c r="W819">
        <v>0</v>
      </c>
      <c r="X819">
        <v>0</v>
      </c>
      <c r="Y819">
        <v>0</v>
      </c>
      <c r="Z819" t="s">
        <v>1778</v>
      </c>
      <c r="AA819"/>
    </row>
    <row r="820" spans="1:27" ht="15" x14ac:dyDescent="0.25">
      <c r="A820" t="s">
        <v>44</v>
      </c>
      <c r="B820" t="s">
        <v>294</v>
      </c>
      <c r="C820"/>
      <c r="D820" t="s">
        <v>69</v>
      </c>
      <c r="E820" t="s">
        <v>1289</v>
      </c>
      <c r="F820" t="s">
        <v>2669</v>
      </c>
      <c r="G820" t="s">
        <v>2670</v>
      </c>
      <c r="H820" t="s">
        <v>10</v>
      </c>
      <c r="I820" s="41">
        <v>170.38</v>
      </c>
      <c r="J820" s="43">
        <f>I820*(1-IFERROR(VLOOKUP(H820,Rabat!$D$10:$E$41,2,FALSE),0))</f>
        <v>170.38</v>
      </c>
      <c r="K820">
        <v>0.54</v>
      </c>
      <c r="L820" t="s">
        <v>1789</v>
      </c>
      <c r="M820" t="s">
        <v>2709</v>
      </c>
      <c r="N820" t="s">
        <v>2723</v>
      </c>
      <c r="O820" t="s">
        <v>1776</v>
      </c>
      <c r="P820">
        <v>20</v>
      </c>
      <c r="Q820">
        <v>0</v>
      </c>
      <c r="R820" t="s">
        <v>2724</v>
      </c>
      <c r="S820"/>
      <c r="T820" t="s">
        <v>71</v>
      </c>
      <c r="U820">
        <v>0.64</v>
      </c>
      <c r="V820">
        <v>0</v>
      </c>
      <c r="W820">
        <v>0</v>
      </c>
      <c r="X820">
        <v>0</v>
      </c>
      <c r="Y820">
        <v>0</v>
      </c>
      <c r="Z820" t="s">
        <v>1778</v>
      </c>
      <c r="AA820"/>
    </row>
    <row r="821" spans="1:27" ht="15" x14ac:dyDescent="0.25">
      <c r="A821" t="s">
        <v>9</v>
      </c>
      <c r="B821" t="s">
        <v>166</v>
      </c>
      <c r="C821"/>
      <c r="D821" t="s">
        <v>667</v>
      </c>
      <c r="E821" t="s">
        <v>1289</v>
      </c>
      <c r="F821" t="s">
        <v>2671</v>
      </c>
      <c r="G821" t="s">
        <v>2672</v>
      </c>
      <c r="H821" t="s">
        <v>10</v>
      </c>
      <c r="I821" s="41">
        <v>41.75</v>
      </c>
      <c r="J821" s="43">
        <f>I821*(1-IFERROR(VLOOKUP(H821,Rabat!$D$10:$E$41,2,FALSE),0))</f>
        <v>41.75</v>
      </c>
      <c r="K821">
        <v>0.22</v>
      </c>
      <c r="L821" t="s">
        <v>1789</v>
      </c>
      <c r="M821" t="s">
        <v>2710</v>
      </c>
      <c r="N821" t="s">
        <v>2308</v>
      </c>
      <c r="O821" t="s">
        <v>1776</v>
      </c>
      <c r="P821">
        <v>60</v>
      </c>
      <c r="Q821">
        <v>0</v>
      </c>
      <c r="R821" t="s">
        <v>1777</v>
      </c>
      <c r="S821"/>
      <c r="T821" t="s">
        <v>71</v>
      </c>
      <c r="U821">
        <v>0.26</v>
      </c>
      <c r="V821">
        <v>0</v>
      </c>
      <c r="W821">
        <v>90</v>
      </c>
      <c r="X821">
        <v>90</v>
      </c>
      <c r="Y821">
        <v>100</v>
      </c>
      <c r="Z821" t="s">
        <v>1778</v>
      </c>
      <c r="AA821"/>
    </row>
    <row r="822" spans="1:27" ht="15" x14ac:dyDescent="0.25">
      <c r="A822" t="s">
        <v>9</v>
      </c>
      <c r="B822" t="s">
        <v>166</v>
      </c>
      <c r="C822"/>
      <c r="D822" t="s">
        <v>667</v>
      </c>
      <c r="E822" t="s">
        <v>1289</v>
      </c>
      <c r="F822" t="s">
        <v>2673</v>
      </c>
      <c r="G822" t="s">
        <v>2674</v>
      </c>
      <c r="H822" t="s">
        <v>10</v>
      </c>
      <c r="I822" s="41">
        <v>41.75</v>
      </c>
      <c r="J822" s="43">
        <f>I822*(1-IFERROR(VLOOKUP(H822,Rabat!$D$10:$E$41,2,FALSE),0))</f>
        <v>41.75</v>
      </c>
      <c r="K822">
        <v>0.22</v>
      </c>
      <c r="L822" t="s">
        <v>1789</v>
      </c>
      <c r="M822" t="s">
        <v>2711</v>
      </c>
      <c r="N822" t="s">
        <v>2308</v>
      </c>
      <c r="O822" t="s">
        <v>1776</v>
      </c>
      <c r="P822">
        <v>60</v>
      </c>
      <c r="Q822">
        <v>0</v>
      </c>
      <c r="R822" t="s">
        <v>1777</v>
      </c>
      <c r="S822"/>
      <c r="T822" t="s">
        <v>71</v>
      </c>
      <c r="U822">
        <v>0.26</v>
      </c>
      <c r="V822">
        <v>0</v>
      </c>
      <c r="W822">
        <v>90</v>
      </c>
      <c r="X822">
        <v>90</v>
      </c>
      <c r="Y822">
        <v>100</v>
      </c>
      <c r="Z822" t="s">
        <v>1778</v>
      </c>
      <c r="AA822"/>
    </row>
    <row r="823" spans="1:27" ht="15" x14ac:dyDescent="0.25">
      <c r="A823" t="s">
        <v>9</v>
      </c>
      <c r="B823" t="s">
        <v>166</v>
      </c>
      <c r="C823"/>
      <c r="D823" t="s">
        <v>667</v>
      </c>
      <c r="E823" t="s">
        <v>1289</v>
      </c>
      <c r="F823" t="s">
        <v>2675</v>
      </c>
      <c r="G823" t="s">
        <v>2676</v>
      </c>
      <c r="H823" t="s">
        <v>10</v>
      </c>
      <c r="I823" s="41">
        <v>41.75</v>
      </c>
      <c r="J823" s="43">
        <f>I823*(1-IFERROR(VLOOKUP(H823,Rabat!$D$10:$E$41,2,FALSE),0))</f>
        <v>41.75</v>
      </c>
      <c r="K823">
        <v>0.22</v>
      </c>
      <c r="L823" t="s">
        <v>1789</v>
      </c>
      <c r="M823" t="s">
        <v>2712</v>
      </c>
      <c r="N823" t="s">
        <v>2308</v>
      </c>
      <c r="O823" t="s">
        <v>1776</v>
      </c>
      <c r="P823">
        <v>60</v>
      </c>
      <c r="Q823">
        <v>0</v>
      </c>
      <c r="R823" t="s">
        <v>1777</v>
      </c>
      <c r="S823"/>
      <c r="T823" t="s">
        <v>71</v>
      </c>
      <c r="U823">
        <v>0.26</v>
      </c>
      <c r="V823">
        <v>0</v>
      </c>
      <c r="W823">
        <v>90</v>
      </c>
      <c r="X823">
        <v>90</v>
      </c>
      <c r="Y823">
        <v>100</v>
      </c>
      <c r="Z823" t="s">
        <v>1778</v>
      </c>
      <c r="AA823"/>
    </row>
    <row r="824" spans="1:27" ht="15" x14ac:dyDescent="0.25">
      <c r="A824" t="s">
        <v>9</v>
      </c>
      <c r="B824" t="s">
        <v>166</v>
      </c>
      <c r="C824"/>
      <c r="D824" t="s">
        <v>667</v>
      </c>
      <c r="E824" t="s">
        <v>1289</v>
      </c>
      <c r="F824" t="s">
        <v>2677</v>
      </c>
      <c r="G824" t="s">
        <v>2678</v>
      </c>
      <c r="H824" t="s">
        <v>10</v>
      </c>
      <c r="I824" s="41">
        <v>41.75</v>
      </c>
      <c r="J824" s="43">
        <f>I824*(1-IFERROR(VLOOKUP(H824,Rabat!$D$10:$E$41,2,FALSE),0))</f>
        <v>41.75</v>
      </c>
      <c r="K824">
        <v>0.22</v>
      </c>
      <c r="L824" t="s">
        <v>1789</v>
      </c>
      <c r="M824" t="s">
        <v>2713</v>
      </c>
      <c r="N824" t="s">
        <v>2308</v>
      </c>
      <c r="O824" t="s">
        <v>1776</v>
      </c>
      <c r="P824">
        <v>60</v>
      </c>
      <c r="Q824">
        <v>0</v>
      </c>
      <c r="R824" t="s">
        <v>1777</v>
      </c>
      <c r="S824"/>
      <c r="T824" t="s">
        <v>71</v>
      </c>
      <c r="U824">
        <v>0.26</v>
      </c>
      <c r="V824">
        <v>0</v>
      </c>
      <c r="W824">
        <v>90</v>
      </c>
      <c r="X824">
        <v>90</v>
      </c>
      <c r="Y824">
        <v>100</v>
      </c>
      <c r="Z824" t="s">
        <v>1778</v>
      </c>
      <c r="AA824"/>
    </row>
    <row r="825" spans="1:27" ht="15" x14ac:dyDescent="0.25">
      <c r="A825" t="s">
        <v>9</v>
      </c>
      <c r="B825"/>
      <c r="C825"/>
      <c r="D825" t="s">
        <v>69</v>
      </c>
      <c r="E825" t="s">
        <v>1289</v>
      </c>
      <c r="F825" t="s">
        <v>2679</v>
      </c>
      <c r="G825" t="s">
        <v>2680</v>
      </c>
      <c r="H825" t="s">
        <v>10</v>
      </c>
      <c r="I825" s="41">
        <v>118.13</v>
      </c>
      <c r="J825" s="43">
        <f>I825*(1-IFERROR(VLOOKUP(H825,Rabat!$D$10:$E$41,2,FALSE),0))</f>
        <v>118.13</v>
      </c>
      <c r="K825">
        <v>0.42</v>
      </c>
      <c r="L825" t="s">
        <v>1789</v>
      </c>
      <c r="M825" t="s">
        <v>2714</v>
      </c>
      <c r="N825"/>
      <c r="O825" t="s">
        <v>1776</v>
      </c>
      <c r="P825">
        <v>30</v>
      </c>
      <c r="Q825">
        <v>0</v>
      </c>
      <c r="R825" t="s">
        <v>1777</v>
      </c>
      <c r="S825"/>
      <c r="T825" t="s">
        <v>71</v>
      </c>
      <c r="U825">
        <v>0.5</v>
      </c>
      <c r="V825">
        <v>0</v>
      </c>
      <c r="W825"/>
      <c r="X825"/>
      <c r="Y825"/>
      <c r="Z825" t="s">
        <v>1778</v>
      </c>
      <c r="AA825"/>
    </row>
    <row r="826" spans="1:27" ht="15" x14ac:dyDescent="0.25">
      <c r="A826" t="s">
        <v>9</v>
      </c>
      <c r="B826" t="s">
        <v>2681</v>
      </c>
      <c r="C826"/>
      <c r="D826" t="s">
        <v>69</v>
      </c>
      <c r="E826" t="s">
        <v>1289</v>
      </c>
      <c r="F826" t="s">
        <v>2682</v>
      </c>
      <c r="G826" t="s">
        <v>2683</v>
      </c>
      <c r="H826" t="s">
        <v>2684</v>
      </c>
      <c r="I826" s="41">
        <v>104.75</v>
      </c>
      <c r="J826" s="43">
        <f>I826*(1-IFERROR(VLOOKUP(H826,Rabat!$D$10:$E$41,2,FALSE),0))</f>
        <v>104.75</v>
      </c>
      <c r="K826">
        <v>0.23</v>
      </c>
      <c r="L826" t="s">
        <v>1789</v>
      </c>
      <c r="M826" t="s">
        <v>2715</v>
      </c>
      <c r="N826"/>
      <c r="O826" t="s">
        <v>1776</v>
      </c>
      <c r="P826">
        <v>20</v>
      </c>
      <c r="Q826">
        <v>0</v>
      </c>
      <c r="R826" t="s">
        <v>1777</v>
      </c>
      <c r="S826"/>
      <c r="T826" t="s">
        <v>71</v>
      </c>
      <c r="U826">
        <v>0.27</v>
      </c>
      <c r="V826">
        <v>0</v>
      </c>
      <c r="W826">
        <v>0</v>
      </c>
      <c r="X826">
        <v>0</v>
      </c>
      <c r="Y826">
        <v>0</v>
      </c>
      <c r="Z826" t="s">
        <v>1778</v>
      </c>
      <c r="AA826"/>
    </row>
    <row r="827" spans="1:27" ht="15" x14ac:dyDescent="0.25">
      <c r="A827" t="s">
        <v>9</v>
      </c>
      <c r="B827" t="s">
        <v>2681</v>
      </c>
      <c r="C827"/>
      <c r="D827" t="s">
        <v>69</v>
      </c>
      <c r="E827" t="s">
        <v>1289</v>
      </c>
      <c r="F827" t="s">
        <v>2685</v>
      </c>
      <c r="G827" t="s">
        <v>2686</v>
      </c>
      <c r="H827" t="s">
        <v>2684</v>
      </c>
      <c r="I827" s="41">
        <v>107.25</v>
      </c>
      <c r="J827" s="43">
        <f>I827*(1-IFERROR(VLOOKUP(H827,Rabat!$D$10:$E$41,2,FALSE),0))</f>
        <v>107.25</v>
      </c>
      <c r="K827">
        <v>0.25</v>
      </c>
      <c r="L827" t="s">
        <v>1789</v>
      </c>
      <c r="M827" t="s">
        <v>2716</v>
      </c>
      <c r="N827"/>
      <c r="O827" t="s">
        <v>1776</v>
      </c>
      <c r="P827">
        <v>20</v>
      </c>
      <c r="Q827">
        <v>0</v>
      </c>
      <c r="R827" t="s">
        <v>1777</v>
      </c>
      <c r="S827"/>
      <c r="T827" t="s">
        <v>71</v>
      </c>
      <c r="U827">
        <v>0.28999999999999998</v>
      </c>
      <c r="V827">
        <v>0</v>
      </c>
      <c r="W827">
        <v>0</v>
      </c>
      <c r="X827">
        <v>0</v>
      </c>
      <c r="Y827">
        <v>0</v>
      </c>
      <c r="Z827" t="s">
        <v>1778</v>
      </c>
      <c r="AA827"/>
    </row>
    <row r="828" spans="1:27" ht="15" x14ac:dyDescent="0.25">
      <c r="A828" t="s">
        <v>9</v>
      </c>
      <c r="B828" t="s">
        <v>2681</v>
      </c>
      <c r="C828"/>
      <c r="D828" t="s">
        <v>69</v>
      </c>
      <c r="E828" t="s">
        <v>1289</v>
      </c>
      <c r="F828" t="s">
        <v>2687</v>
      </c>
      <c r="G828" t="s">
        <v>2688</v>
      </c>
      <c r="H828" t="s">
        <v>2684</v>
      </c>
      <c r="I828" s="41">
        <v>119.75</v>
      </c>
      <c r="J828" s="43">
        <f>I828*(1-IFERROR(VLOOKUP(H828,Rabat!$D$10:$E$41,2,FALSE),0))</f>
        <v>119.75</v>
      </c>
      <c r="K828">
        <v>0.26</v>
      </c>
      <c r="L828" t="s">
        <v>1789</v>
      </c>
      <c r="M828" t="s">
        <v>2717</v>
      </c>
      <c r="N828"/>
      <c r="O828" t="s">
        <v>1776</v>
      </c>
      <c r="P828">
        <v>20</v>
      </c>
      <c r="Q828">
        <v>0</v>
      </c>
      <c r="R828" t="s">
        <v>1777</v>
      </c>
      <c r="S828"/>
      <c r="T828" t="s">
        <v>71</v>
      </c>
      <c r="U828">
        <v>0.31</v>
      </c>
      <c r="V828">
        <v>0</v>
      </c>
      <c r="W828">
        <v>0</v>
      </c>
      <c r="X828">
        <v>0</v>
      </c>
      <c r="Y828">
        <v>0</v>
      </c>
      <c r="Z828" t="s">
        <v>1778</v>
      </c>
      <c r="AA828"/>
    </row>
    <row r="829" spans="1:27" ht="15" x14ac:dyDescent="0.25">
      <c r="A829" t="s">
        <v>14</v>
      </c>
      <c r="B829" t="s">
        <v>2689</v>
      </c>
      <c r="C829"/>
      <c r="D829" t="s">
        <v>667</v>
      </c>
      <c r="E829" t="s">
        <v>1289</v>
      </c>
      <c r="F829" t="s">
        <v>2690</v>
      </c>
      <c r="G829" t="s">
        <v>2691</v>
      </c>
      <c r="H829" t="s">
        <v>2692</v>
      </c>
      <c r="I829" s="41">
        <v>78.75</v>
      </c>
      <c r="J829" s="43">
        <f>I829*(1-IFERROR(VLOOKUP(H829,Rabat!$D$10:$E$41,2,FALSE),0))</f>
        <v>78.75</v>
      </c>
      <c r="K829">
        <v>0.17</v>
      </c>
      <c r="L829" t="s">
        <v>1789</v>
      </c>
      <c r="M829" t="s">
        <v>2718</v>
      </c>
      <c r="N829" t="s">
        <v>1954</v>
      </c>
      <c r="O829" t="s">
        <v>1776</v>
      </c>
      <c r="P829">
        <v>48</v>
      </c>
      <c r="Q829">
        <v>0</v>
      </c>
      <c r="R829" t="s">
        <v>1777</v>
      </c>
      <c r="S829"/>
      <c r="T829" t="s">
        <v>71</v>
      </c>
      <c r="U829">
        <v>0.2</v>
      </c>
      <c r="V829">
        <v>0</v>
      </c>
      <c r="W829">
        <v>0</v>
      </c>
      <c r="X829">
        <v>0</v>
      </c>
      <c r="Y829">
        <v>0</v>
      </c>
      <c r="Z829" t="s">
        <v>1778</v>
      </c>
      <c r="AA829"/>
    </row>
    <row r="830" spans="1:27" ht="15" x14ac:dyDescent="0.25">
      <c r="A830" t="s">
        <v>14</v>
      </c>
      <c r="B830" t="s">
        <v>2689</v>
      </c>
      <c r="C830"/>
      <c r="D830" t="s">
        <v>667</v>
      </c>
      <c r="E830" t="s">
        <v>1289</v>
      </c>
      <c r="F830" t="s">
        <v>2693</v>
      </c>
      <c r="G830" t="s">
        <v>2694</v>
      </c>
      <c r="H830" t="s">
        <v>2692</v>
      </c>
      <c r="I830" s="41">
        <v>26.25</v>
      </c>
      <c r="J830" s="43">
        <f>I830*(1-IFERROR(VLOOKUP(H830,Rabat!$D$10:$E$41,2,FALSE),0))</f>
        <v>26.25</v>
      </c>
      <c r="K830">
        <v>0.03</v>
      </c>
      <c r="L830" t="s">
        <v>1789</v>
      </c>
      <c r="M830" t="s">
        <v>2719</v>
      </c>
      <c r="N830" t="s">
        <v>1954</v>
      </c>
      <c r="O830" t="s">
        <v>1776</v>
      </c>
      <c r="P830">
        <v>40</v>
      </c>
      <c r="Q830">
        <v>0</v>
      </c>
      <c r="R830" t="s">
        <v>1777</v>
      </c>
      <c r="S830"/>
      <c r="T830" t="s">
        <v>71</v>
      </c>
      <c r="U830">
        <v>0.04</v>
      </c>
      <c r="V830">
        <v>0</v>
      </c>
      <c r="W830">
        <v>0</v>
      </c>
      <c r="X830">
        <v>0</v>
      </c>
      <c r="Y830">
        <v>0</v>
      </c>
      <c r="Z830" t="s">
        <v>1778</v>
      </c>
      <c r="AA830"/>
    </row>
    <row r="831" spans="1:27" ht="15" x14ac:dyDescent="0.25">
      <c r="A831" t="s">
        <v>9</v>
      </c>
      <c r="B831" t="s">
        <v>166</v>
      </c>
      <c r="C831"/>
      <c r="D831" t="s">
        <v>667</v>
      </c>
      <c r="E831" t="s">
        <v>1289</v>
      </c>
      <c r="F831" t="s">
        <v>2695</v>
      </c>
      <c r="G831" t="s">
        <v>2696</v>
      </c>
      <c r="H831" t="s">
        <v>10</v>
      </c>
      <c r="I831" s="41">
        <v>41.75</v>
      </c>
      <c r="J831" s="43">
        <f>I831*(1-IFERROR(VLOOKUP(H831,Rabat!$D$10:$E$41,2,FALSE),0))</f>
        <v>41.75</v>
      </c>
      <c r="K831">
        <v>0.22</v>
      </c>
      <c r="L831" t="s">
        <v>1789</v>
      </c>
      <c r="M831" t="s">
        <v>2720</v>
      </c>
      <c r="N831" t="s">
        <v>2308</v>
      </c>
      <c r="O831" t="s">
        <v>1776</v>
      </c>
      <c r="P831">
        <v>60</v>
      </c>
      <c r="Q831">
        <v>0</v>
      </c>
      <c r="R831" t="s">
        <v>1777</v>
      </c>
      <c r="S831"/>
      <c r="T831" t="s">
        <v>71</v>
      </c>
      <c r="U831">
        <v>0.26</v>
      </c>
      <c r="V831">
        <v>0</v>
      </c>
      <c r="W831">
        <v>90</v>
      </c>
      <c r="X831">
        <v>90</v>
      </c>
      <c r="Y831">
        <v>100</v>
      </c>
      <c r="Z831" t="s">
        <v>1778</v>
      </c>
      <c r="AA831"/>
    </row>
    <row r="832" spans="1:27" ht="15" x14ac:dyDescent="0.25">
      <c r="A832" t="s">
        <v>14</v>
      </c>
      <c r="B832" t="s">
        <v>1082</v>
      </c>
      <c r="C832"/>
      <c r="D832" t="s">
        <v>69</v>
      </c>
      <c r="E832" t="s">
        <v>1289</v>
      </c>
      <c r="F832" t="s">
        <v>2697</v>
      </c>
      <c r="G832" t="s">
        <v>2698</v>
      </c>
      <c r="H832" t="s">
        <v>2684</v>
      </c>
      <c r="I832" s="41">
        <v>107.25</v>
      </c>
      <c r="J832" s="43">
        <f>I832*(1-IFERROR(VLOOKUP(H832,Rabat!$D$10:$E$41,2,FALSE),0))</f>
        <v>107.25</v>
      </c>
      <c r="K832">
        <v>0.16</v>
      </c>
      <c r="L832" t="s">
        <v>1789</v>
      </c>
      <c r="M832" t="s">
        <v>2721</v>
      </c>
      <c r="N832" t="s">
        <v>2566</v>
      </c>
      <c r="O832" t="s">
        <v>1776</v>
      </c>
      <c r="P832">
        <v>18</v>
      </c>
      <c r="Q832">
        <v>0</v>
      </c>
      <c r="R832" t="s">
        <v>1777</v>
      </c>
      <c r="S832"/>
      <c r="T832" t="s">
        <v>71</v>
      </c>
      <c r="U832">
        <v>0.35</v>
      </c>
      <c r="V832">
        <v>0</v>
      </c>
      <c r="W832">
        <v>0</v>
      </c>
      <c r="X832">
        <v>0</v>
      </c>
      <c r="Y832">
        <v>0</v>
      </c>
      <c r="Z832" t="s">
        <v>1778</v>
      </c>
      <c r="AA832"/>
    </row>
    <row r="833" spans="1:27" ht="15" x14ac:dyDescent="0.25">
      <c r="A833" t="s">
        <v>14</v>
      </c>
      <c r="B833" t="s">
        <v>1082</v>
      </c>
      <c r="C833"/>
      <c r="D833" t="s">
        <v>69</v>
      </c>
      <c r="E833" t="s">
        <v>1289</v>
      </c>
      <c r="F833" t="s">
        <v>2699</v>
      </c>
      <c r="G833" t="s">
        <v>2700</v>
      </c>
      <c r="H833" t="s">
        <v>2684</v>
      </c>
      <c r="I833" s="41">
        <v>107.25</v>
      </c>
      <c r="J833" s="43">
        <f>I833*(1-IFERROR(VLOOKUP(H833,Rabat!$D$10:$E$41,2,FALSE),0))</f>
        <v>107.25</v>
      </c>
      <c r="K833">
        <v>0.16</v>
      </c>
      <c r="L833" t="s">
        <v>1789</v>
      </c>
      <c r="M833" t="s">
        <v>2722</v>
      </c>
      <c r="N833" t="s">
        <v>2566</v>
      </c>
      <c r="O833" t="s">
        <v>1776</v>
      </c>
      <c r="P833">
        <v>18</v>
      </c>
      <c r="Q833">
        <v>0</v>
      </c>
      <c r="R833" t="s">
        <v>1777</v>
      </c>
      <c r="S833"/>
      <c r="T833" t="s">
        <v>71</v>
      </c>
      <c r="U833">
        <v>0.35</v>
      </c>
      <c r="V833">
        <v>0</v>
      </c>
      <c r="W833">
        <v>0</v>
      </c>
      <c r="X833">
        <v>0</v>
      </c>
      <c r="Y833">
        <v>0</v>
      </c>
      <c r="Z833" t="s">
        <v>1778</v>
      </c>
      <c r="AA833"/>
    </row>
    <row r="834" spans="1:27" ht="15" x14ac:dyDescent="0.25">
      <c r="A834"/>
      <c r="B834"/>
      <c r="C834"/>
      <c r="D834"/>
      <c r="E834"/>
      <c r="F834"/>
      <c r="G834"/>
      <c r="H834"/>
      <c r="I834" s="41"/>
      <c r="J834" s="43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ht="15" x14ac:dyDescent="0.25">
      <c r="A835" s="29"/>
      <c r="B835" s="29"/>
      <c r="C835" s="29"/>
      <c r="D835" s="29"/>
      <c r="E835" s="29"/>
      <c r="F835" s="29"/>
      <c r="G835" s="29"/>
      <c r="H835" s="29"/>
      <c r="I835" s="30"/>
      <c r="J835" s="30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37"/>
      <c r="AA835" s="29"/>
    </row>
    <row r="836" spans="1:27" ht="15" x14ac:dyDescent="0.25">
      <c r="A836" s="29"/>
      <c r="B836" s="29"/>
      <c r="C836" s="29"/>
      <c r="D836" s="29"/>
      <c r="E836" s="29"/>
      <c r="F836" s="29"/>
      <c r="G836" s="29"/>
      <c r="H836" s="29"/>
      <c r="I836" s="30"/>
      <c r="J836" s="30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37"/>
      <c r="AA836" s="29"/>
    </row>
    <row r="837" spans="1:27" ht="15" x14ac:dyDescent="0.25">
      <c r="A837" s="29"/>
      <c r="B837" s="29"/>
      <c r="C837" s="29"/>
      <c r="D837" s="29"/>
      <c r="E837" s="29"/>
      <c r="F837" s="29"/>
      <c r="G837" s="29"/>
      <c r="H837" s="29"/>
      <c r="I837" s="30"/>
      <c r="J837" s="30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37"/>
      <c r="AA837" s="29"/>
    </row>
    <row r="838" spans="1:27" ht="15" x14ac:dyDescent="0.25">
      <c r="A838" s="29"/>
      <c r="B838" s="29"/>
      <c r="C838" s="29"/>
      <c r="D838" s="29"/>
      <c r="E838" s="29"/>
      <c r="F838" s="29"/>
      <c r="G838" s="29"/>
      <c r="H838" s="29"/>
      <c r="I838" s="30"/>
      <c r="J838" s="30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37"/>
      <c r="AA838" s="29"/>
    </row>
    <row r="839" spans="1:27" ht="15" x14ac:dyDescent="0.25">
      <c r="A839" s="29"/>
      <c r="B839" s="29"/>
      <c r="C839" s="29"/>
      <c r="D839" s="29"/>
      <c r="E839" s="29"/>
      <c r="F839" s="29"/>
      <c r="G839" s="29"/>
      <c r="H839" s="29"/>
      <c r="I839" s="30"/>
      <c r="J839" s="30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37"/>
      <c r="AA839" s="29"/>
    </row>
    <row r="840" spans="1:27" ht="15" x14ac:dyDescent="0.25">
      <c r="A840" s="29"/>
      <c r="B840" s="29"/>
      <c r="C840" s="29"/>
      <c r="D840" s="29"/>
      <c r="E840" s="29"/>
      <c r="F840" s="29"/>
      <c r="G840" s="29"/>
      <c r="H840" s="29"/>
      <c r="I840" s="30"/>
      <c r="J840" s="30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37"/>
      <c r="AA840" s="29"/>
    </row>
    <row r="841" spans="1:27" ht="15" x14ac:dyDescent="0.25">
      <c r="A841" s="29"/>
      <c r="B841" s="29"/>
      <c r="C841" s="29"/>
      <c r="D841" s="29"/>
      <c r="E841" s="29"/>
      <c r="F841" s="29"/>
      <c r="G841" s="29"/>
      <c r="H841" s="29"/>
      <c r="I841" s="30"/>
      <c r="J841" s="30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37"/>
      <c r="AA841" s="29"/>
    </row>
    <row r="842" spans="1:27" ht="15" x14ac:dyDescent="0.25">
      <c r="A842" s="29"/>
      <c r="B842" s="29"/>
      <c r="C842" s="29"/>
      <c r="D842" s="29"/>
      <c r="E842" s="29"/>
      <c r="F842" s="29"/>
      <c r="G842" s="29"/>
      <c r="H842" s="29"/>
      <c r="I842" s="30"/>
      <c r="J842" s="30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37"/>
      <c r="AA842" s="29"/>
    </row>
    <row r="843" spans="1:27" ht="15" x14ac:dyDescent="0.25">
      <c r="A843" s="31"/>
      <c r="B843" s="31"/>
      <c r="C843" s="31"/>
      <c r="D843" s="31"/>
      <c r="E843" s="31"/>
      <c r="F843" s="31"/>
      <c r="G843" s="31"/>
      <c r="H843" s="31"/>
      <c r="I843" s="32"/>
      <c r="J843" s="32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7"/>
      <c r="AA843" s="31"/>
    </row>
    <row r="844" spans="1:27" ht="15" x14ac:dyDescent="0.25">
      <c r="A844" s="29"/>
      <c r="B844" s="29"/>
      <c r="C844" s="29"/>
      <c r="D844" s="29"/>
      <c r="E844" s="29"/>
      <c r="F844" s="29"/>
      <c r="G844" s="29"/>
      <c r="H844" s="29"/>
      <c r="I844" s="30"/>
      <c r="J844" s="30"/>
      <c r="K844" s="30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</row>
    <row r="845" spans="1:27" ht="15" x14ac:dyDescent="0.25">
      <c r="A845" s="29"/>
      <c r="B845" s="29"/>
      <c r="C845" s="29"/>
      <c r="D845" s="29"/>
      <c r="E845" s="29"/>
      <c r="F845" s="29"/>
      <c r="G845" s="29"/>
      <c r="H845" s="29"/>
      <c r="I845" s="30"/>
      <c r="J845" s="30"/>
      <c r="K845" s="30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 spans="1:27" ht="15" x14ac:dyDescent="0.25">
      <c r="A846" s="29"/>
      <c r="B846" s="29"/>
      <c r="C846" s="29"/>
      <c r="D846" s="29"/>
      <c r="E846" s="29"/>
      <c r="F846" s="29"/>
      <c r="G846" s="29"/>
      <c r="H846" s="29"/>
      <c r="I846" s="30"/>
      <c r="J846" s="30"/>
      <c r="K846" s="30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</row>
    <row r="847" spans="1:27" ht="15" x14ac:dyDescent="0.25">
      <c r="A847" s="29"/>
      <c r="B847" s="29"/>
      <c r="C847" s="29"/>
      <c r="D847" s="29"/>
      <c r="E847" s="29"/>
      <c r="F847" s="29"/>
      <c r="G847" s="29"/>
      <c r="H847" s="29"/>
      <c r="I847" s="30"/>
      <c r="J847" s="30"/>
      <c r="K847" s="30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 spans="1:27" ht="15" x14ac:dyDescent="0.25">
      <c r="A848" s="31"/>
      <c r="B848" s="31"/>
      <c r="C848" s="31"/>
      <c r="D848" s="31"/>
      <c r="E848" s="31"/>
      <c r="F848" s="31"/>
      <c r="G848" s="31"/>
      <c r="H848" s="31"/>
      <c r="I848" s="32"/>
      <c r="J848" s="32"/>
      <c r="K848" s="32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</row>
    <row r="849" spans="1:27" ht="15" x14ac:dyDescent="0.25">
      <c r="A849" s="31"/>
      <c r="B849" s="31"/>
      <c r="C849" s="31"/>
      <c r="D849" s="31"/>
      <c r="E849" s="31"/>
      <c r="F849" s="31"/>
      <c r="G849" s="31"/>
      <c r="H849" s="31"/>
      <c r="I849" s="32"/>
      <c r="J849" s="32"/>
      <c r="K849" s="32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</row>
    <row r="850" spans="1:27" ht="15" x14ac:dyDescent="0.25">
      <c r="A850" s="29"/>
      <c r="B850" s="29"/>
      <c r="C850" s="29"/>
      <c r="D850" s="29"/>
      <c r="E850" s="29"/>
      <c r="F850" s="29"/>
      <c r="G850" s="29"/>
      <c r="H850" s="29"/>
      <c r="I850" s="30"/>
      <c r="J850" s="30"/>
      <c r="K850" s="30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</row>
    <row r="851" spans="1:27" ht="15" x14ac:dyDescent="0.25">
      <c r="A851" s="29"/>
      <c r="B851" s="29"/>
      <c r="C851" s="29"/>
      <c r="D851" s="29"/>
      <c r="E851" s="29"/>
      <c r="F851" s="29"/>
      <c r="G851" s="29"/>
      <c r="H851" s="29"/>
      <c r="I851" s="30"/>
      <c r="J851" s="30"/>
      <c r="K851" s="30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 spans="1:27" ht="15" x14ac:dyDescent="0.25">
      <c r="A852" s="29"/>
      <c r="B852" s="29"/>
      <c r="C852" s="29"/>
      <c r="D852" s="29"/>
      <c r="E852" s="29"/>
      <c r="F852" s="29"/>
      <c r="G852" s="29"/>
      <c r="H852" s="29"/>
      <c r="I852" s="30"/>
      <c r="J852" s="30"/>
      <c r="K852" s="30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 spans="1:27" ht="15" x14ac:dyDescent="0.25">
      <c r="A853" s="29"/>
      <c r="B853" s="29"/>
      <c r="C853" s="29"/>
      <c r="D853" s="29"/>
      <c r="E853" s="29"/>
      <c r="F853" s="29"/>
      <c r="G853" s="29"/>
      <c r="H853" s="29"/>
      <c r="I853" s="30"/>
      <c r="J853" s="30"/>
      <c r="K853" s="30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 spans="1:27" ht="15" x14ac:dyDescent="0.25">
      <c r="A854" s="29"/>
      <c r="B854" s="29"/>
      <c r="C854" s="29"/>
      <c r="D854" s="29"/>
      <c r="E854" s="29"/>
      <c r="F854" s="29"/>
      <c r="G854" s="29"/>
      <c r="H854" s="29"/>
      <c r="I854" s="30"/>
      <c r="J854" s="30"/>
      <c r="K854" s="30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 spans="1:27" ht="15" x14ac:dyDescent="0.25">
      <c r="A855" s="29"/>
      <c r="B855" s="29"/>
      <c r="C855" s="29"/>
      <c r="D855" s="29"/>
      <c r="E855" s="29"/>
      <c r="F855" s="29"/>
      <c r="G855" s="29"/>
      <c r="H855" s="29"/>
      <c r="I855" s="30"/>
      <c r="J855" s="30"/>
      <c r="K855" s="30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</row>
    <row r="856" spans="1:27" ht="15" x14ac:dyDescent="0.25">
      <c r="A856" s="29"/>
      <c r="B856" s="29"/>
      <c r="C856" s="29"/>
      <c r="D856" s="29"/>
      <c r="E856" s="29"/>
      <c r="F856" s="29"/>
      <c r="G856" s="29"/>
      <c r="H856" s="29"/>
      <c r="I856" s="30"/>
      <c r="J856" s="30"/>
      <c r="K856" s="30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 spans="1:27" ht="15" x14ac:dyDescent="0.25">
      <c r="A857" s="29"/>
      <c r="B857" s="29"/>
      <c r="C857" s="29"/>
      <c r="D857" s="29"/>
      <c r="E857" s="29"/>
      <c r="F857" s="29"/>
      <c r="G857" s="29"/>
      <c r="H857" s="29"/>
      <c r="I857" s="30"/>
      <c r="J857" s="30"/>
      <c r="K857" s="30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</row>
    <row r="858" spans="1:27" ht="15" x14ac:dyDescent="0.25">
      <c r="A858" s="29"/>
      <c r="B858" s="29"/>
      <c r="C858" s="29"/>
      <c r="D858" s="29"/>
      <c r="E858" s="29"/>
      <c r="F858" s="29"/>
      <c r="G858" s="29"/>
      <c r="H858" s="29"/>
      <c r="I858" s="30"/>
      <c r="J858" s="30"/>
      <c r="K858" s="30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 spans="1:27" ht="15" x14ac:dyDescent="0.25">
      <c r="A859" s="29"/>
      <c r="B859" s="29"/>
      <c r="C859" s="29"/>
      <c r="D859" s="29"/>
      <c r="E859" s="29"/>
      <c r="F859" s="29"/>
      <c r="G859" s="29"/>
      <c r="H859" s="29"/>
      <c r="I859" s="30"/>
      <c r="J859" s="30"/>
      <c r="K859" s="30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</row>
    <row r="860" spans="1:27" ht="15" x14ac:dyDescent="0.25">
      <c r="A860" s="29"/>
      <c r="B860" s="29"/>
      <c r="C860" s="29"/>
      <c r="D860" s="29"/>
      <c r="E860" s="29"/>
      <c r="F860" s="29"/>
      <c r="G860" s="29"/>
      <c r="H860" s="29"/>
      <c r="I860" s="30"/>
      <c r="J860" s="30"/>
      <c r="K860" s="30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 spans="1:27" ht="15" x14ac:dyDescent="0.25">
      <c r="A861" s="29"/>
      <c r="B861" s="29"/>
      <c r="C861" s="29"/>
      <c r="D861" s="29"/>
      <c r="E861" s="29"/>
      <c r="F861" s="29"/>
      <c r="G861" s="29"/>
      <c r="H861" s="29"/>
      <c r="I861" s="30"/>
      <c r="J861" s="30"/>
      <c r="K861" s="30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</row>
    <row r="862" spans="1:27" ht="15" x14ac:dyDescent="0.25">
      <c r="A862" s="29"/>
      <c r="B862" s="29"/>
      <c r="C862" s="29"/>
      <c r="D862" s="29"/>
      <c r="E862" s="29"/>
      <c r="F862" s="29"/>
      <c r="G862" s="29"/>
      <c r="H862" s="29"/>
      <c r="I862" s="30"/>
      <c r="J862" s="30"/>
      <c r="K862" s="30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 spans="1:27" ht="15" x14ac:dyDescent="0.25">
      <c r="A863" s="29"/>
      <c r="B863" s="29"/>
      <c r="C863" s="29"/>
      <c r="D863" s="29"/>
      <c r="E863" s="29"/>
      <c r="F863" s="29"/>
      <c r="G863" s="29"/>
      <c r="H863" s="29"/>
      <c r="I863" s="30"/>
      <c r="J863" s="30"/>
      <c r="K863" s="30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</row>
    <row r="864" spans="1:27" ht="15" x14ac:dyDescent="0.25">
      <c r="A864" s="29"/>
      <c r="B864" s="29"/>
      <c r="C864" s="29"/>
      <c r="D864" s="29"/>
      <c r="E864" s="29"/>
      <c r="F864" s="29"/>
      <c r="G864" s="29"/>
      <c r="H864" s="29"/>
      <c r="I864" s="30"/>
      <c r="J864" s="30"/>
      <c r="K864" s="30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 spans="1:27" ht="15" x14ac:dyDescent="0.25">
      <c r="A865" s="29"/>
      <c r="B865" s="29"/>
      <c r="C865" s="29"/>
      <c r="D865" s="29"/>
      <c r="E865" s="29"/>
      <c r="F865" s="29"/>
      <c r="G865" s="29"/>
      <c r="H865" s="29"/>
      <c r="I865" s="30"/>
      <c r="J865" s="30"/>
      <c r="K865" s="30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</row>
    <row r="866" spans="1:27" ht="15" x14ac:dyDescent="0.25">
      <c r="A866" s="29"/>
      <c r="B866" s="29"/>
      <c r="C866" s="29"/>
      <c r="D866" s="29"/>
      <c r="E866" s="29"/>
      <c r="F866" s="29"/>
      <c r="G866" s="29"/>
      <c r="H866" s="29"/>
      <c r="I866" s="30"/>
      <c r="J866" s="30"/>
      <c r="K866" s="30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 spans="1:27" ht="15" x14ac:dyDescent="0.25">
      <c r="A867" s="29"/>
      <c r="B867" s="29"/>
      <c r="C867" s="29"/>
      <c r="D867" s="29"/>
      <c r="E867" s="29"/>
      <c r="F867" s="29"/>
      <c r="G867" s="29"/>
      <c r="H867" s="29"/>
      <c r="I867" s="30"/>
      <c r="J867" s="30"/>
      <c r="K867" s="30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</row>
    <row r="868" spans="1:27" ht="15" x14ac:dyDescent="0.25">
      <c r="A868" s="29"/>
      <c r="B868" s="29"/>
      <c r="C868" s="29"/>
      <c r="D868" s="29"/>
      <c r="E868" s="29"/>
      <c r="F868" s="29"/>
      <c r="G868" s="29"/>
      <c r="H868" s="29"/>
      <c r="I868" s="30"/>
      <c r="J868" s="30"/>
      <c r="K868" s="30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 spans="1:27" ht="15" x14ac:dyDescent="0.25">
      <c r="A869" s="29"/>
      <c r="B869" s="29"/>
      <c r="C869" s="29"/>
      <c r="D869" s="29"/>
      <c r="E869" s="29"/>
      <c r="F869" s="29"/>
      <c r="G869" s="29"/>
      <c r="H869" s="29"/>
      <c r="I869" s="30"/>
      <c r="J869" s="30"/>
      <c r="K869" s="30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</row>
    <row r="870" spans="1:27" ht="15" x14ac:dyDescent="0.25">
      <c r="A870" s="29"/>
      <c r="B870" s="29"/>
      <c r="C870" s="29"/>
      <c r="D870" s="29"/>
      <c r="E870" s="29"/>
      <c r="F870" s="29"/>
      <c r="G870" s="29"/>
      <c r="H870" s="29"/>
      <c r="I870" s="30"/>
      <c r="J870" s="30"/>
      <c r="K870" s="30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 spans="1:27" ht="15" x14ac:dyDescent="0.25">
      <c r="A871" s="29"/>
      <c r="B871" s="29"/>
      <c r="C871" s="29"/>
      <c r="D871" s="29"/>
      <c r="E871" s="29"/>
      <c r="F871" s="29"/>
      <c r="G871" s="29"/>
      <c r="H871" s="29"/>
      <c r="I871" s="30"/>
      <c r="J871" s="30"/>
      <c r="K871" s="30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 spans="1:27" ht="15" x14ac:dyDescent="0.25">
      <c r="A872" s="29"/>
      <c r="B872" s="29"/>
      <c r="C872" s="29"/>
      <c r="D872" s="29"/>
      <c r="E872" s="29"/>
      <c r="F872" s="29"/>
      <c r="G872" s="29"/>
      <c r="H872" s="29"/>
      <c r="I872" s="30"/>
      <c r="J872" s="30"/>
      <c r="K872" s="30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 spans="1:27" ht="15" x14ac:dyDescent="0.25">
      <c r="A873" s="29"/>
      <c r="B873" s="29"/>
      <c r="C873" s="29"/>
      <c r="D873" s="29"/>
      <c r="E873" s="29"/>
      <c r="F873" s="29"/>
      <c r="G873" s="29"/>
      <c r="H873" s="29"/>
      <c r="I873" s="30"/>
      <c r="J873" s="30"/>
      <c r="K873" s="30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 spans="1:27" ht="15" x14ac:dyDescent="0.25">
      <c r="A874" s="29"/>
      <c r="B874" s="29"/>
      <c r="C874" s="29"/>
      <c r="D874" s="29"/>
      <c r="E874" s="29"/>
      <c r="F874" s="29"/>
      <c r="G874" s="29"/>
      <c r="H874" s="29"/>
      <c r="I874" s="30"/>
      <c r="J874" s="30"/>
      <c r="K874" s="30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 spans="1:27" ht="15" x14ac:dyDescent="0.25">
      <c r="A875" s="29"/>
      <c r="B875" s="29"/>
      <c r="C875" s="29"/>
      <c r="D875" s="29"/>
      <c r="E875" s="29"/>
      <c r="F875" s="29"/>
      <c r="G875" s="29"/>
      <c r="H875" s="29"/>
      <c r="I875" s="30"/>
      <c r="J875" s="30"/>
      <c r="K875" s="30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</row>
    <row r="876" spans="1:27" ht="15" x14ac:dyDescent="0.25">
      <c r="A876" s="29"/>
      <c r="B876" s="29"/>
      <c r="C876" s="29"/>
      <c r="D876" s="29"/>
      <c r="E876" s="29"/>
      <c r="F876" s="29"/>
      <c r="G876" s="29"/>
      <c r="H876" s="29"/>
      <c r="I876" s="30"/>
      <c r="J876" s="30"/>
      <c r="K876" s="30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 spans="1:27" ht="15" x14ac:dyDescent="0.25">
      <c r="A877" s="29"/>
      <c r="B877" s="29"/>
      <c r="C877" s="29"/>
      <c r="D877" s="29"/>
      <c r="E877" s="29"/>
      <c r="F877" s="29"/>
      <c r="G877" s="29"/>
      <c r="H877" s="29"/>
      <c r="I877" s="30"/>
      <c r="J877" s="30"/>
      <c r="K877" s="30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 spans="1:27" ht="15" x14ac:dyDescent="0.25">
      <c r="A878" s="29"/>
      <c r="B878" s="29"/>
      <c r="C878" s="29"/>
      <c r="D878" s="29"/>
      <c r="E878" s="29"/>
      <c r="F878" s="29"/>
      <c r="G878" s="29"/>
      <c r="H878" s="29"/>
      <c r="I878" s="30"/>
      <c r="J878" s="30"/>
      <c r="K878" s="30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 spans="1:27" ht="15" x14ac:dyDescent="0.25">
      <c r="A879" s="29"/>
      <c r="B879" s="29"/>
      <c r="C879" s="29"/>
      <c r="D879" s="29"/>
      <c r="E879" s="29"/>
      <c r="F879" s="29"/>
      <c r="G879" s="29"/>
      <c r="H879" s="29"/>
      <c r="I879" s="30"/>
      <c r="J879" s="30"/>
      <c r="K879" s="30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 spans="1:27" ht="15" x14ac:dyDescent="0.25">
      <c r="A880" s="29"/>
      <c r="B880" s="29"/>
      <c r="C880" s="29"/>
      <c r="D880" s="29"/>
      <c r="E880" s="29"/>
      <c r="F880" s="29"/>
      <c r="G880" s="29"/>
      <c r="H880" s="29"/>
      <c r="I880" s="30"/>
      <c r="J880" s="30"/>
      <c r="K880" s="30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 spans="1:27" ht="15" x14ac:dyDescent="0.25">
      <c r="A881" s="29"/>
      <c r="B881" s="29"/>
      <c r="C881" s="29"/>
      <c r="D881" s="29"/>
      <c r="E881" s="29"/>
      <c r="F881" s="29"/>
      <c r="G881" s="29"/>
      <c r="H881" s="29"/>
      <c r="I881" s="30"/>
      <c r="J881" s="30"/>
      <c r="K881" s="30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</row>
    <row r="882" spans="1:27" ht="15" x14ac:dyDescent="0.25">
      <c r="A882" s="29"/>
      <c r="B882" s="29"/>
      <c r="C882" s="29"/>
      <c r="D882" s="29"/>
      <c r="E882" s="29"/>
      <c r="F882" s="29"/>
      <c r="G882" s="29"/>
      <c r="H882" s="29"/>
      <c r="I882" s="30"/>
      <c r="J882" s="30"/>
      <c r="K882" s="30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5" x14ac:dyDescent="0.25">
      <c r="A883" s="29"/>
      <c r="B883" s="29"/>
      <c r="C883" s="29"/>
      <c r="D883" s="29"/>
      <c r="E883" s="29"/>
      <c r="F883" s="29"/>
      <c r="G883" s="29"/>
      <c r="H883" s="29"/>
      <c r="I883" s="30"/>
      <c r="J883" s="30"/>
      <c r="K883" s="30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</row>
    <row r="884" spans="1:27" ht="15" x14ac:dyDescent="0.25">
      <c r="A884" s="29"/>
      <c r="B884" s="29"/>
      <c r="C884" s="29"/>
      <c r="D884" s="29"/>
      <c r="E884" s="29"/>
      <c r="F884" s="29"/>
      <c r="G884" s="29"/>
      <c r="H884" s="29"/>
      <c r="I884" s="30"/>
      <c r="J884" s="30"/>
      <c r="K884" s="30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5" x14ac:dyDescent="0.25">
      <c r="A885" s="29"/>
      <c r="B885" s="29"/>
      <c r="C885" s="29"/>
      <c r="D885" s="29"/>
      <c r="E885" s="29"/>
      <c r="F885" s="29"/>
      <c r="G885" s="29"/>
      <c r="H885" s="29"/>
      <c r="I885" s="30"/>
      <c r="J885" s="30"/>
      <c r="K885" s="30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</row>
    <row r="886" spans="1:27" ht="15" x14ac:dyDescent="0.25">
      <c r="A886" s="29"/>
      <c r="B886" s="29"/>
      <c r="C886" s="29"/>
      <c r="D886" s="29"/>
      <c r="E886" s="29"/>
      <c r="F886" s="29"/>
      <c r="G886" s="29"/>
      <c r="H886" s="29"/>
      <c r="I886" s="30"/>
      <c r="J886" s="30"/>
      <c r="K886" s="30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5" x14ac:dyDescent="0.25">
      <c r="A887" s="29"/>
      <c r="B887" s="29"/>
      <c r="C887" s="29"/>
      <c r="D887" s="29"/>
      <c r="E887" s="29"/>
      <c r="F887" s="29"/>
      <c r="G887" s="29"/>
      <c r="H887" s="29"/>
      <c r="I887" s="30"/>
      <c r="J887" s="30"/>
      <c r="K887" s="30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</row>
    <row r="888" spans="1:27" ht="15" x14ac:dyDescent="0.25">
      <c r="A888" s="29"/>
      <c r="B888" s="29"/>
      <c r="C888" s="29"/>
      <c r="D888" s="29"/>
      <c r="E888" s="29"/>
      <c r="F888" s="29"/>
      <c r="G888" s="29"/>
      <c r="H888" s="29"/>
      <c r="I888" s="30"/>
      <c r="J888" s="30"/>
      <c r="K888" s="30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5" x14ac:dyDescent="0.25">
      <c r="A889" s="29"/>
      <c r="B889" s="29"/>
      <c r="C889" s="29"/>
      <c r="D889" s="29"/>
      <c r="E889" s="29"/>
      <c r="F889" s="29"/>
      <c r="G889" s="29"/>
      <c r="H889" s="29"/>
      <c r="I889" s="30"/>
      <c r="J889" s="30"/>
      <c r="K889" s="30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</row>
    <row r="890" spans="1:27" ht="15" x14ac:dyDescent="0.25">
      <c r="A890" s="29"/>
      <c r="B890" s="29"/>
      <c r="C890" s="29"/>
      <c r="D890" s="29"/>
      <c r="E890" s="29"/>
      <c r="F890" s="29"/>
      <c r="G890" s="29"/>
      <c r="H890" s="29"/>
      <c r="I890" s="30"/>
      <c r="J890" s="30"/>
      <c r="K890" s="30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5" x14ac:dyDescent="0.25">
      <c r="A891" s="29"/>
      <c r="B891" s="29"/>
      <c r="C891" s="29"/>
      <c r="D891" s="29"/>
      <c r="E891" s="29"/>
      <c r="F891" s="29"/>
      <c r="G891" s="29"/>
      <c r="H891" s="29"/>
      <c r="I891" s="30"/>
      <c r="J891" s="30"/>
      <c r="K891" s="30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</row>
    <row r="892" spans="1:27" ht="15" x14ac:dyDescent="0.25">
      <c r="A892" s="29"/>
      <c r="B892" s="29"/>
      <c r="C892" s="29"/>
      <c r="D892" s="29"/>
      <c r="E892" s="29"/>
      <c r="F892" s="29"/>
      <c r="G892" s="29"/>
      <c r="H892" s="29"/>
      <c r="I892" s="30"/>
      <c r="J892" s="30"/>
      <c r="K892" s="30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5" x14ac:dyDescent="0.25">
      <c r="A893" s="29"/>
      <c r="B893" s="29"/>
      <c r="C893" s="29"/>
      <c r="D893" s="29"/>
      <c r="E893" s="29"/>
      <c r="F893" s="29"/>
      <c r="G893" s="29"/>
      <c r="H893" s="29"/>
      <c r="I893" s="30"/>
      <c r="J893" s="30"/>
      <c r="K893" s="30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</row>
    <row r="894" spans="1:27" ht="15" x14ac:dyDescent="0.25">
      <c r="A894" s="29"/>
      <c r="B894" s="29"/>
      <c r="C894" s="29"/>
      <c r="D894" s="29"/>
      <c r="E894" s="29"/>
      <c r="F894" s="29"/>
      <c r="G894" s="29"/>
      <c r="H894" s="29"/>
      <c r="I894" s="30"/>
      <c r="J894" s="30"/>
      <c r="K894" s="30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5" x14ac:dyDescent="0.25">
      <c r="A895" s="29"/>
      <c r="B895" s="29"/>
      <c r="C895" s="29"/>
      <c r="D895" s="29"/>
      <c r="E895" s="29"/>
      <c r="F895" s="29"/>
      <c r="G895" s="29"/>
      <c r="H895" s="29"/>
      <c r="I895" s="30"/>
      <c r="J895" s="30"/>
      <c r="K895" s="30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5" x14ac:dyDescent="0.25">
      <c r="A896" s="29"/>
      <c r="B896" s="29"/>
      <c r="C896" s="29"/>
      <c r="D896" s="29"/>
      <c r="E896" s="29"/>
      <c r="F896" s="29"/>
      <c r="G896" s="29"/>
      <c r="H896" s="29"/>
      <c r="I896" s="30"/>
      <c r="J896" s="30"/>
      <c r="K896" s="30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5" x14ac:dyDescent="0.25">
      <c r="A897" s="29"/>
      <c r="B897" s="29"/>
      <c r="C897" s="29"/>
      <c r="D897" s="29"/>
      <c r="E897" s="29"/>
      <c r="F897" s="29"/>
      <c r="G897" s="29"/>
      <c r="H897" s="29"/>
      <c r="I897" s="30"/>
      <c r="J897" s="30"/>
      <c r="K897" s="30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</row>
    <row r="898" spans="1:27" ht="15" x14ac:dyDescent="0.25">
      <c r="A898" s="29"/>
      <c r="B898" s="29"/>
      <c r="C898" s="29"/>
      <c r="D898" s="29"/>
      <c r="E898" s="29"/>
      <c r="F898" s="29"/>
      <c r="G898" s="29"/>
      <c r="H898" s="29"/>
      <c r="I898" s="30"/>
      <c r="J898" s="30"/>
      <c r="K898" s="30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5" x14ac:dyDescent="0.25">
      <c r="A899" s="29"/>
      <c r="B899" s="29"/>
      <c r="C899" s="29"/>
      <c r="D899" s="29"/>
      <c r="E899" s="29"/>
      <c r="F899" s="29"/>
      <c r="G899" s="29"/>
      <c r="H899" s="29"/>
      <c r="I899" s="30"/>
      <c r="J899" s="30"/>
      <c r="K899" s="30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5" x14ac:dyDescent="0.25">
      <c r="A900" s="29"/>
      <c r="B900" s="29"/>
      <c r="C900" s="29"/>
      <c r="D900" s="29"/>
      <c r="E900" s="29"/>
      <c r="F900" s="29"/>
      <c r="G900" s="29"/>
      <c r="H900" s="29"/>
      <c r="I900" s="30"/>
      <c r="J900" s="30"/>
      <c r="K900" s="30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5" x14ac:dyDescent="0.25">
      <c r="A901" s="29"/>
      <c r="B901" s="29"/>
      <c r="C901" s="29"/>
      <c r="D901" s="29"/>
      <c r="E901" s="29"/>
      <c r="F901" s="29"/>
      <c r="G901" s="29"/>
      <c r="H901" s="29"/>
      <c r="I901" s="30"/>
      <c r="J901" s="30"/>
      <c r="K901" s="30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5" x14ac:dyDescent="0.25">
      <c r="A902" s="29"/>
      <c r="B902" s="29"/>
      <c r="C902" s="29"/>
      <c r="D902" s="29"/>
      <c r="E902" s="29"/>
      <c r="F902" s="29"/>
      <c r="G902" s="29"/>
      <c r="H902" s="29"/>
      <c r="I902" s="30"/>
      <c r="J902" s="30"/>
      <c r="K902" s="30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5" x14ac:dyDescent="0.25">
      <c r="A903" s="29"/>
      <c r="B903" s="29"/>
      <c r="C903" s="29"/>
      <c r="D903" s="29"/>
      <c r="E903" s="29"/>
      <c r="F903" s="29"/>
      <c r="G903" s="29"/>
      <c r="H903" s="29"/>
      <c r="I903" s="30"/>
      <c r="J903" s="30"/>
      <c r="K903" s="30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5" x14ac:dyDescent="0.25">
      <c r="A904" s="29"/>
      <c r="B904" s="29"/>
      <c r="C904" s="29"/>
      <c r="D904" s="29"/>
      <c r="E904" s="29"/>
      <c r="F904" s="29"/>
      <c r="G904" s="29"/>
      <c r="H904" s="29"/>
      <c r="I904" s="30"/>
      <c r="J904" s="30"/>
      <c r="K904" s="30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5" x14ac:dyDescent="0.25">
      <c r="A905" s="31"/>
      <c r="B905" s="31"/>
      <c r="C905" s="31"/>
      <c r="D905" s="31"/>
      <c r="E905" s="31"/>
      <c r="F905" s="31"/>
      <c r="G905" s="31"/>
      <c r="H905" s="31"/>
      <c r="I905" s="32"/>
      <c r="J905" s="32"/>
      <c r="K905" s="32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5" x14ac:dyDescent="0.25">
      <c r="A906" s="31"/>
      <c r="B906" s="31"/>
      <c r="C906" s="31"/>
      <c r="D906" s="31"/>
      <c r="E906" s="31"/>
      <c r="F906" s="31"/>
      <c r="G906" s="31"/>
      <c r="H906" s="31"/>
      <c r="I906" s="32"/>
      <c r="J906" s="32"/>
      <c r="K906" s="32"/>
      <c r="L906" s="31"/>
      <c r="M906" s="31"/>
      <c r="N906" s="31"/>
      <c r="O906" s="31"/>
      <c r="P906" s="31"/>
      <c r="Q906" s="31"/>
      <c r="R906" s="31"/>
      <c r="S906" s="31"/>
      <c r="T906" s="33"/>
      <c r="U906" s="31"/>
      <c r="V906" s="31"/>
      <c r="W906" s="31"/>
      <c r="X906" s="31"/>
      <c r="Y906" s="31"/>
      <c r="Z906" s="31"/>
      <c r="AA906" s="31"/>
    </row>
  </sheetData>
  <sheetProtection algorithmName="SHA-512" hashValue="JECp8/TRwkmeS+tu7PrUg4PEiH8xDOjq3VRBxzNXXV9xLDOt1Ec1lILWGurHXb9bYs/RzCRjUGdyAJecLwI74Q==" saltValue="XD9FJbp8QGdTYXpmLfURuA==" spinCount="100000" sheet="1" formatColumns="0" autoFilter="0"/>
  <autoFilter ref="A2:AA843" xr:uid="{7D30C59C-CC81-4406-80CB-055CAA8011E0}"/>
  <conditionalFormatting sqref="A14:J739 K14:AA1000">
    <cfRule type="expression" dxfId="7" priority="20">
      <formula>$F14="nowość"</formula>
    </cfRule>
    <cfRule type="expression" dxfId="6" priority="21">
      <formula>$F14="do wyczerpania zapasów"</formula>
    </cfRule>
  </conditionalFormatting>
  <conditionalFormatting sqref="B3:AA13 A14:AA1000">
    <cfRule type="expression" dxfId="5" priority="9">
      <formula>$E3="do wyczerpania zapasów"</formula>
    </cfRule>
    <cfRule type="expression" dxfId="4" priority="10">
      <formula>$E3="nowość"</formula>
    </cfRule>
  </conditionalFormatting>
  <conditionalFormatting sqref="B3:AA13">
    <cfRule type="expression" dxfId="3" priority="24">
      <formula>#REF!="nowość"</formula>
    </cfRule>
    <cfRule type="expression" dxfId="2" priority="25">
      <formula>#REF!="do wyczerpania zapasów"</formula>
    </cfRule>
  </conditionalFormatting>
  <conditionalFormatting sqref="I1:K1 I3:K1048576 I2:J2">
    <cfRule type="cellIs" dxfId="1" priority="19" operator="equal">
      <formula>0</formula>
    </cfRule>
  </conditionalFormatting>
  <conditionalFormatting sqref="K3:K1048576 K1">
    <cfRule type="cellIs" dxfId="0" priority="11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2022-08-05T06:34:19Z</cp:lastPrinted>
  <dcterms:created xsi:type="dcterms:W3CDTF">2021-06-15T08:35:20Z</dcterms:created>
  <dcterms:modified xsi:type="dcterms:W3CDTF">2024-07-26T11:45:18Z</dcterms:modified>
</cp:coreProperties>
</file>